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styles.xml" ContentType="application/vnd.openxmlformats-officedocument.spreadsheetml.styles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22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fca\AC\Temp\"/>
    </mc:Choice>
  </mc:AlternateContent>
  <xr:revisionPtr revIDLastSave="0" documentId="8_{BC70AC97-B70A-D741-8EF5-D8F54502A7A6}" xr6:coauthVersionLast="32" xr6:coauthVersionMax="32" xr10:uidLastSave="{00000000-0000-0000-0000-000000000000}"/>
  <bookViews>
    <workbookView xWindow="120" yWindow="15" windowWidth="5775" windowHeight="3465" tabRatio="883" firstSheet="30" activeTab="42" xr2:uid="{00000000-000D-0000-FFFF-FFFF00000000}"/>
  </bookViews>
  <sheets>
    <sheet name="results" sheetId="50" state="hidden" r:id="rId1"/>
    <sheet name="面积表" sheetId="49" r:id="rId2"/>
    <sheet name="基础数据" sheetId="42" r:id="rId3"/>
    <sheet name="财务数据" sheetId="22" state="hidden" r:id="rId4"/>
    <sheet name="投资比例" sheetId="44" state="hidden" r:id="rId5"/>
    <sheet name="三年资产负债" sheetId="23" state="hidden" r:id="rId6"/>
    <sheet name="三年损益" sheetId="24" state="hidden" r:id="rId7"/>
    <sheet name="三年现金流量" sheetId="41" state="hidden" r:id="rId8"/>
    <sheet name="主表1_1" sheetId="45" r:id="rId9"/>
    <sheet name="底表1" sheetId="8" r:id="rId10"/>
    <sheet name="主表2" sheetId="21" r:id="rId11"/>
    <sheet name="主表3" sheetId="13" r:id="rId12"/>
    <sheet name="主表4-1" sheetId="11" r:id="rId13"/>
    <sheet name="主表5" sheetId="14" r:id="rId14"/>
    <sheet name="主表6" sheetId="43" r:id="rId15"/>
    <sheet name="主表7" sheetId="37" r:id="rId16"/>
    <sheet name="底表7" sheetId="25" r:id="rId17"/>
    <sheet name="主表8" sheetId="26" r:id="rId18"/>
    <sheet name="底表8" sheetId="16" r:id="rId19"/>
    <sheet name="底表4" sheetId="7" r:id="rId20"/>
    <sheet name="底表5" sheetId="19" r:id="rId21"/>
    <sheet name="收入-5% 4_1" sheetId="5" r:id="rId22"/>
    <sheet name="收入-5% 3" sheetId="27" r:id="rId23"/>
    <sheet name="收入-10% 4_1" sheetId="31" r:id="rId24"/>
    <sheet name="收入-10% 3" sheetId="29" r:id="rId25"/>
    <sheet name="成本+5% 4_1" sheetId="4" r:id="rId26"/>
    <sheet name="成本+5% 3" sheetId="36" r:id="rId27"/>
    <sheet name="成本+10% 4_1" sheetId="35" r:id="rId28"/>
    <sheet name="成本+10% 3" sheetId="33" r:id="rId29"/>
    <sheet name="延后一年3" sheetId="39" r:id="rId30"/>
    <sheet name="延后一年4-1" sheetId="46" r:id="rId31"/>
    <sheet name="主表4_2" sheetId="12" r:id="rId32"/>
    <sheet name="底表2" sheetId="17" r:id="rId33"/>
    <sheet name="底表3" sheetId="18" r:id="rId34"/>
    <sheet name="底表6" sheetId="6" r:id="rId35"/>
    <sheet name="底表6（续）" sheetId="20" r:id="rId36"/>
    <sheet name="收入-5% 4_2" sheetId="28" r:id="rId37"/>
    <sheet name="收入-10% 4_2" sheetId="30" r:id="rId38"/>
    <sheet name="成本+5% 4_2" sheetId="32" r:id="rId39"/>
    <sheet name="成本+10% 4_2" sheetId="34" r:id="rId40"/>
    <sheet name="主表1_2" sheetId="2" r:id="rId41"/>
    <sheet name="Sheet1" sheetId="51" r:id="rId42"/>
    <sheet name="系统读取表" sheetId="52" r:id="rId43"/>
  </sheets>
  <externalReferences>
    <externalReference r:id="rId44"/>
    <externalReference r:id="rId45"/>
  </externalReferences>
  <definedNames>
    <definedName name="_xlnm.Print_Area" localSheetId="6">三年损益!$A$1:$H$33</definedName>
    <definedName name="_xlnm.Print_Area" localSheetId="7">三年现金流量!$G$1:$N$17</definedName>
    <definedName name="_xlnm.Print_Area" localSheetId="5">三年资产负债!$A$1:$N$39</definedName>
    <definedName name="_xlnm.Print_Area" localSheetId="8">主表1_1!$B$1:$L$38</definedName>
    <definedName name="_xlnm.Print_Area" localSheetId="10">主表2!$B$1:$K$38,主表2!$N$45:$R$71,主表2!$B$45:$K$78</definedName>
    <definedName name="_xlnm.Print_Area" localSheetId="11">主表3!$A$1:$J$22</definedName>
    <definedName name="_xlnm.Print_Area" localSheetId="12">'主表4-1'!$A$1:$J$20</definedName>
    <definedName name="_xlnm.Print_Area" localSheetId="13">主表5!$A$1:$J$28</definedName>
    <definedName name="_xlnm.Print_Area" localSheetId="14">主表6!$A$1:$I$33</definedName>
    <definedName name="_xlnm.Print_Area" localSheetId="2">基础数据!$A$1:$D$30</definedName>
    <definedName name="_xlnm.Print_Area" localSheetId="9">底表1!$A$1:$U$17</definedName>
    <definedName name="_xlnm.Print_Area" localSheetId="18">底表8!$A$1:$C$21</definedName>
  </definedNames>
  <calcPr calcId="179016" fullPrecision="0"/>
  <customWorkbookViews>
    <customWorkbookView name="陈平和 - 个人视面" guid="{33FE80C0-0EDF-11D4-8B3D-001060002050}" mergeInterval="0" personalView="1" maximized="1" windowWidth="796" windowHeight="438" tabRatio="738" activeSheetId="44"/>
    <customWorkbookView name="xue jun chang - 个人视面" guid="{62777320-11E7-11D4-8B3D-00E098726125}" mergeInterval="0" personalView="1" xWindow="14" yWindow="26" windowWidth="769" windowHeight="403" tabRatio="738" activeSheetId="44"/>
  </customWorkbookViews>
</workbook>
</file>

<file path=xl/calcChain.xml><?xml version="1.0" encoding="utf-8"?>
<calcChain xmlns="http://schemas.openxmlformats.org/spreadsheetml/2006/main">
  <c r="B1" i="52" l="1"/>
  <c r="H15" i="52"/>
  <c r="B7" i="52"/>
  <c r="C7" i="52"/>
  <c r="B41" i="49"/>
  <c r="B2" i="52"/>
  <c r="D7" i="21"/>
  <c r="D47" i="21"/>
  <c r="D15" i="21"/>
  <c r="B24" i="49"/>
  <c r="D48" i="21"/>
  <c r="D16" i="21"/>
  <c r="D49" i="21"/>
  <c r="D17" i="21"/>
  <c r="C54" i="49"/>
  <c r="C55" i="49"/>
  <c r="C56" i="49"/>
  <c r="C53" i="49"/>
  <c r="F51" i="21"/>
  <c r="C58" i="49"/>
  <c r="C59" i="49"/>
  <c r="C57" i="49"/>
  <c r="C60" i="49"/>
  <c r="H51" i="21"/>
  <c r="D51" i="21"/>
  <c r="D19" i="21"/>
  <c r="D14" i="21"/>
  <c r="F60" i="21"/>
  <c r="D60" i="21"/>
  <c r="F61" i="21"/>
  <c r="D61" i="21"/>
  <c r="F62" i="21"/>
  <c r="D62" i="21"/>
  <c r="F63" i="21"/>
  <c r="D63" i="21"/>
  <c r="F64" i="21"/>
  <c r="D64" i="21"/>
  <c r="F65" i="21"/>
  <c r="D65" i="21"/>
  <c r="F66" i="21"/>
  <c r="D66" i="21"/>
  <c r="F67" i="21"/>
  <c r="D67" i="21"/>
  <c r="F68" i="21"/>
  <c r="D68" i="21"/>
  <c r="D59" i="21"/>
  <c r="D54" i="21"/>
  <c r="L22" i="21"/>
  <c r="D22" i="21"/>
  <c r="F59" i="21"/>
  <c r="F69" i="21"/>
  <c r="D69" i="21"/>
  <c r="F70" i="21"/>
  <c r="D70" i="21"/>
  <c r="D58" i="21"/>
  <c r="D55" i="21"/>
  <c r="L23" i="21"/>
  <c r="D23" i="21"/>
  <c r="F56" i="21"/>
  <c r="D56" i="21"/>
  <c r="L24" i="21"/>
  <c r="D24" i="21"/>
  <c r="D21" i="21"/>
  <c r="L27" i="21"/>
  <c r="D27" i="21"/>
  <c r="L28" i="21"/>
  <c r="D28" i="21"/>
  <c r="L29" i="21"/>
  <c r="D29" i="21"/>
  <c r="D26" i="21"/>
  <c r="D72" i="21"/>
  <c r="L30" i="21"/>
  <c r="D30" i="21"/>
  <c r="U6" i="8"/>
  <c r="E19" i="8"/>
  <c r="E6" i="8"/>
  <c r="F6" i="8"/>
  <c r="U7" i="8"/>
  <c r="E20" i="8"/>
  <c r="E7" i="8"/>
  <c r="F7" i="8"/>
  <c r="U8" i="8"/>
  <c r="E21" i="8"/>
  <c r="E8" i="8"/>
  <c r="F8" i="8"/>
  <c r="U9" i="8"/>
  <c r="E9" i="8"/>
  <c r="F9" i="8"/>
  <c r="U10" i="8"/>
  <c r="E10" i="8"/>
  <c r="F10" i="8"/>
  <c r="U11" i="8"/>
  <c r="E11" i="8"/>
  <c r="F11" i="8"/>
  <c r="F5" i="8"/>
  <c r="D31" i="21"/>
  <c r="D32" i="21"/>
  <c r="H3" i="49"/>
  <c r="M3" i="49"/>
  <c r="D75" i="21"/>
  <c r="D33" i="21"/>
  <c r="D34" i="21"/>
  <c r="D13" i="21"/>
  <c r="D10" i="21"/>
  <c r="D4" i="21"/>
  <c r="E7" i="21"/>
  <c r="L15" i="21"/>
  <c r="E15" i="21"/>
  <c r="L16" i="21"/>
  <c r="E16" i="21"/>
  <c r="E18" i="21"/>
  <c r="E14" i="21"/>
  <c r="E22" i="21"/>
  <c r="E23" i="21"/>
  <c r="E21" i="21"/>
  <c r="E27" i="21"/>
  <c r="E28" i="21"/>
  <c r="E29" i="21"/>
  <c r="E26" i="21"/>
  <c r="E30" i="21"/>
  <c r="G19" i="8"/>
  <c r="G6" i="8"/>
  <c r="H6" i="8"/>
  <c r="G20" i="8"/>
  <c r="G7" i="8"/>
  <c r="H7" i="8"/>
  <c r="G21" i="8"/>
  <c r="G8" i="8"/>
  <c r="H8" i="8"/>
  <c r="G22" i="8"/>
  <c r="G9" i="8"/>
  <c r="H9" i="8"/>
  <c r="G23" i="8"/>
  <c r="G10" i="8"/>
  <c r="H10" i="8"/>
  <c r="G11" i="8"/>
  <c r="H11" i="8"/>
  <c r="H5" i="8"/>
  <c r="E31" i="21"/>
  <c r="E32" i="21"/>
  <c r="E33" i="21"/>
  <c r="E34" i="21"/>
  <c r="E13" i="21"/>
  <c r="E10" i="21"/>
  <c r="E4" i="21"/>
  <c r="F52" i="21"/>
  <c r="D52" i="21"/>
  <c r="L20" i="21"/>
  <c r="F20" i="21"/>
  <c r="F14" i="21"/>
  <c r="F21" i="21"/>
  <c r="F27" i="21"/>
  <c r="F28" i="21"/>
  <c r="F29" i="21"/>
  <c r="F26" i="21"/>
  <c r="F30" i="21"/>
  <c r="I19" i="8"/>
  <c r="I6" i="8"/>
  <c r="J6" i="8"/>
  <c r="I20" i="8"/>
  <c r="I7" i="8"/>
  <c r="J7" i="8"/>
  <c r="I8" i="8"/>
  <c r="J8" i="8"/>
  <c r="I22" i="8"/>
  <c r="I9" i="8"/>
  <c r="J9" i="8"/>
  <c r="I23" i="8"/>
  <c r="I10" i="8"/>
  <c r="J10" i="8"/>
  <c r="I11" i="8"/>
  <c r="J11" i="8"/>
  <c r="J5" i="8"/>
  <c r="F31" i="21"/>
  <c r="D46" i="21"/>
  <c r="D53" i="21"/>
  <c r="D74" i="21"/>
  <c r="L32" i="21"/>
  <c r="F32" i="21"/>
  <c r="D76" i="21"/>
  <c r="L34" i="21"/>
  <c r="F34" i="21"/>
  <c r="F13" i="21"/>
  <c r="F10" i="21"/>
  <c r="F4" i="21"/>
  <c r="G20" i="21"/>
  <c r="G14" i="21"/>
  <c r="G21" i="21"/>
  <c r="G26" i="21"/>
  <c r="K6" i="8"/>
  <c r="L6" i="8"/>
  <c r="K7" i="8"/>
  <c r="L7" i="8"/>
  <c r="K8" i="8"/>
  <c r="L8" i="8"/>
  <c r="K9" i="8"/>
  <c r="L9" i="8"/>
  <c r="K10" i="8"/>
  <c r="L10" i="8"/>
  <c r="K11" i="8"/>
  <c r="L11" i="8"/>
  <c r="L5" i="8"/>
  <c r="M6" i="8"/>
  <c r="N6" i="8"/>
  <c r="M7" i="8"/>
  <c r="N7" i="8"/>
  <c r="M8" i="8"/>
  <c r="N8" i="8"/>
  <c r="M9" i="8"/>
  <c r="N9" i="8"/>
  <c r="N5" i="8"/>
  <c r="O6" i="8"/>
  <c r="P6" i="8"/>
  <c r="O7" i="8"/>
  <c r="P7" i="8"/>
  <c r="O8" i="8"/>
  <c r="P8" i="8"/>
  <c r="O9" i="8"/>
  <c r="P9" i="8"/>
  <c r="P5" i="8"/>
  <c r="Q6" i="8"/>
  <c r="R6" i="8"/>
  <c r="Q7" i="8"/>
  <c r="R7" i="8"/>
  <c r="Q8" i="8"/>
  <c r="R8" i="8"/>
  <c r="Q9" i="8"/>
  <c r="R9" i="8"/>
  <c r="R5" i="8"/>
  <c r="T5" i="8"/>
  <c r="D73" i="21"/>
  <c r="L31" i="21"/>
  <c r="G31" i="21"/>
  <c r="G32" i="21"/>
  <c r="G34" i="21"/>
  <c r="G13" i="21"/>
  <c r="G10" i="21"/>
  <c r="G4" i="21"/>
  <c r="H4" i="21"/>
  <c r="I4" i="21"/>
  <c r="J14" i="21"/>
  <c r="J21" i="21"/>
  <c r="J26" i="21"/>
  <c r="J31" i="21"/>
  <c r="J32" i="21"/>
  <c r="J34" i="21"/>
  <c r="J13" i="21"/>
  <c r="J8" i="21"/>
  <c r="J4" i="21"/>
  <c r="K4" i="21"/>
  <c r="B5" i="52"/>
  <c r="F24" i="52"/>
  <c r="E24" i="52"/>
  <c r="F23" i="52"/>
  <c r="E23" i="52"/>
  <c r="F22" i="52"/>
  <c r="E22" i="52"/>
  <c r="F21" i="52"/>
  <c r="E21" i="52"/>
  <c r="F20" i="52"/>
  <c r="E20" i="52"/>
  <c r="F19" i="52"/>
  <c r="E19" i="52"/>
  <c r="F18" i="52"/>
  <c r="E18" i="52"/>
  <c r="F17" i="52"/>
  <c r="E17" i="52"/>
  <c r="D16" i="52"/>
  <c r="C16" i="52"/>
  <c r="F16" i="52"/>
  <c r="B16" i="52"/>
  <c r="I15" i="52"/>
  <c r="G15" i="52"/>
  <c r="D15" i="52"/>
  <c r="C15" i="52"/>
  <c r="F15" i="52"/>
  <c r="B15" i="52"/>
  <c r="B8" i="52"/>
  <c r="B6" i="52"/>
  <c r="C5" i="36"/>
  <c r="C15" i="17"/>
  <c r="C11" i="17"/>
  <c r="C7" i="17"/>
  <c r="C17" i="17"/>
  <c r="C4" i="12"/>
  <c r="C6" i="36"/>
  <c r="C7" i="36"/>
  <c r="C4" i="36"/>
  <c r="D38" i="21"/>
  <c r="B2" i="4"/>
  <c r="C10" i="36"/>
  <c r="C12" i="18"/>
  <c r="C5" i="12"/>
  <c r="B2" i="32"/>
  <c r="C5" i="32"/>
  <c r="C11" i="36"/>
  <c r="F13" i="8"/>
  <c r="C14" i="8"/>
  <c r="F14" i="8"/>
  <c r="F15" i="8"/>
  <c r="C16" i="8"/>
  <c r="F16" i="8"/>
  <c r="F12" i="8"/>
  <c r="C6" i="11"/>
  <c r="C20" i="17"/>
  <c r="C21" i="17"/>
  <c r="C22" i="17"/>
  <c r="C19" i="17"/>
  <c r="C6" i="12"/>
  <c r="C12" i="36"/>
  <c r="C4" i="11"/>
  <c r="C4" i="4"/>
  <c r="C8" i="4"/>
  <c r="C13" i="36"/>
  <c r="D4" i="11"/>
  <c r="D4" i="4"/>
  <c r="E4" i="11"/>
  <c r="E4" i="4"/>
  <c r="F4" i="4"/>
  <c r="G4" i="4"/>
  <c r="H4" i="4"/>
  <c r="I4" i="4"/>
  <c r="D36" i="21"/>
  <c r="E36" i="21"/>
  <c r="F36" i="21"/>
  <c r="G36" i="21"/>
  <c r="H14" i="21"/>
  <c r="H21" i="21"/>
  <c r="H26" i="21"/>
  <c r="H34" i="21"/>
  <c r="H36" i="21"/>
  <c r="I14" i="21"/>
  <c r="I21" i="21"/>
  <c r="I26" i="21"/>
  <c r="I34" i="21"/>
  <c r="I36" i="21"/>
  <c r="J36" i="21"/>
  <c r="K36" i="21"/>
  <c r="C5" i="4"/>
  <c r="C6" i="4"/>
  <c r="C9" i="4"/>
  <c r="C10" i="4"/>
  <c r="C11" i="4"/>
  <c r="C12" i="4"/>
  <c r="J12" i="4"/>
  <c r="C13" i="4"/>
  <c r="C4" i="32"/>
  <c r="C6" i="32"/>
  <c r="C7" i="32"/>
  <c r="C8" i="32"/>
  <c r="C14" i="36"/>
  <c r="C9" i="36"/>
  <c r="C16" i="36"/>
  <c r="C21" i="36"/>
  <c r="C18" i="36"/>
  <c r="C19" i="36"/>
  <c r="D5" i="36"/>
  <c r="D15" i="17"/>
  <c r="D11" i="17"/>
  <c r="D7" i="17"/>
  <c r="D17" i="17"/>
  <c r="D4" i="12"/>
  <c r="D6" i="36"/>
  <c r="D7" i="36"/>
  <c r="D4" i="36"/>
  <c r="E38" i="21"/>
  <c r="D10" i="36"/>
  <c r="D12" i="18"/>
  <c r="D5" i="12"/>
  <c r="D5" i="32"/>
  <c r="D11" i="36"/>
  <c r="H13" i="8"/>
  <c r="H14" i="8"/>
  <c r="H15" i="8"/>
  <c r="H16" i="8"/>
  <c r="H12" i="8"/>
  <c r="D6" i="11"/>
  <c r="D20" i="17"/>
  <c r="D21" i="17"/>
  <c r="D22" i="17"/>
  <c r="D19" i="17"/>
  <c r="D6" i="12"/>
  <c r="D12" i="36"/>
  <c r="D8" i="4"/>
  <c r="D13" i="36"/>
  <c r="D5" i="4"/>
  <c r="D6" i="4"/>
  <c r="D9" i="4"/>
  <c r="D10" i="4"/>
  <c r="D11" i="4"/>
  <c r="D12" i="4"/>
  <c r="K12" i="4"/>
  <c r="D13" i="4"/>
  <c r="D4" i="32"/>
  <c r="D6" i="32"/>
  <c r="D7" i="32"/>
  <c r="D8" i="32"/>
  <c r="D14" i="36"/>
  <c r="D9" i="36"/>
  <c r="D16" i="36"/>
  <c r="D18" i="36"/>
  <c r="D19" i="36"/>
  <c r="E5" i="36"/>
  <c r="E15" i="17"/>
  <c r="E11" i="17"/>
  <c r="E7" i="17"/>
  <c r="E17" i="17"/>
  <c r="E4" i="12"/>
  <c r="E6" i="36"/>
  <c r="E7" i="36"/>
  <c r="E4" i="36"/>
  <c r="F38" i="21"/>
  <c r="E10" i="36"/>
  <c r="E12" i="18"/>
  <c r="E5" i="12"/>
  <c r="E5" i="32"/>
  <c r="E11" i="36"/>
  <c r="K14" i="21"/>
  <c r="K21" i="21"/>
  <c r="K30" i="21"/>
  <c r="H31" i="21"/>
  <c r="K31" i="21"/>
  <c r="H32" i="21"/>
  <c r="I32" i="21"/>
  <c r="K32" i="21"/>
  <c r="K34" i="21"/>
  <c r="K26" i="21"/>
  <c r="P31" i="8"/>
  <c r="J13" i="8"/>
  <c r="J14" i="8"/>
  <c r="J15" i="8"/>
  <c r="J16" i="8"/>
  <c r="J12" i="8"/>
  <c r="E6" i="11"/>
  <c r="E20" i="17"/>
  <c r="E21" i="17"/>
  <c r="E22" i="17"/>
  <c r="E19" i="17"/>
  <c r="E6" i="12"/>
  <c r="E12" i="36"/>
  <c r="E8" i="4"/>
  <c r="E13" i="36"/>
  <c r="E5" i="4"/>
  <c r="E6" i="4"/>
  <c r="E9" i="4"/>
  <c r="E10" i="4"/>
  <c r="E11" i="4"/>
  <c r="E12" i="4"/>
  <c r="L12" i="4"/>
  <c r="E13" i="4"/>
  <c r="E4" i="32"/>
  <c r="E6" i="32"/>
  <c r="E7" i="32"/>
  <c r="E8" i="32"/>
  <c r="E14" i="36"/>
  <c r="E9" i="36"/>
  <c r="E16" i="36"/>
  <c r="E18" i="36"/>
  <c r="E19" i="36"/>
  <c r="G22" i="36"/>
  <c r="E7" i="37"/>
  <c r="C5" i="33"/>
  <c r="C6" i="33"/>
  <c r="C7" i="33"/>
  <c r="C4" i="33"/>
  <c r="B2" i="35"/>
  <c r="C10" i="33"/>
  <c r="C5" i="34"/>
  <c r="C11" i="33"/>
  <c r="C12" i="33"/>
  <c r="C4" i="35"/>
  <c r="C8" i="35"/>
  <c r="C13" i="33"/>
  <c r="D4" i="35"/>
  <c r="E4" i="35"/>
  <c r="F4" i="35"/>
  <c r="G4" i="35"/>
  <c r="H4" i="35"/>
  <c r="I4" i="35"/>
  <c r="C5" i="35"/>
  <c r="C6" i="35"/>
  <c r="C9" i="35"/>
  <c r="C10" i="35"/>
  <c r="C11" i="35"/>
  <c r="C12" i="35"/>
  <c r="J12" i="35"/>
  <c r="C13" i="35"/>
  <c r="C4" i="34"/>
  <c r="C6" i="34"/>
  <c r="C7" i="34"/>
  <c r="C8" i="34"/>
  <c r="C14" i="33"/>
  <c r="C9" i="33"/>
  <c r="C16" i="33"/>
  <c r="C21" i="33"/>
  <c r="C18" i="33"/>
  <c r="C19" i="33"/>
  <c r="D5" i="33"/>
  <c r="D6" i="33"/>
  <c r="D7" i="33"/>
  <c r="D4" i="33"/>
  <c r="D10" i="33"/>
  <c r="D5" i="34"/>
  <c r="D11" i="33"/>
  <c r="D12" i="33"/>
  <c r="D8" i="35"/>
  <c r="D13" i="33"/>
  <c r="D5" i="35"/>
  <c r="D6" i="35"/>
  <c r="D9" i="35"/>
  <c r="D10" i="35"/>
  <c r="D11" i="35"/>
  <c r="D12" i="35"/>
  <c r="K12" i="35"/>
  <c r="D13" i="35"/>
  <c r="D4" i="34"/>
  <c r="D6" i="34"/>
  <c r="D7" i="34"/>
  <c r="D8" i="34"/>
  <c r="D14" i="33"/>
  <c r="D9" i="33"/>
  <c r="D16" i="33"/>
  <c r="D18" i="33"/>
  <c r="D19" i="33"/>
  <c r="E5" i="33"/>
  <c r="E6" i="33"/>
  <c r="E7" i="33"/>
  <c r="E4" i="33"/>
  <c r="E10" i="33"/>
  <c r="E5" i="34"/>
  <c r="E11" i="33"/>
  <c r="E12" i="33"/>
  <c r="E8" i="35"/>
  <c r="E13" i="33"/>
  <c r="E5" i="35"/>
  <c r="E6" i="35"/>
  <c r="E9" i="35"/>
  <c r="E10" i="35"/>
  <c r="E11" i="35"/>
  <c r="E12" i="35"/>
  <c r="L12" i="35"/>
  <c r="E13" i="35"/>
  <c r="E4" i="34"/>
  <c r="E6" i="34"/>
  <c r="E7" i="34"/>
  <c r="E8" i="34"/>
  <c r="E14" i="33"/>
  <c r="E9" i="33"/>
  <c r="E16" i="33"/>
  <c r="E18" i="33"/>
  <c r="E19" i="33"/>
  <c r="G22" i="33"/>
  <c r="E8" i="37"/>
  <c r="B2" i="5"/>
  <c r="C5" i="27"/>
  <c r="B2" i="28"/>
  <c r="C4" i="28"/>
  <c r="C6" i="27"/>
  <c r="C7" i="27"/>
  <c r="C4" i="27"/>
  <c r="C10" i="27"/>
  <c r="C13" i="18"/>
  <c r="C11" i="27"/>
  <c r="C6" i="5"/>
  <c r="C6" i="28"/>
  <c r="C12" i="27"/>
  <c r="C4" i="5"/>
  <c r="C8" i="5"/>
  <c r="C13" i="27"/>
  <c r="J4" i="11"/>
  <c r="I4" i="5"/>
  <c r="C5" i="5"/>
  <c r="C9" i="5"/>
  <c r="C10" i="5"/>
  <c r="C11" i="5"/>
  <c r="C12" i="5"/>
  <c r="J12" i="5"/>
  <c r="C13" i="5"/>
  <c r="C5" i="28"/>
  <c r="C7" i="28"/>
  <c r="C8" i="28"/>
  <c r="C14" i="27"/>
  <c r="C9" i="27"/>
  <c r="C16" i="27"/>
  <c r="C21" i="27"/>
  <c r="C18" i="27"/>
  <c r="C19" i="27"/>
  <c r="D5" i="27"/>
  <c r="D4" i="28"/>
  <c r="D6" i="27"/>
  <c r="D7" i="27"/>
  <c r="D4" i="27"/>
  <c r="D10" i="27"/>
  <c r="D13" i="18"/>
  <c r="D11" i="27"/>
  <c r="D6" i="5"/>
  <c r="D6" i="28"/>
  <c r="D12" i="27"/>
  <c r="D4" i="5"/>
  <c r="D8" i="5"/>
  <c r="D13" i="27"/>
  <c r="D5" i="5"/>
  <c r="D9" i="5"/>
  <c r="D10" i="5"/>
  <c r="D11" i="5"/>
  <c r="D12" i="5"/>
  <c r="K12" i="5"/>
  <c r="D13" i="5"/>
  <c r="D5" i="28"/>
  <c r="D7" i="28"/>
  <c r="D8" i="28"/>
  <c r="D14" i="27"/>
  <c r="D9" i="27"/>
  <c r="D16" i="27"/>
  <c r="D18" i="27"/>
  <c r="D19" i="27"/>
  <c r="E5" i="27"/>
  <c r="E4" i="28"/>
  <c r="E6" i="27"/>
  <c r="E7" i="27"/>
  <c r="E4" i="27"/>
  <c r="E10" i="27"/>
  <c r="E13" i="18"/>
  <c r="E11" i="27"/>
  <c r="E6" i="5"/>
  <c r="E6" i="28"/>
  <c r="E12" i="27"/>
  <c r="E4" i="5"/>
  <c r="E8" i="5"/>
  <c r="E13" i="27"/>
  <c r="E5" i="5"/>
  <c r="E9" i="5"/>
  <c r="E10" i="5"/>
  <c r="E11" i="5"/>
  <c r="E12" i="5"/>
  <c r="L12" i="5"/>
  <c r="E13" i="5"/>
  <c r="E5" i="28"/>
  <c r="E7" i="28"/>
  <c r="E8" i="28"/>
  <c r="E14" i="27"/>
  <c r="E9" i="27"/>
  <c r="E16" i="27"/>
  <c r="E18" i="27"/>
  <c r="E19" i="27"/>
  <c r="G22" i="27"/>
  <c r="E9" i="37"/>
  <c r="B2" i="31"/>
  <c r="C5" i="29"/>
  <c r="B2" i="30"/>
  <c r="C4" i="30"/>
  <c r="C6" i="29"/>
  <c r="C7" i="29"/>
  <c r="C4" i="29"/>
  <c r="C10" i="29"/>
  <c r="C11" i="29"/>
  <c r="C6" i="31"/>
  <c r="C6" i="30"/>
  <c r="C12" i="29"/>
  <c r="C4" i="31"/>
  <c r="C8" i="31"/>
  <c r="C13" i="29"/>
  <c r="I4" i="31"/>
  <c r="C5" i="31"/>
  <c r="C9" i="31"/>
  <c r="C10" i="31"/>
  <c r="C11" i="31"/>
  <c r="C12" i="31"/>
  <c r="J12" i="31"/>
  <c r="C13" i="31"/>
  <c r="C5" i="30"/>
  <c r="C7" i="30"/>
  <c r="C8" i="30"/>
  <c r="C14" i="29"/>
  <c r="C9" i="29"/>
  <c r="C16" i="29"/>
  <c r="C21" i="29"/>
  <c r="C18" i="29"/>
  <c r="C19" i="29"/>
  <c r="D5" i="29"/>
  <c r="D4" i="30"/>
  <c r="D6" i="29"/>
  <c r="D7" i="29"/>
  <c r="D4" i="29"/>
  <c r="D10" i="29"/>
  <c r="D11" i="29"/>
  <c r="D6" i="31"/>
  <c r="D6" i="30"/>
  <c r="D12" i="29"/>
  <c r="D4" i="31"/>
  <c r="D8" i="31"/>
  <c r="D13" i="29"/>
  <c r="D5" i="31"/>
  <c r="D9" i="31"/>
  <c r="D10" i="31"/>
  <c r="D11" i="31"/>
  <c r="D12" i="31"/>
  <c r="K12" i="31"/>
  <c r="D13" i="31"/>
  <c r="D5" i="30"/>
  <c r="D7" i="30"/>
  <c r="D8" i="30"/>
  <c r="D14" i="29"/>
  <c r="D9" i="29"/>
  <c r="D16" i="29"/>
  <c r="D18" i="29"/>
  <c r="D19" i="29"/>
  <c r="E5" i="29"/>
  <c r="E4" i="30"/>
  <c r="E6" i="29"/>
  <c r="E7" i="29"/>
  <c r="E4" i="29"/>
  <c r="E10" i="29"/>
  <c r="E11" i="29"/>
  <c r="E6" i="31"/>
  <c r="E6" i="30"/>
  <c r="E12" i="29"/>
  <c r="E4" i="31"/>
  <c r="E8" i="31"/>
  <c r="E13" i="29"/>
  <c r="E5" i="31"/>
  <c r="E9" i="31"/>
  <c r="E10" i="31"/>
  <c r="E11" i="31"/>
  <c r="E12" i="31"/>
  <c r="L12" i="31"/>
  <c r="E13" i="31"/>
  <c r="E5" i="30"/>
  <c r="E7" i="30"/>
  <c r="E8" i="30"/>
  <c r="E14" i="29"/>
  <c r="E9" i="29"/>
  <c r="E16" i="29"/>
  <c r="E18" i="29"/>
  <c r="E19" i="29"/>
  <c r="G22" i="29"/>
  <c r="E10" i="37"/>
  <c r="C4" i="39"/>
  <c r="C10" i="39"/>
  <c r="D4" i="46"/>
  <c r="E4" i="46"/>
  <c r="F4" i="46"/>
  <c r="G4" i="46"/>
  <c r="H4" i="46"/>
  <c r="I4" i="46"/>
  <c r="J4" i="46"/>
  <c r="K33" i="21"/>
  <c r="K35" i="21"/>
  <c r="K13" i="21"/>
  <c r="J5" i="46"/>
  <c r="D6" i="46"/>
  <c r="E6" i="46"/>
  <c r="F6" i="46"/>
  <c r="L14" i="8"/>
  <c r="L15" i="8"/>
  <c r="L16" i="8"/>
  <c r="L12" i="8"/>
  <c r="G6" i="46"/>
  <c r="N13" i="8"/>
  <c r="N14" i="8"/>
  <c r="N15" i="8"/>
  <c r="N16" i="8"/>
  <c r="N12" i="8"/>
  <c r="H6" i="46"/>
  <c r="J6" i="46"/>
  <c r="J7" i="46"/>
  <c r="C9" i="46"/>
  <c r="D9" i="46"/>
  <c r="E9" i="46"/>
  <c r="F9" i="46"/>
  <c r="G9" i="46"/>
  <c r="H9" i="46"/>
  <c r="J9" i="46"/>
  <c r="C10" i="46"/>
  <c r="D10" i="46"/>
  <c r="E10" i="46"/>
  <c r="F10" i="46"/>
  <c r="G10" i="46"/>
  <c r="H10" i="46"/>
  <c r="J10" i="46"/>
  <c r="C11" i="46"/>
  <c r="D11" i="46"/>
  <c r="E11" i="46"/>
  <c r="F11" i="46"/>
  <c r="G11" i="46"/>
  <c r="H11" i="46"/>
  <c r="J11" i="46"/>
  <c r="J8" i="46"/>
  <c r="C8" i="46"/>
  <c r="C13" i="39"/>
  <c r="C5" i="46"/>
  <c r="C12" i="46"/>
  <c r="C13" i="46"/>
  <c r="C14" i="39"/>
  <c r="C9" i="39"/>
  <c r="C16" i="39"/>
  <c r="C18" i="39"/>
  <c r="C19" i="39"/>
  <c r="C5" i="13"/>
  <c r="D5" i="39"/>
  <c r="C6" i="13"/>
  <c r="D6" i="39"/>
  <c r="D7" i="39"/>
  <c r="D4" i="39"/>
  <c r="D10" i="39"/>
  <c r="D11" i="39"/>
  <c r="D12" i="39"/>
  <c r="D8" i="46"/>
  <c r="D13" i="39"/>
  <c r="D5" i="46"/>
  <c r="D12" i="46"/>
  <c r="K12" i="46"/>
  <c r="L12" i="46"/>
  <c r="D13" i="46"/>
  <c r="C7" i="12"/>
  <c r="C8" i="12"/>
  <c r="D14" i="39"/>
  <c r="D9" i="39"/>
  <c r="D16" i="39"/>
  <c r="D18" i="39"/>
  <c r="D19" i="39"/>
  <c r="D5" i="13"/>
  <c r="E5" i="39"/>
  <c r="D6" i="13"/>
  <c r="E6" i="39"/>
  <c r="E7" i="39"/>
  <c r="E4" i="39"/>
  <c r="E10" i="39"/>
  <c r="E11" i="39"/>
  <c r="E12" i="39"/>
  <c r="E8" i="46"/>
  <c r="E13" i="39"/>
  <c r="E5" i="46"/>
  <c r="E12" i="46"/>
  <c r="M12" i="46"/>
  <c r="E13" i="46"/>
  <c r="D7" i="12"/>
  <c r="D8" i="12"/>
  <c r="E14" i="39"/>
  <c r="E9" i="39"/>
  <c r="E16" i="39"/>
  <c r="E18" i="39"/>
  <c r="E19" i="39"/>
  <c r="E5" i="13"/>
  <c r="F5" i="39"/>
  <c r="E6" i="13"/>
  <c r="F6" i="39"/>
  <c r="F7" i="39"/>
  <c r="F4" i="39"/>
  <c r="G38" i="21"/>
  <c r="F10" i="39"/>
  <c r="F11" i="39"/>
  <c r="F12" i="39"/>
  <c r="F8" i="46"/>
  <c r="F13" i="39"/>
  <c r="F5" i="46"/>
  <c r="F12" i="46"/>
  <c r="N12" i="46"/>
  <c r="F13" i="46"/>
  <c r="E7" i="12"/>
  <c r="E8" i="12"/>
  <c r="F14" i="39"/>
  <c r="F9" i="39"/>
  <c r="F16" i="39"/>
  <c r="F18" i="39"/>
  <c r="F19" i="39"/>
  <c r="G22" i="39"/>
  <c r="E11" i="37"/>
  <c r="C21" i="13"/>
  <c r="M69" i="21"/>
  <c r="M70" i="21"/>
  <c r="M72" i="21"/>
  <c r="M73" i="21"/>
  <c r="M75" i="21"/>
  <c r="D77" i="21"/>
  <c r="M77" i="21"/>
  <c r="M59" i="21"/>
  <c r="M58" i="21"/>
  <c r="M53" i="21"/>
  <c r="G15" i="49"/>
  <c r="C9" i="43"/>
  <c r="C27" i="43"/>
  <c r="D9" i="43"/>
  <c r="D27" i="43"/>
  <c r="S20" i="8"/>
  <c r="S21" i="8"/>
  <c r="S22" i="8"/>
  <c r="S23" i="8"/>
  <c r="S24" i="8"/>
  <c r="S25" i="8"/>
  <c r="S26" i="8"/>
  <c r="S27" i="8"/>
  <c r="S28" i="8"/>
  <c r="S19" i="8"/>
  <c r="L26" i="49"/>
  <c r="L27" i="49"/>
  <c r="L28" i="49"/>
  <c r="L29" i="49"/>
  <c r="L30" i="49"/>
  <c r="L31" i="49"/>
  <c r="C42" i="21"/>
  <c r="C41" i="21"/>
  <c r="C40" i="21"/>
  <c r="C30" i="21"/>
  <c r="B10" i="8"/>
  <c r="B23" i="8"/>
  <c r="B11" i="8"/>
  <c r="B24" i="8"/>
  <c r="B9" i="8"/>
  <c r="B22" i="8"/>
  <c r="B8" i="8"/>
  <c r="B21" i="8"/>
  <c r="B7" i="8"/>
  <c r="C5" i="21"/>
  <c r="B10" i="14"/>
  <c r="C68" i="21"/>
  <c r="C67" i="21"/>
  <c r="C66" i="21"/>
  <c r="C65" i="21"/>
  <c r="C64" i="21"/>
  <c r="C63" i="21"/>
  <c r="C61" i="21"/>
  <c r="C62" i="21"/>
  <c r="C60" i="21"/>
  <c r="A14" i="49"/>
  <c r="A13" i="49"/>
  <c r="A12" i="49"/>
  <c r="A11" i="49"/>
  <c r="B3" i="49"/>
  <c r="B2" i="49"/>
  <c r="C23" i="42"/>
  <c r="C24" i="42"/>
  <c r="C22" i="42"/>
  <c r="B42" i="49"/>
  <c r="F62" i="49"/>
  <c r="D62" i="49"/>
  <c r="B62" i="49"/>
  <c r="B14" i="49"/>
  <c r="B13" i="49"/>
  <c r="F59" i="49"/>
  <c r="F58" i="49"/>
  <c r="G57" i="49"/>
  <c r="F57" i="49"/>
  <c r="E57" i="49"/>
  <c r="E53" i="49"/>
  <c r="D57" i="49"/>
  <c r="D53" i="49"/>
  <c r="F56" i="49"/>
  <c r="F55" i="49"/>
  <c r="F54" i="49"/>
  <c r="G53" i="49"/>
  <c r="B51" i="49"/>
  <c r="E49" i="49"/>
  <c r="G27" i="45"/>
  <c r="G28" i="45"/>
  <c r="G29" i="45"/>
  <c r="G26" i="45"/>
  <c r="C28" i="45"/>
  <c r="C29" i="45"/>
  <c r="C27" i="45"/>
  <c r="C20" i="21"/>
  <c r="G7" i="51"/>
  <c r="G6" i="51"/>
  <c r="G5" i="51"/>
  <c r="G4" i="51"/>
  <c r="G3" i="51"/>
  <c r="G2" i="51"/>
  <c r="F27" i="23"/>
  <c r="G27" i="23"/>
  <c r="E27" i="23"/>
  <c r="G3" i="23"/>
  <c r="H86" i="22"/>
  <c r="L14" i="49"/>
  <c r="K5" i="49"/>
  <c r="L5" i="49"/>
  <c r="M5" i="49"/>
  <c r="N5" i="49"/>
  <c r="P5" i="49"/>
  <c r="L7" i="49"/>
  <c r="P4" i="49"/>
  <c r="D11" i="14"/>
  <c r="G11" i="5"/>
  <c r="I22" i="43"/>
  <c r="C28" i="43"/>
  <c r="I15" i="43"/>
  <c r="I25" i="43"/>
  <c r="C20" i="43"/>
  <c r="C29" i="43"/>
  <c r="C30" i="43"/>
  <c r="C31" i="43"/>
  <c r="C26" i="43"/>
  <c r="D12" i="43"/>
  <c r="E20" i="43"/>
  <c r="H20" i="43"/>
  <c r="H14" i="43"/>
  <c r="C14" i="43"/>
  <c r="C8" i="43"/>
  <c r="D8" i="43"/>
  <c r="E9" i="43"/>
  <c r="D16" i="43"/>
  <c r="D28" i="43"/>
  <c r="E10" i="43"/>
  <c r="D18" i="43"/>
  <c r="D30" i="43"/>
  <c r="E12" i="43"/>
  <c r="D19" i="43"/>
  <c r="D31" i="43"/>
  <c r="E13" i="43"/>
  <c r="E8" i="43"/>
  <c r="H9" i="43"/>
  <c r="H10" i="43"/>
  <c r="H11" i="43"/>
  <c r="H12" i="43"/>
  <c r="H13" i="43"/>
  <c r="H8" i="43"/>
  <c r="I8" i="43"/>
  <c r="B17" i="43"/>
  <c r="B23" i="43"/>
  <c r="B29" i="43"/>
  <c r="B12" i="43"/>
  <c r="B18" i="43"/>
  <c r="B24" i="43"/>
  <c r="B30" i="43"/>
  <c r="B13" i="43"/>
  <c r="B19" i="43"/>
  <c r="B25" i="43"/>
  <c r="B31" i="43"/>
  <c r="B10" i="43"/>
  <c r="B16" i="43"/>
  <c r="B22" i="43"/>
  <c r="B28" i="43"/>
  <c r="G16" i="49"/>
  <c r="J15" i="14"/>
  <c r="C11" i="14"/>
  <c r="E11" i="14"/>
  <c r="F11" i="14"/>
  <c r="G11" i="14"/>
  <c r="C12" i="14"/>
  <c r="E12" i="14"/>
  <c r="F12" i="14"/>
  <c r="G12" i="14"/>
  <c r="C13" i="14"/>
  <c r="F13" i="14"/>
  <c r="G13" i="14"/>
  <c r="C14" i="14"/>
  <c r="G14" i="14"/>
  <c r="E10" i="14"/>
  <c r="F10" i="14"/>
  <c r="G10" i="14"/>
  <c r="G9" i="14"/>
  <c r="B11" i="14"/>
  <c r="B12" i="14"/>
  <c r="B13" i="14"/>
  <c r="B14" i="14"/>
  <c r="B15" i="14"/>
  <c r="K8" i="49"/>
  <c r="N45" i="23"/>
  <c r="C11" i="11"/>
  <c r="F26" i="14"/>
  <c r="E26" i="14"/>
  <c r="D26" i="14"/>
  <c r="F75" i="21"/>
  <c r="G26" i="14"/>
  <c r="C21" i="14"/>
  <c r="C26" i="14"/>
  <c r="H10" i="14"/>
  <c r="H14" i="14"/>
  <c r="I10" i="14"/>
  <c r="I14" i="14"/>
  <c r="I9" i="14"/>
  <c r="I14" i="13"/>
  <c r="N35" i="23"/>
  <c r="L25" i="21"/>
  <c r="K25" i="21"/>
  <c r="B15" i="43"/>
  <c r="B21" i="43"/>
  <c r="B27" i="43"/>
  <c r="V12" i="8"/>
  <c r="W20" i="23"/>
  <c r="W31" i="23"/>
  <c r="W30" i="23"/>
  <c r="V31" i="23"/>
  <c r="G11" i="23"/>
  <c r="G21" i="23"/>
  <c r="G31" i="23"/>
  <c r="G36" i="23"/>
  <c r="R81" i="21"/>
  <c r="R82" i="21"/>
  <c r="R83" i="21"/>
  <c r="R84" i="21"/>
  <c r="R85" i="21"/>
  <c r="R86" i="21"/>
  <c r="P79" i="21"/>
  <c r="O86" i="21"/>
  <c r="O85" i="21"/>
  <c r="O84" i="21"/>
  <c r="O83" i="21"/>
  <c r="O82" i="21"/>
  <c r="O81" i="21"/>
  <c r="O80" i="21"/>
  <c r="O79" i="21"/>
  <c r="O78" i="21"/>
  <c r="Q73" i="21"/>
  <c r="R73" i="21"/>
  <c r="P48" i="21"/>
  <c r="P73" i="21"/>
  <c r="C18" i="21"/>
  <c r="C32" i="21"/>
  <c r="C33" i="21"/>
  <c r="C34" i="21"/>
  <c r="C35" i="21"/>
  <c r="C31" i="21"/>
  <c r="C19" i="21"/>
  <c r="H21" i="14"/>
  <c r="I21" i="14"/>
  <c r="L5" i="21"/>
  <c r="G3" i="21"/>
  <c r="F3" i="27"/>
  <c r="H3" i="21"/>
  <c r="G3" i="29"/>
  <c r="I3" i="21"/>
  <c r="O3" i="8"/>
  <c r="J3" i="21"/>
  <c r="C2" i="13"/>
  <c r="D3" i="21"/>
  <c r="C3" i="39"/>
  <c r="E3" i="21"/>
  <c r="G3" i="8"/>
  <c r="F3" i="21"/>
  <c r="J7" i="13"/>
  <c r="J8" i="13"/>
  <c r="J15" i="13"/>
  <c r="H26" i="14"/>
  <c r="I14" i="12"/>
  <c r="I26" i="14"/>
  <c r="J26" i="14"/>
  <c r="G15" i="25"/>
  <c r="H15" i="25"/>
  <c r="B20" i="8"/>
  <c r="B19" i="8"/>
  <c r="C16" i="21"/>
  <c r="C17" i="21"/>
  <c r="C15" i="21"/>
  <c r="A4" i="22"/>
  <c r="B5" i="22"/>
  <c r="B56" i="22"/>
  <c r="B64" i="22"/>
  <c r="B74" i="22"/>
  <c r="B86" i="22"/>
  <c r="C5" i="22"/>
  <c r="C56" i="22"/>
  <c r="C64" i="22"/>
  <c r="C74" i="22"/>
  <c r="C86" i="22"/>
  <c r="E5" i="22"/>
  <c r="E56" i="22"/>
  <c r="E64" i="22"/>
  <c r="E74" i="22"/>
  <c r="E86" i="22"/>
  <c r="B8" i="22"/>
  <c r="C8" i="22"/>
  <c r="E8" i="22"/>
  <c r="G8" i="22"/>
  <c r="F8" i="22"/>
  <c r="H8" i="22"/>
  <c r="B10" i="22"/>
  <c r="C10" i="22"/>
  <c r="D10" i="22"/>
  <c r="E10" i="22"/>
  <c r="F10" i="22"/>
  <c r="H10" i="22"/>
  <c r="B11" i="22"/>
  <c r="C11" i="22"/>
  <c r="E11" i="22"/>
  <c r="F11" i="22"/>
  <c r="H11" i="22"/>
  <c r="I11" i="22"/>
  <c r="B12" i="22"/>
  <c r="C12" i="22"/>
  <c r="E12" i="22"/>
  <c r="F12" i="22"/>
  <c r="H12" i="22"/>
  <c r="B13" i="22"/>
  <c r="C13" i="22"/>
  <c r="D13" i="22"/>
  <c r="E13" i="22"/>
  <c r="G13" i="22"/>
  <c r="F13" i="22"/>
  <c r="H13" i="22"/>
  <c r="I13" i="22"/>
  <c r="B14" i="22"/>
  <c r="C14" i="22"/>
  <c r="E14" i="22"/>
  <c r="F14" i="22"/>
  <c r="H14" i="22"/>
  <c r="B17" i="22"/>
  <c r="C17" i="22"/>
  <c r="D17" i="22"/>
  <c r="E17" i="22"/>
  <c r="F17" i="22"/>
  <c r="H17" i="22"/>
  <c r="I17" i="22"/>
  <c r="B18" i="22"/>
  <c r="C18" i="22"/>
  <c r="E18" i="22"/>
  <c r="G18" i="22"/>
  <c r="D18" i="22"/>
  <c r="H18" i="22"/>
  <c r="I18" i="22"/>
  <c r="F18" i="22"/>
  <c r="B19" i="22"/>
  <c r="C19" i="22"/>
  <c r="D19" i="22"/>
  <c r="E19" i="22"/>
  <c r="G19" i="22"/>
  <c r="F19" i="22"/>
  <c r="H19" i="22"/>
  <c r="B22" i="22"/>
  <c r="C22" i="22"/>
  <c r="D22" i="22"/>
  <c r="E22" i="22"/>
  <c r="G22" i="22"/>
  <c r="F22" i="22"/>
  <c r="H22" i="22"/>
  <c r="I22" i="22"/>
  <c r="B23" i="22"/>
  <c r="C23" i="22"/>
  <c r="E23" i="22"/>
  <c r="F23" i="22"/>
  <c r="H23" i="22"/>
  <c r="B24" i="22"/>
  <c r="C24" i="22"/>
  <c r="E24" i="22"/>
  <c r="G24" i="22"/>
  <c r="D24" i="22"/>
  <c r="F24" i="22"/>
  <c r="H24" i="22"/>
  <c r="B25" i="22"/>
  <c r="C25" i="22"/>
  <c r="D25" i="22"/>
  <c r="E25" i="22"/>
  <c r="G25" i="22"/>
  <c r="F25" i="22"/>
  <c r="H25" i="22"/>
  <c r="B27" i="22"/>
  <c r="C27" i="22"/>
  <c r="E27" i="22"/>
  <c r="F27" i="22"/>
  <c r="H27" i="22"/>
  <c r="I27" i="22"/>
  <c r="B29" i="22"/>
  <c r="C29" i="22"/>
  <c r="E29" i="22"/>
  <c r="G29" i="22"/>
  <c r="F29" i="22"/>
  <c r="H29" i="22"/>
  <c r="I29" i="22"/>
  <c r="B30" i="22"/>
  <c r="C30" i="22"/>
  <c r="D30" i="22"/>
  <c r="E30" i="22"/>
  <c r="F30" i="22"/>
  <c r="H30" i="22"/>
  <c r="B31" i="22"/>
  <c r="C31" i="22"/>
  <c r="D31" i="22"/>
  <c r="E31" i="22"/>
  <c r="F31" i="22"/>
  <c r="H31" i="22"/>
  <c r="A55" i="22"/>
  <c r="B60" i="22"/>
  <c r="C60" i="22"/>
  <c r="E60" i="22"/>
  <c r="I60" i="22"/>
  <c r="F60" i="22"/>
  <c r="H60" i="22"/>
  <c r="B61" i="22"/>
  <c r="E61" i="22"/>
  <c r="I61" i="22"/>
  <c r="C61" i="22"/>
  <c r="F61" i="22"/>
  <c r="H61" i="22"/>
  <c r="A63" i="22"/>
  <c r="B67" i="22"/>
  <c r="B68" i="22"/>
  <c r="E67" i="22"/>
  <c r="E68" i="22"/>
  <c r="I68" i="22"/>
  <c r="C67" i="22"/>
  <c r="D67" i="22"/>
  <c r="I67" i="22"/>
  <c r="F67" i="22"/>
  <c r="F68" i="22"/>
  <c r="H67" i="22"/>
  <c r="H68" i="22"/>
  <c r="B69" i="22"/>
  <c r="C69" i="22"/>
  <c r="E69" i="22"/>
  <c r="F69" i="22"/>
  <c r="F70" i="22"/>
  <c r="H69" i="22"/>
  <c r="H70" i="22"/>
  <c r="D74" i="22"/>
  <c r="D86" i="22"/>
  <c r="B75" i="22"/>
  <c r="C75" i="22"/>
  <c r="E75" i="22"/>
  <c r="I75" i="22"/>
  <c r="F75" i="22"/>
  <c r="H75" i="22"/>
  <c r="B76" i="22"/>
  <c r="C76" i="22"/>
  <c r="D76" i="22"/>
  <c r="E76" i="22"/>
  <c r="I76" i="22"/>
  <c r="F76" i="22"/>
  <c r="H76" i="22"/>
  <c r="B79" i="22"/>
  <c r="C79" i="22"/>
  <c r="D79" i="22"/>
  <c r="E79" i="22"/>
  <c r="I79" i="22"/>
  <c r="F79" i="22"/>
  <c r="H79" i="22"/>
  <c r="B87" i="22"/>
  <c r="C87" i="22"/>
  <c r="D87" i="22"/>
  <c r="E87" i="22"/>
  <c r="F87" i="22"/>
  <c r="H87" i="22"/>
  <c r="B88" i="22"/>
  <c r="C88" i="22"/>
  <c r="D88" i="22"/>
  <c r="E88" i="22"/>
  <c r="F88" i="22"/>
  <c r="H88" i="22"/>
  <c r="B89" i="22"/>
  <c r="C89" i="22"/>
  <c r="D89" i="22"/>
  <c r="E89" i="22"/>
  <c r="F89" i="22"/>
  <c r="H89" i="22"/>
  <c r="B90" i="22"/>
  <c r="C90" i="22"/>
  <c r="D90" i="22"/>
  <c r="E90" i="22"/>
  <c r="F90" i="22"/>
  <c r="H90" i="22"/>
  <c r="F7" i="33"/>
  <c r="G7" i="33"/>
  <c r="H7" i="33"/>
  <c r="I8" i="33"/>
  <c r="I15" i="33"/>
  <c r="I7" i="35"/>
  <c r="C19" i="35"/>
  <c r="D19" i="35"/>
  <c r="E19" i="35"/>
  <c r="F19" i="35"/>
  <c r="G19" i="35"/>
  <c r="H19" i="35"/>
  <c r="I19" i="35"/>
  <c r="I12" i="34"/>
  <c r="I13" i="34"/>
  <c r="I14" i="34"/>
  <c r="F7" i="36"/>
  <c r="G7" i="36"/>
  <c r="H7" i="36"/>
  <c r="I7" i="36"/>
  <c r="I8" i="36"/>
  <c r="I15" i="36"/>
  <c r="I7" i="4"/>
  <c r="C19" i="4"/>
  <c r="D19" i="4"/>
  <c r="E19" i="4"/>
  <c r="F19" i="4"/>
  <c r="G19" i="4"/>
  <c r="H19" i="4"/>
  <c r="I12" i="32"/>
  <c r="I13" i="32"/>
  <c r="I14" i="32"/>
  <c r="F7" i="17"/>
  <c r="G7" i="17"/>
  <c r="H7" i="17"/>
  <c r="F11" i="17"/>
  <c r="G11" i="17"/>
  <c r="H11" i="17"/>
  <c r="F15" i="17"/>
  <c r="G15" i="17"/>
  <c r="G17" i="17"/>
  <c r="H15" i="17"/>
  <c r="H17" i="17"/>
  <c r="F12" i="18"/>
  <c r="F5" i="12"/>
  <c r="G12" i="18"/>
  <c r="G5" i="12"/>
  <c r="H12" i="18"/>
  <c r="C4" i="7"/>
  <c r="D5" i="7"/>
  <c r="D20" i="7"/>
  <c r="D37" i="7"/>
  <c r="E5" i="7"/>
  <c r="E20" i="7"/>
  <c r="E36" i="7"/>
  <c r="F5" i="7"/>
  <c r="G5" i="7"/>
  <c r="D11" i="7"/>
  <c r="E11" i="7"/>
  <c r="F11" i="7"/>
  <c r="G11" i="7"/>
  <c r="G19" i="7"/>
  <c r="D14" i="7"/>
  <c r="E14" i="7"/>
  <c r="F14" i="7"/>
  <c r="G14" i="7"/>
  <c r="F20" i="7"/>
  <c r="G20" i="7"/>
  <c r="G37" i="7"/>
  <c r="D24" i="7"/>
  <c r="E24" i="7"/>
  <c r="F24" i="7"/>
  <c r="G24" i="7"/>
  <c r="D28" i="7"/>
  <c r="E28" i="7"/>
  <c r="E27" i="7"/>
  <c r="E34" i="7"/>
  <c r="F28" i="7"/>
  <c r="G28" i="7"/>
  <c r="C35" i="7"/>
  <c r="C36" i="7"/>
  <c r="C37" i="7"/>
  <c r="C4" i="19"/>
  <c r="D9" i="19"/>
  <c r="D16" i="19"/>
  <c r="D20" i="19"/>
  <c r="D22" i="19"/>
  <c r="E9" i="19"/>
  <c r="E16" i="19"/>
  <c r="E20" i="19"/>
  <c r="F9" i="19"/>
  <c r="F16" i="19"/>
  <c r="F20" i="19"/>
  <c r="F32" i="19"/>
  <c r="G9" i="19"/>
  <c r="G16" i="19"/>
  <c r="G20" i="19"/>
  <c r="C32" i="19"/>
  <c r="C33" i="19"/>
  <c r="C15" i="25"/>
  <c r="E15" i="25"/>
  <c r="F15" i="25"/>
  <c r="I15" i="25"/>
  <c r="J15" i="25"/>
  <c r="K15" i="25"/>
  <c r="C4" i="16"/>
  <c r="B2" i="24"/>
  <c r="D3" i="24"/>
  <c r="F3" i="24"/>
  <c r="D3" i="41"/>
  <c r="K3" i="41"/>
  <c r="G3" i="24"/>
  <c r="M5" i="24"/>
  <c r="I5" i="24"/>
  <c r="I6" i="24"/>
  <c r="K6" i="24"/>
  <c r="L6" i="24"/>
  <c r="M6" i="24"/>
  <c r="N6" i="24"/>
  <c r="K7" i="24"/>
  <c r="L7" i="24"/>
  <c r="M7" i="24"/>
  <c r="N7" i="24"/>
  <c r="E9" i="24"/>
  <c r="B77" i="22"/>
  <c r="F9" i="24"/>
  <c r="G9" i="24"/>
  <c r="H9" i="24"/>
  <c r="K10" i="24"/>
  <c r="L10" i="24"/>
  <c r="M10" i="24"/>
  <c r="N10" i="24"/>
  <c r="I11" i="24"/>
  <c r="I12" i="24"/>
  <c r="I13" i="24"/>
  <c r="B2" i="41"/>
  <c r="E3" i="41"/>
  <c r="M3" i="41"/>
  <c r="C9" i="41"/>
  <c r="D9" i="41"/>
  <c r="E9" i="41"/>
  <c r="C16" i="41"/>
  <c r="D16" i="41"/>
  <c r="D17" i="41"/>
  <c r="K19" i="45"/>
  <c r="E16" i="41"/>
  <c r="I16" i="41"/>
  <c r="K16" i="41"/>
  <c r="M16" i="41"/>
  <c r="C22" i="41"/>
  <c r="D22" i="41"/>
  <c r="E22" i="41"/>
  <c r="C26" i="41"/>
  <c r="C27" i="41"/>
  <c r="J20" i="45"/>
  <c r="D26" i="41"/>
  <c r="K12" i="41"/>
  <c r="E26" i="41"/>
  <c r="E27" i="41"/>
  <c r="C32" i="41"/>
  <c r="D32" i="41"/>
  <c r="E32" i="41"/>
  <c r="E36" i="41"/>
  <c r="E37" i="41"/>
  <c r="C36" i="41"/>
  <c r="C37" i="41"/>
  <c r="D36" i="41"/>
  <c r="D37" i="41"/>
  <c r="K21" i="45"/>
  <c r="A2" i="23"/>
  <c r="J3" i="23"/>
  <c r="L3" i="23"/>
  <c r="M3" i="23"/>
  <c r="Q4" i="23"/>
  <c r="R4" i="23"/>
  <c r="R17" i="23"/>
  <c r="S4" i="23"/>
  <c r="Q8" i="23"/>
  <c r="R8" i="23"/>
  <c r="S8" i="23"/>
  <c r="T8" i="23"/>
  <c r="Q10" i="23"/>
  <c r="R10" i="23"/>
  <c r="U10" i="23"/>
  <c r="S10" i="23"/>
  <c r="T10" i="23"/>
  <c r="D11" i="23"/>
  <c r="E11" i="23"/>
  <c r="F11" i="23"/>
  <c r="E9" i="22"/>
  <c r="K20" i="23"/>
  <c r="L20" i="23"/>
  <c r="R11" i="23"/>
  <c r="M20" i="23"/>
  <c r="E21" i="22"/>
  <c r="N20" i="23"/>
  <c r="W21" i="23"/>
  <c r="W22" i="23"/>
  <c r="W23" i="23"/>
  <c r="W24" i="23"/>
  <c r="W25" i="23"/>
  <c r="K26" i="23"/>
  <c r="L26" i="23"/>
  <c r="M26" i="23"/>
  <c r="N26" i="23"/>
  <c r="D27" i="23"/>
  <c r="F12" i="45"/>
  <c r="F31" i="23"/>
  <c r="W26" i="23"/>
  <c r="W32" i="23"/>
  <c r="W33" i="23"/>
  <c r="K35" i="23"/>
  <c r="Q7" i="23"/>
  <c r="L35" i="23"/>
  <c r="K14" i="45"/>
  <c r="M35" i="23"/>
  <c r="L14" i="45"/>
  <c r="W35" i="23"/>
  <c r="D36" i="23"/>
  <c r="E36" i="23"/>
  <c r="F36" i="23"/>
  <c r="D37" i="23"/>
  <c r="E37" i="23"/>
  <c r="F37" i="23"/>
  <c r="G37" i="23"/>
  <c r="W37" i="23"/>
  <c r="W38" i="23"/>
  <c r="W39" i="23"/>
  <c r="Q40" i="23"/>
  <c r="R40" i="23"/>
  <c r="S40" i="23"/>
  <c r="W40" i="23"/>
  <c r="W41" i="23"/>
  <c r="F7" i="29"/>
  <c r="G7" i="29"/>
  <c r="H7" i="29"/>
  <c r="I8" i="29"/>
  <c r="I15" i="29"/>
  <c r="I7" i="31"/>
  <c r="C19" i="31"/>
  <c r="D19" i="31"/>
  <c r="E19" i="31"/>
  <c r="F19" i="31"/>
  <c r="G19" i="31"/>
  <c r="H19" i="31"/>
  <c r="G4" i="12"/>
  <c r="G4" i="30"/>
  <c r="I12" i="30"/>
  <c r="I13" i="30"/>
  <c r="I14" i="30"/>
  <c r="F7" i="27"/>
  <c r="G7" i="27"/>
  <c r="H7" i="27"/>
  <c r="I8" i="27"/>
  <c r="I15" i="27"/>
  <c r="I7" i="5"/>
  <c r="C19" i="5"/>
  <c r="D19" i="5"/>
  <c r="E19" i="5"/>
  <c r="F19" i="5"/>
  <c r="G19" i="5"/>
  <c r="H19" i="5"/>
  <c r="F5" i="28"/>
  <c r="I12" i="28"/>
  <c r="I13" i="28"/>
  <c r="I14" i="28"/>
  <c r="B2" i="44"/>
  <c r="E17" i="44"/>
  <c r="E18" i="44"/>
  <c r="E19" i="44"/>
  <c r="E20" i="44"/>
  <c r="E21" i="44"/>
  <c r="E23" i="44"/>
  <c r="I3" i="39"/>
  <c r="G7" i="39"/>
  <c r="H7" i="39"/>
  <c r="I7" i="39"/>
  <c r="J7" i="39"/>
  <c r="J8" i="39"/>
  <c r="J15" i="39"/>
  <c r="I9" i="46"/>
  <c r="I10" i="46"/>
  <c r="I11" i="46"/>
  <c r="C19" i="46"/>
  <c r="D19" i="46"/>
  <c r="E19" i="46"/>
  <c r="F19" i="46"/>
  <c r="G19" i="46"/>
  <c r="H19" i="46"/>
  <c r="D2" i="45"/>
  <c r="E6" i="45"/>
  <c r="F6" i="45"/>
  <c r="G6" i="45"/>
  <c r="J6" i="45"/>
  <c r="K6" i="45"/>
  <c r="L6" i="45"/>
  <c r="E8" i="45"/>
  <c r="F8" i="45"/>
  <c r="G8" i="45"/>
  <c r="J8" i="45"/>
  <c r="K8" i="45"/>
  <c r="L8" i="45"/>
  <c r="E9" i="45"/>
  <c r="F9" i="45"/>
  <c r="G9" i="45"/>
  <c r="J9" i="45"/>
  <c r="K9" i="45"/>
  <c r="L9" i="45"/>
  <c r="E10" i="45"/>
  <c r="F10" i="45"/>
  <c r="G10" i="45"/>
  <c r="J10" i="45"/>
  <c r="K10" i="45"/>
  <c r="L10" i="45"/>
  <c r="E11" i="45"/>
  <c r="F11" i="45"/>
  <c r="G11" i="45"/>
  <c r="J12" i="45"/>
  <c r="K12" i="45"/>
  <c r="L12" i="45"/>
  <c r="E13" i="45"/>
  <c r="F13" i="45"/>
  <c r="G13" i="45"/>
  <c r="E14" i="45"/>
  <c r="F14" i="45"/>
  <c r="G14" i="45"/>
  <c r="J15" i="45"/>
  <c r="K15" i="45"/>
  <c r="L15" i="45"/>
  <c r="J16" i="45"/>
  <c r="K16" i="45"/>
  <c r="L16" i="45"/>
  <c r="D24" i="45"/>
  <c r="D25" i="45"/>
  <c r="E33" i="45"/>
  <c r="E34" i="45"/>
  <c r="B2" i="2"/>
  <c r="D2" i="21"/>
  <c r="C2" i="12"/>
  <c r="I12" i="12"/>
  <c r="I13" i="12"/>
  <c r="C2" i="11"/>
  <c r="J7" i="11"/>
  <c r="J19" i="11"/>
  <c r="I19" i="46"/>
  <c r="B2" i="14"/>
  <c r="J8" i="14"/>
  <c r="J16" i="14"/>
  <c r="J23" i="14"/>
  <c r="J27" i="14"/>
  <c r="B2" i="43"/>
  <c r="B2" i="37"/>
  <c r="B2" i="26"/>
  <c r="C2" i="8"/>
  <c r="C2" i="17"/>
  <c r="C2" i="18"/>
  <c r="C2" i="7"/>
  <c r="C2" i="19"/>
  <c r="C2" i="6"/>
  <c r="C2" i="20"/>
  <c r="C2" i="25"/>
  <c r="B2" i="16"/>
  <c r="C4" i="26"/>
  <c r="C5" i="26"/>
  <c r="I14" i="22"/>
  <c r="L15" i="41"/>
  <c r="H11" i="35"/>
  <c r="H11" i="4"/>
  <c r="H11" i="31"/>
  <c r="H11" i="5"/>
  <c r="N15" i="41"/>
  <c r="M15" i="41"/>
  <c r="L21" i="45"/>
  <c r="J15" i="41"/>
  <c r="I15" i="41"/>
  <c r="C58" i="22"/>
  <c r="F16" i="22"/>
  <c r="H16" i="22"/>
  <c r="H59" i="22"/>
  <c r="F59" i="22"/>
  <c r="C59" i="22"/>
  <c r="C16" i="22"/>
  <c r="B28" i="22"/>
  <c r="E59" i="22"/>
  <c r="B16" i="22"/>
  <c r="D16" i="22"/>
  <c r="H56" i="22"/>
  <c r="F64" i="22"/>
  <c r="R7" i="23"/>
  <c r="H3" i="24"/>
  <c r="N5" i="24"/>
  <c r="K15" i="41"/>
  <c r="R28" i="23"/>
  <c r="R38" i="23"/>
  <c r="W27" i="23"/>
  <c r="N8" i="24"/>
  <c r="I24" i="22"/>
  <c r="I12" i="22"/>
  <c r="E12" i="45"/>
  <c r="F21" i="23"/>
  <c r="B9" i="22"/>
  <c r="D21" i="23"/>
  <c r="E7" i="45"/>
  <c r="D27" i="41"/>
  <c r="G12" i="22"/>
  <c r="L9" i="41"/>
  <c r="K14" i="41"/>
  <c r="L14" i="41"/>
  <c r="J13" i="41"/>
  <c r="I8" i="41"/>
  <c r="I13" i="41"/>
  <c r="M13" i="41"/>
  <c r="N13" i="41"/>
  <c r="L12" i="41"/>
  <c r="M14" i="41"/>
  <c r="L20" i="45"/>
  <c r="N14" i="41"/>
  <c r="N8" i="41"/>
  <c r="M12" i="41"/>
  <c r="I14" i="41"/>
  <c r="I12" i="41"/>
  <c r="J14" i="41"/>
  <c r="L13" i="41"/>
  <c r="K13" i="41"/>
  <c r="K17" i="41"/>
  <c r="K8" i="41"/>
  <c r="L6" i="41"/>
  <c r="N5" i="41"/>
  <c r="D12" i="22"/>
  <c r="E31" i="23"/>
  <c r="C15" i="22"/>
  <c r="G14" i="22"/>
  <c r="G13" i="18"/>
  <c r="F13" i="18"/>
  <c r="D23" i="22"/>
  <c r="D14" i="22"/>
  <c r="E14" i="24"/>
  <c r="K8" i="24"/>
  <c r="G3" i="12"/>
  <c r="G3" i="34"/>
  <c r="D3" i="11"/>
  <c r="Q78" i="21"/>
  <c r="R78" i="21"/>
  <c r="E3" i="33"/>
  <c r="B19" i="44"/>
  <c r="C3" i="13"/>
  <c r="B17" i="44"/>
  <c r="D3" i="12"/>
  <c r="G3" i="46"/>
  <c r="G3" i="31"/>
  <c r="D3" i="31"/>
  <c r="Q3" i="8"/>
  <c r="G3" i="14"/>
  <c r="G3" i="43"/>
  <c r="G3" i="4"/>
  <c r="G3" i="18"/>
  <c r="G3" i="28"/>
  <c r="G3" i="30"/>
  <c r="G3" i="5"/>
  <c r="B21" i="44"/>
  <c r="I4" i="25"/>
  <c r="G3" i="36"/>
  <c r="G3" i="33"/>
  <c r="I25" i="22"/>
  <c r="E16" i="22"/>
  <c r="G12" i="45"/>
  <c r="D3" i="35"/>
  <c r="D3" i="28"/>
  <c r="H3" i="32"/>
  <c r="D3" i="39"/>
  <c r="H3" i="35"/>
  <c r="D3" i="5"/>
  <c r="D3" i="27"/>
  <c r="D3" i="13"/>
  <c r="E3" i="27"/>
  <c r="E3" i="34"/>
  <c r="D3" i="18"/>
  <c r="F3" i="36"/>
  <c r="H3" i="28"/>
  <c r="H3" i="12"/>
  <c r="E3" i="46"/>
  <c r="E3" i="31"/>
  <c r="E3" i="35"/>
  <c r="D3" i="30"/>
  <c r="F3" i="31"/>
  <c r="J4" i="25"/>
  <c r="G3" i="11"/>
  <c r="M3" i="8"/>
  <c r="N27" i="23"/>
  <c r="H26" i="22"/>
  <c r="I8" i="22"/>
  <c r="N7" i="41"/>
  <c r="N6" i="41"/>
  <c r="L11" i="45"/>
  <c r="L7" i="45"/>
  <c r="H9" i="22"/>
  <c r="I9" i="22"/>
  <c r="F9" i="22"/>
  <c r="V10" i="23"/>
  <c r="H14" i="24"/>
  <c r="H78" i="22"/>
  <c r="F77" i="22"/>
  <c r="H77" i="22"/>
  <c r="I31" i="22"/>
  <c r="C3" i="4"/>
  <c r="C3" i="31"/>
  <c r="G3" i="35"/>
  <c r="G3" i="32"/>
  <c r="G3" i="39"/>
  <c r="Q79" i="21"/>
  <c r="R79" i="21"/>
  <c r="Q80" i="21"/>
  <c r="P80" i="21"/>
  <c r="R80" i="21"/>
  <c r="G5" i="28"/>
  <c r="E28" i="22"/>
  <c r="S11" i="23"/>
  <c r="V11" i="23"/>
  <c r="J19" i="46"/>
  <c r="C26" i="22"/>
  <c r="W29" i="23"/>
  <c r="T11" i="23"/>
  <c r="G27" i="7"/>
  <c r="G36" i="7"/>
  <c r="H5" i="12"/>
  <c r="F5" i="30"/>
  <c r="H3" i="14"/>
  <c r="H3" i="43"/>
  <c r="H3" i="11"/>
  <c r="H3" i="36"/>
  <c r="H3" i="4"/>
  <c r="B22" i="44"/>
  <c r="H3" i="27"/>
  <c r="H3" i="33"/>
  <c r="H3" i="34"/>
  <c r="H3" i="5"/>
  <c r="H3" i="31"/>
  <c r="G17" i="22"/>
  <c r="N9" i="24"/>
  <c r="F78" i="22"/>
  <c r="H7" i="22"/>
  <c r="W19" i="23"/>
  <c r="H9" i="35"/>
  <c r="H9" i="5"/>
  <c r="H9" i="4"/>
  <c r="H9" i="31"/>
  <c r="I25" i="14"/>
  <c r="G22" i="19"/>
  <c r="G25" i="19"/>
  <c r="G30" i="19"/>
  <c r="G33" i="19"/>
  <c r="G32" i="19"/>
  <c r="J68" i="22"/>
  <c r="G39" i="23"/>
  <c r="D25" i="19"/>
  <c r="D30" i="19"/>
  <c r="F22" i="19"/>
  <c r="F25" i="19"/>
  <c r="F30" i="19"/>
  <c r="F33" i="19"/>
  <c r="F15" i="22"/>
  <c r="H15" i="22"/>
  <c r="H66" i="22"/>
  <c r="G6" i="13"/>
  <c r="H6" i="39"/>
  <c r="F11" i="13"/>
  <c r="D11" i="13"/>
  <c r="F11" i="27"/>
  <c r="D36" i="7"/>
  <c r="G11" i="13"/>
  <c r="C11" i="13"/>
  <c r="N11" i="41"/>
  <c r="L5" i="24"/>
  <c r="F39" i="23"/>
  <c r="E66" i="22"/>
  <c r="F33" i="22"/>
  <c r="F7" i="22"/>
  <c r="H33" i="22"/>
  <c r="H34" i="22"/>
  <c r="H20" i="24"/>
  <c r="G11" i="27"/>
  <c r="G11" i="39"/>
  <c r="L8" i="41"/>
  <c r="J14" i="45"/>
  <c r="D27" i="7"/>
  <c r="F3" i="30"/>
  <c r="F3" i="18"/>
  <c r="F3" i="46"/>
  <c r="K3" i="8"/>
  <c r="F3" i="5"/>
  <c r="F3" i="35"/>
  <c r="F3" i="29"/>
  <c r="F3" i="4"/>
  <c r="F3" i="12"/>
  <c r="E3" i="4"/>
  <c r="E3" i="12"/>
  <c r="E3" i="18"/>
  <c r="G3" i="13"/>
  <c r="G16" i="22"/>
  <c r="L5" i="41"/>
  <c r="L7" i="41"/>
  <c r="J11" i="41"/>
  <c r="B7" i="22"/>
  <c r="Q9" i="23"/>
  <c r="E7" i="22"/>
  <c r="I7" i="22"/>
  <c r="I17" i="41"/>
  <c r="I7" i="27"/>
  <c r="C21" i="22"/>
  <c r="K7" i="45"/>
  <c r="L10" i="41"/>
  <c r="L11" i="41"/>
  <c r="C17" i="41"/>
  <c r="E77" i="22"/>
  <c r="I77" i="22"/>
  <c r="M8" i="24"/>
  <c r="G14" i="24"/>
  <c r="D19" i="14"/>
  <c r="F20" i="22"/>
  <c r="S7" i="23"/>
  <c r="E58" i="22"/>
  <c r="B26" i="22"/>
  <c r="D26" i="22"/>
  <c r="J11" i="45"/>
  <c r="F21" i="22"/>
  <c r="H21" i="22"/>
  <c r="I21" i="22"/>
  <c r="C3" i="41"/>
  <c r="I3" i="41"/>
  <c r="K5" i="24"/>
  <c r="E19" i="7"/>
  <c r="E35" i="7"/>
  <c r="E37" i="7"/>
  <c r="C19" i="14"/>
  <c r="G5" i="32"/>
  <c r="G11" i="36"/>
  <c r="G5" i="34"/>
  <c r="I7" i="33"/>
  <c r="G11" i="33"/>
  <c r="C39" i="41"/>
  <c r="J18" i="45"/>
  <c r="J19" i="45"/>
  <c r="L18" i="21"/>
  <c r="K18" i="21"/>
  <c r="F14" i="14"/>
  <c r="E21" i="14"/>
  <c r="E11" i="11"/>
  <c r="G11" i="35"/>
  <c r="G21" i="14"/>
  <c r="G11" i="31"/>
  <c r="H4" i="25"/>
  <c r="F3" i="13"/>
  <c r="F3" i="39"/>
  <c r="F3" i="32"/>
  <c r="C3" i="30"/>
  <c r="I3" i="13"/>
  <c r="C3" i="29"/>
  <c r="C3" i="11"/>
  <c r="B23" i="44"/>
  <c r="F3" i="28"/>
  <c r="B20" i="44"/>
  <c r="F3" i="34"/>
  <c r="F3" i="11"/>
  <c r="F3" i="33"/>
  <c r="C3" i="18"/>
  <c r="C3" i="27"/>
  <c r="F21" i="14"/>
  <c r="G11" i="4"/>
  <c r="F11" i="4"/>
  <c r="F11" i="5"/>
  <c r="F11" i="31"/>
  <c r="F11" i="35"/>
  <c r="M9" i="24"/>
  <c r="E78" i="22"/>
  <c r="H65" i="22"/>
  <c r="S5" i="23"/>
  <c r="G20" i="24"/>
  <c r="G7" i="14"/>
  <c r="G23" i="22"/>
  <c r="I23" i="22"/>
  <c r="I69" i="22"/>
  <c r="E70" i="22"/>
  <c r="C68" i="22"/>
  <c r="D68" i="22"/>
  <c r="F9" i="14"/>
  <c r="N10" i="41"/>
  <c r="N12" i="41"/>
  <c r="N9" i="41"/>
  <c r="E15" i="22"/>
  <c r="F66" i="22"/>
  <c r="S28" i="23"/>
  <c r="S38" i="23"/>
  <c r="S17" i="23"/>
  <c r="D32" i="19"/>
  <c r="D33" i="19"/>
  <c r="G4" i="34"/>
  <c r="G4" i="32"/>
  <c r="G20" i="17"/>
  <c r="G21" i="17"/>
  <c r="D7" i="14"/>
  <c r="D34" i="7"/>
  <c r="G21" i="22"/>
  <c r="D8" i="22"/>
  <c r="S9" i="23"/>
  <c r="E33" i="22"/>
  <c r="I33" i="22"/>
  <c r="I19" i="31"/>
  <c r="I7" i="29"/>
  <c r="F26" i="22"/>
  <c r="W34" i="23"/>
  <c r="F27" i="7"/>
  <c r="F34" i="7"/>
  <c r="D29" i="22"/>
  <c r="G27" i="22"/>
  <c r="I19" i="5"/>
  <c r="D75" i="22"/>
  <c r="D60" i="22"/>
  <c r="M17" i="41"/>
  <c r="L18" i="45"/>
  <c r="L19" i="45"/>
  <c r="J18" i="24"/>
  <c r="B70" i="22"/>
  <c r="J69" i="22"/>
  <c r="F3" i="14"/>
  <c r="F3" i="43"/>
  <c r="G5" i="30"/>
  <c r="G4" i="28"/>
  <c r="G22" i="17"/>
  <c r="G19" i="17"/>
  <c r="G6" i="12"/>
  <c r="G6" i="28"/>
  <c r="G7" i="28"/>
  <c r="G6" i="36"/>
  <c r="G6" i="33"/>
  <c r="G6" i="34"/>
  <c r="G7" i="34"/>
  <c r="G8" i="34"/>
  <c r="G32" i="24"/>
  <c r="S31" i="23"/>
  <c r="S30" i="23"/>
  <c r="G6" i="32"/>
  <c r="G7" i="32"/>
  <c r="G6" i="27"/>
  <c r="G9" i="34"/>
  <c r="G6" i="30"/>
  <c r="E28" i="43"/>
  <c r="H5" i="43"/>
  <c r="H4" i="43"/>
  <c r="H33" i="43"/>
  <c r="N39" i="23"/>
  <c r="F58" i="22"/>
  <c r="H28" i="22"/>
  <c r="I28" i="22"/>
  <c r="T7" i="23"/>
  <c r="H58" i="22"/>
  <c r="F28" i="22"/>
  <c r="H32" i="24"/>
  <c r="H80" i="22"/>
  <c r="H82" i="22"/>
  <c r="F80" i="22"/>
  <c r="F82" i="22"/>
  <c r="L8" i="24"/>
  <c r="B58" i="22"/>
  <c r="I58" i="22"/>
  <c r="U7" i="23"/>
  <c r="D58" i="22"/>
  <c r="C28" i="22"/>
  <c r="D28" i="22"/>
  <c r="I16" i="22"/>
  <c r="G28" i="22"/>
  <c r="H3" i="29"/>
  <c r="D3" i="14"/>
  <c r="D3" i="43"/>
  <c r="D3" i="32"/>
  <c r="F4" i="25"/>
  <c r="D3" i="4"/>
  <c r="D3" i="46"/>
  <c r="D3" i="33"/>
  <c r="H3" i="39"/>
  <c r="H3" i="46"/>
  <c r="H3" i="13"/>
  <c r="D3" i="36"/>
  <c r="D3" i="34"/>
  <c r="B18" i="44"/>
  <c r="D3" i="29"/>
  <c r="H3" i="18"/>
  <c r="H3" i="30"/>
  <c r="H9" i="14"/>
  <c r="J11" i="14"/>
  <c r="N8" i="49"/>
  <c r="L8" i="49"/>
  <c r="M8" i="49"/>
  <c r="P8" i="49"/>
  <c r="L9" i="49"/>
  <c r="I23" i="43"/>
  <c r="D17" i="43"/>
  <c r="L15" i="49"/>
  <c r="C28" i="44"/>
  <c r="E28" i="45"/>
  <c r="B22" i="49"/>
  <c r="G17" i="49"/>
  <c r="F53" i="49"/>
  <c r="K7" i="21"/>
  <c r="E29" i="45"/>
  <c r="D12" i="14"/>
  <c r="J12" i="14"/>
  <c r="C29" i="44"/>
  <c r="I17" i="43"/>
  <c r="D29" i="43"/>
  <c r="D26" i="43"/>
  <c r="E29" i="43"/>
  <c r="G9" i="4"/>
  <c r="K17" i="21"/>
  <c r="L17" i="21"/>
  <c r="F4" i="5"/>
  <c r="F4" i="31"/>
  <c r="G9" i="35"/>
  <c r="G9" i="31"/>
  <c r="G9" i="5"/>
  <c r="G4" i="31"/>
  <c r="G4" i="5"/>
  <c r="F22" i="14"/>
  <c r="F13" i="13"/>
  <c r="H4" i="31"/>
  <c r="H4" i="5"/>
  <c r="G13" i="13"/>
  <c r="G22" i="14"/>
  <c r="C10" i="14"/>
  <c r="C9" i="14"/>
  <c r="G6" i="5"/>
  <c r="G12" i="33"/>
  <c r="C22" i="44"/>
  <c r="M9" i="49"/>
  <c r="M6" i="49"/>
  <c r="M10" i="49"/>
  <c r="M11" i="49"/>
  <c r="K5" i="21"/>
  <c r="C27" i="44"/>
  <c r="D10" i="14"/>
  <c r="D7" i="43"/>
  <c r="I7" i="43"/>
  <c r="E18" i="43"/>
  <c r="E13" i="14"/>
  <c r="D13" i="14"/>
  <c r="J13" i="14"/>
  <c r="D20" i="43"/>
  <c r="I20" i="43"/>
  <c r="I21" i="43"/>
  <c r="P3" i="49"/>
  <c r="I6" i="46"/>
  <c r="N6" i="49"/>
  <c r="N10" i="49"/>
  <c r="L6" i="49"/>
  <c r="K6" i="49"/>
  <c r="I24" i="43"/>
  <c r="H6" i="4"/>
  <c r="H6" i="31"/>
  <c r="H6" i="35"/>
  <c r="K9" i="21"/>
  <c r="I27" i="45"/>
  <c r="D14" i="14"/>
  <c r="K7" i="49"/>
  <c r="P7" i="49"/>
  <c r="E19" i="43"/>
  <c r="E14" i="43"/>
  <c r="E14" i="14"/>
  <c r="E9" i="14"/>
  <c r="O7" i="21"/>
  <c r="C31" i="44"/>
  <c r="H6" i="5"/>
  <c r="I19" i="43"/>
  <c r="J14" i="14"/>
  <c r="G14" i="13"/>
  <c r="F6" i="31"/>
  <c r="F6" i="5"/>
  <c r="F14" i="13"/>
  <c r="H22" i="14"/>
  <c r="H20" i="11"/>
  <c r="H25" i="14"/>
  <c r="F25" i="14"/>
  <c r="F20" i="11"/>
  <c r="G25" i="14"/>
  <c r="G20" i="11"/>
  <c r="E31" i="43"/>
  <c r="P6" i="49"/>
  <c r="K10" i="49"/>
  <c r="E11" i="21"/>
  <c r="F6" i="4"/>
  <c r="F6" i="35"/>
  <c r="P10" i="49"/>
  <c r="E27" i="45"/>
  <c r="G8" i="32"/>
  <c r="G9" i="32"/>
  <c r="G15" i="22"/>
  <c r="S20" i="23"/>
  <c r="S19" i="23"/>
  <c r="D40" i="41"/>
  <c r="K20" i="45"/>
  <c r="D39" i="41"/>
  <c r="K18" i="45"/>
  <c r="E32" i="19"/>
  <c r="E33" i="19"/>
  <c r="E22" i="19"/>
  <c r="E25" i="19"/>
  <c r="E30" i="19"/>
  <c r="F36" i="7"/>
  <c r="F19" i="7"/>
  <c r="F35" i="7"/>
  <c r="F37" i="7"/>
  <c r="F5" i="34"/>
  <c r="F11" i="33"/>
  <c r="F5" i="32"/>
  <c r="F11" i="36"/>
  <c r="H4" i="12"/>
  <c r="H4" i="34"/>
  <c r="H4" i="32"/>
  <c r="H20" i="17"/>
  <c r="H6" i="13"/>
  <c r="I19" i="4"/>
  <c r="I30" i="22"/>
  <c r="G30" i="22"/>
  <c r="G11" i="22"/>
  <c r="D11" i="22"/>
  <c r="G10" i="22"/>
  <c r="E57" i="22"/>
  <c r="J10" i="22"/>
  <c r="I10" i="22"/>
  <c r="L10" i="49"/>
  <c r="K9" i="49"/>
  <c r="K11" i="49"/>
  <c r="D14" i="43"/>
  <c r="I14" i="43"/>
  <c r="K16" i="21"/>
  <c r="I16" i="43"/>
  <c r="I18" i="43"/>
  <c r="K15" i="21"/>
  <c r="L11" i="49"/>
  <c r="J7" i="41"/>
  <c r="J5" i="41"/>
  <c r="J6" i="41"/>
  <c r="J8" i="41"/>
  <c r="I15" i="22"/>
  <c r="G7" i="12"/>
  <c r="G12" i="36"/>
  <c r="H12" i="39"/>
  <c r="G34" i="7"/>
  <c r="G35" i="7"/>
  <c r="H11" i="39"/>
  <c r="G19" i="14"/>
  <c r="G11" i="29"/>
  <c r="H22" i="24"/>
  <c r="N11" i="24"/>
  <c r="N13" i="24"/>
  <c r="F6" i="22"/>
  <c r="H6" i="22"/>
  <c r="T5" i="23"/>
  <c r="W18" i="23"/>
  <c r="H57" i="22"/>
  <c r="F57" i="22"/>
  <c r="W28" i="23"/>
  <c r="X28" i="23"/>
  <c r="T6" i="23"/>
  <c r="T29" i="23"/>
  <c r="H32" i="22"/>
  <c r="H20" i="22"/>
  <c r="F32" i="22"/>
  <c r="M11" i="24"/>
  <c r="M13" i="24"/>
  <c r="L17" i="45"/>
  <c r="E80" i="22"/>
  <c r="G22" i="24"/>
  <c r="H5" i="32"/>
  <c r="H11" i="36"/>
  <c r="H5" i="34"/>
  <c r="H11" i="33"/>
  <c r="J70" i="22"/>
  <c r="I70" i="22"/>
  <c r="F35" i="22"/>
  <c r="V7" i="23"/>
  <c r="S22" i="23"/>
  <c r="E6" i="22"/>
  <c r="G15" i="45"/>
  <c r="F65" i="22"/>
  <c r="B78" i="22"/>
  <c r="I78" i="22"/>
  <c r="K9" i="24"/>
  <c r="E20" i="24"/>
  <c r="B34" i="22"/>
  <c r="J7" i="45"/>
  <c r="B33" i="22"/>
  <c r="B21" i="22"/>
  <c r="D21" i="22"/>
  <c r="K27" i="23"/>
  <c r="Q11" i="23"/>
  <c r="U8" i="23"/>
  <c r="V8" i="23"/>
  <c r="Q17" i="23"/>
  <c r="Q28" i="23"/>
  <c r="Q38" i="23"/>
  <c r="J21" i="45"/>
  <c r="C40" i="41"/>
  <c r="H5" i="28"/>
  <c r="I5" i="28"/>
  <c r="C70" i="22"/>
  <c r="D70" i="22"/>
  <c r="D69" i="22"/>
  <c r="I19" i="22"/>
  <c r="K19" i="22"/>
  <c r="C3" i="32"/>
  <c r="C3" i="33"/>
  <c r="C3" i="5"/>
  <c r="E4" i="25"/>
  <c r="C3" i="28"/>
  <c r="C3" i="36"/>
  <c r="C3" i="46"/>
  <c r="E3" i="8"/>
  <c r="C3" i="12"/>
  <c r="C3" i="14"/>
  <c r="C3" i="43"/>
  <c r="C3" i="35"/>
  <c r="C3" i="34"/>
  <c r="H74" i="22"/>
  <c r="H64" i="22"/>
  <c r="N3" i="23"/>
  <c r="W17" i="23"/>
  <c r="H5" i="22"/>
  <c r="L33" i="21"/>
  <c r="J9" i="41"/>
  <c r="J10" i="41"/>
  <c r="J12" i="41"/>
  <c r="E34" i="22"/>
  <c r="I34" i="22"/>
  <c r="G7" i="45"/>
  <c r="K11" i="45"/>
  <c r="L27" i="23"/>
  <c r="H13" i="18"/>
  <c r="H5" i="30"/>
  <c r="I5" i="30"/>
  <c r="F34" i="22"/>
  <c r="T9" i="23"/>
  <c r="F19" i="14"/>
  <c r="F11" i="29"/>
  <c r="C9" i="22"/>
  <c r="E21" i="23"/>
  <c r="E3" i="28"/>
  <c r="E3" i="14"/>
  <c r="E3" i="43"/>
  <c r="G4" i="25"/>
  <c r="E3" i="11"/>
  <c r="E3" i="36"/>
  <c r="I3" i="8"/>
  <c r="E3" i="39"/>
  <c r="E3" i="5"/>
  <c r="E3" i="29"/>
  <c r="E3" i="13"/>
  <c r="E3" i="32"/>
  <c r="E3" i="30"/>
  <c r="K4" i="25"/>
  <c r="I3" i="14"/>
  <c r="I3" i="11"/>
  <c r="E26" i="22"/>
  <c r="M27" i="23"/>
  <c r="C77" i="22"/>
  <c r="D77" i="22"/>
  <c r="F14" i="24"/>
  <c r="D19" i="7"/>
  <c r="D35" i="7"/>
  <c r="F17" i="17"/>
  <c r="D61" i="22"/>
  <c r="D27" i="22"/>
  <c r="W36" i="23"/>
  <c r="X36" i="23"/>
  <c r="N44" i="23"/>
  <c r="B59" i="22"/>
  <c r="D31" i="23"/>
  <c r="E17" i="41"/>
  <c r="G31" i="22"/>
  <c r="B11" i="49"/>
  <c r="T11" i="8"/>
  <c r="G3" i="27"/>
  <c r="C78" i="22"/>
  <c r="D78" i="22"/>
  <c r="L9" i="24"/>
  <c r="F20" i="24"/>
  <c r="D9" i="22"/>
  <c r="G9" i="22"/>
  <c r="I59" i="22"/>
  <c r="D59" i="22"/>
  <c r="F6" i="13"/>
  <c r="F4" i="34"/>
  <c r="F4" i="32"/>
  <c r="F4" i="12"/>
  <c r="F20" i="17"/>
  <c r="E20" i="22"/>
  <c r="M39" i="23"/>
  <c r="E32" i="22"/>
  <c r="I32" i="22"/>
  <c r="S6" i="23"/>
  <c r="L13" i="45"/>
  <c r="T9" i="8"/>
  <c r="S9" i="8"/>
  <c r="T28" i="23"/>
  <c r="T4" i="23"/>
  <c r="I11" i="33"/>
  <c r="K39" i="23"/>
  <c r="Q6" i="23"/>
  <c r="J13" i="45"/>
  <c r="B20" i="22"/>
  <c r="B32" i="22"/>
  <c r="J6" i="22"/>
  <c r="E81" i="22"/>
  <c r="G26" i="24"/>
  <c r="G31" i="24"/>
  <c r="M12" i="24"/>
  <c r="M14" i="24"/>
  <c r="I6" i="22"/>
  <c r="H35" i="22"/>
  <c r="K6" i="22"/>
  <c r="E7" i="14"/>
  <c r="H22" i="17"/>
  <c r="H21" i="17"/>
  <c r="H19" i="17"/>
  <c r="H10" i="31"/>
  <c r="H10" i="5"/>
  <c r="H10" i="4"/>
  <c r="H10" i="35"/>
  <c r="I37" i="21"/>
  <c r="H31" i="43"/>
  <c r="B12" i="49"/>
  <c r="B10" i="49"/>
  <c r="M33" i="8"/>
  <c r="G26" i="22"/>
  <c r="J26" i="22"/>
  <c r="I26" i="22"/>
  <c r="E35" i="22"/>
  <c r="C34" i="22"/>
  <c r="D34" i="22"/>
  <c r="C33" i="22"/>
  <c r="D33" i="22"/>
  <c r="C7" i="22"/>
  <c r="R9" i="23"/>
  <c r="F7" i="45"/>
  <c r="E39" i="23"/>
  <c r="I11" i="31"/>
  <c r="D21" i="14"/>
  <c r="J21" i="14"/>
  <c r="I11" i="4"/>
  <c r="I11" i="5"/>
  <c r="D11" i="11"/>
  <c r="J11" i="11"/>
  <c r="I11" i="35"/>
  <c r="I5" i="12"/>
  <c r="E22" i="24"/>
  <c r="K11" i="24"/>
  <c r="K13" i="24"/>
  <c r="E32" i="24"/>
  <c r="J17" i="45"/>
  <c r="B80" i="22"/>
  <c r="B82" i="22"/>
  <c r="J23" i="22"/>
  <c r="J31" i="22"/>
  <c r="J18" i="22"/>
  <c r="J16" i="22"/>
  <c r="J13" i="22"/>
  <c r="J27" i="22"/>
  <c r="J28" i="22"/>
  <c r="J12" i="22"/>
  <c r="J11" i="22"/>
  <c r="J7" i="22"/>
  <c r="J29" i="22"/>
  <c r="J14" i="22"/>
  <c r="J8" i="22"/>
  <c r="J9" i="22"/>
  <c r="J21" i="22"/>
  <c r="J25" i="22"/>
  <c r="J22" i="22"/>
  <c r="J24" i="22"/>
  <c r="J17" i="22"/>
  <c r="J30" i="22"/>
  <c r="E82" i="22"/>
  <c r="K25" i="22"/>
  <c r="K9" i="22"/>
  <c r="K24" i="22"/>
  <c r="K23" i="22"/>
  <c r="K10" i="22"/>
  <c r="K18" i="22"/>
  <c r="K30" i="22"/>
  <c r="K15" i="22"/>
  <c r="K16" i="22"/>
  <c r="K17" i="22"/>
  <c r="K29" i="22"/>
  <c r="K8" i="22"/>
  <c r="K12" i="22"/>
  <c r="K27" i="22"/>
  <c r="K21" i="22"/>
  <c r="K31" i="22"/>
  <c r="K22" i="22"/>
  <c r="K7" i="22"/>
  <c r="K13" i="22"/>
  <c r="K28" i="22"/>
  <c r="K14" i="22"/>
  <c r="K11" i="22"/>
  <c r="K26" i="22"/>
  <c r="G10" i="35"/>
  <c r="H37" i="21"/>
  <c r="G10" i="31"/>
  <c r="H13" i="21"/>
  <c r="G10" i="4"/>
  <c r="G10" i="5"/>
  <c r="S11" i="8"/>
  <c r="J15" i="22"/>
  <c r="I13" i="21"/>
  <c r="I38" i="21"/>
  <c r="K11" i="21"/>
  <c r="I29" i="45"/>
  <c r="L11" i="21"/>
  <c r="E40" i="41"/>
  <c r="E39" i="41"/>
  <c r="T31" i="23"/>
  <c r="T30" i="23"/>
  <c r="H19" i="14"/>
  <c r="I11" i="39"/>
  <c r="H11" i="13"/>
  <c r="H11" i="27"/>
  <c r="H11" i="29"/>
  <c r="S7" i="8"/>
  <c r="X21" i="23"/>
  <c r="X20" i="23"/>
  <c r="X23" i="23"/>
  <c r="X31" i="23"/>
  <c r="X22" i="23"/>
  <c r="X27" i="23"/>
  <c r="X35" i="23"/>
  <c r="X40" i="23"/>
  <c r="X32" i="23"/>
  <c r="X26" i="23"/>
  <c r="X33" i="23"/>
  <c r="X41" i="23"/>
  <c r="X39" i="23"/>
  <c r="X25" i="23"/>
  <c r="X24" i="23"/>
  <c r="X30" i="23"/>
  <c r="X37" i="23"/>
  <c r="X38" i="23"/>
  <c r="X29" i="23"/>
  <c r="G12" i="27"/>
  <c r="X34" i="23"/>
  <c r="K24" i="21"/>
  <c r="G33" i="8"/>
  <c r="V16" i="8"/>
  <c r="G5" i="27"/>
  <c r="G4" i="27"/>
  <c r="T33" i="8"/>
  <c r="I33" i="8"/>
  <c r="T6" i="8"/>
  <c r="K33" i="8"/>
  <c r="V15" i="8"/>
  <c r="C66" i="22"/>
  <c r="B66" i="22"/>
  <c r="D66" i="22"/>
  <c r="B15" i="22"/>
  <c r="D15" i="22"/>
  <c r="D39" i="23"/>
  <c r="I66" i="22"/>
  <c r="L39" i="23"/>
  <c r="R6" i="23"/>
  <c r="C20" i="22"/>
  <c r="C32" i="22"/>
  <c r="D32" i="22"/>
  <c r="K13" i="45"/>
  <c r="J11" i="39"/>
  <c r="I11" i="29"/>
  <c r="E11" i="13"/>
  <c r="I11" i="27"/>
  <c r="E19" i="14"/>
  <c r="U11" i="23"/>
  <c r="Q30" i="23"/>
  <c r="Q31" i="23"/>
  <c r="I20" i="22"/>
  <c r="K20" i="22"/>
  <c r="X19" i="23"/>
  <c r="N12" i="24"/>
  <c r="H81" i="22"/>
  <c r="H83" i="22"/>
  <c r="H26" i="24"/>
  <c r="H31" i="24"/>
  <c r="F81" i="22"/>
  <c r="F83" i="22"/>
  <c r="N14" i="24"/>
  <c r="J19" i="22"/>
  <c r="G8" i="12"/>
  <c r="G24" i="14"/>
  <c r="I6" i="39"/>
  <c r="H7" i="14"/>
  <c r="H6" i="36"/>
  <c r="H4" i="30"/>
  <c r="H6" i="33"/>
  <c r="H4" i="28"/>
  <c r="H6" i="32"/>
  <c r="H7" i="32"/>
  <c r="H6" i="12"/>
  <c r="H6" i="34"/>
  <c r="H7" i="34"/>
  <c r="H12" i="13"/>
  <c r="H20" i="14"/>
  <c r="J6" i="13"/>
  <c r="C7" i="14"/>
  <c r="F7" i="14"/>
  <c r="J7" i="14"/>
  <c r="I4" i="32"/>
  <c r="U6" i="23"/>
  <c r="R5" i="23"/>
  <c r="R29" i="23"/>
  <c r="I4" i="12"/>
  <c r="B57" i="22"/>
  <c r="I57" i="22"/>
  <c r="R39" i="23"/>
  <c r="C65" i="22"/>
  <c r="Q5" i="23"/>
  <c r="B65" i="22"/>
  <c r="Q39" i="23"/>
  <c r="E15" i="45"/>
  <c r="B6" i="22"/>
  <c r="B35" i="22"/>
  <c r="S6" i="8"/>
  <c r="H10" i="29"/>
  <c r="H10" i="13"/>
  <c r="H18" i="14"/>
  <c r="H10" i="27"/>
  <c r="H10" i="39"/>
  <c r="H10" i="33"/>
  <c r="H10" i="36"/>
  <c r="I82" i="22"/>
  <c r="C6" i="22"/>
  <c r="F15" i="45"/>
  <c r="S39" i="23"/>
  <c r="E65" i="22"/>
  <c r="C57" i="22"/>
  <c r="D57" i="22"/>
  <c r="S8" i="8"/>
  <c r="T8" i="8"/>
  <c r="E83" i="22"/>
  <c r="B81" i="22"/>
  <c r="I81" i="22"/>
  <c r="F22" i="17"/>
  <c r="F21" i="17"/>
  <c r="F19" i="17"/>
  <c r="G6" i="39"/>
  <c r="H6" i="27"/>
  <c r="E30" i="43"/>
  <c r="J19" i="14"/>
  <c r="K36" i="8"/>
  <c r="G36" i="8"/>
  <c r="M36" i="8"/>
  <c r="S21" i="23"/>
  <c r="S29" i="23"/>
  <c r="V6" i="23"/>
  <c r="F6" i="33"/>
  <c r="F4" i="30"/>
  <c r="F6" i="29"/>
  <c r="F4" i="28"/>
  <c r="F6" i="27"/>
  <c r="F6" i="36"/>
  <c r="D9" i="34"/>
  <c r="D9" i="32"/>
  <c r="K12" i="24"/>
  <c r="K14" i="24"/>
  <c r="E26" i="24"/>
  <c r="E31" i="24"/>
  <c r="B83" i="22"/>
  <c r="K21" i="14"/>
  <c r="C11" i="44"/>
  <c r="K11" i="11"/>
  <c r="R30" i="23"/>
  <c r="R19" i="23"/>
  <c r="U9" i="23"/>
  <c r="R31" i="23"/>
  <c r="V9" i="23"/>
  <c r="I35" i="22"/>
  <c r="Q21" i="23"/>
  <c r="Q29" i="23"/>
  <c r="L11" i="24"/>
  <c r="L13" i="24"/>
  <c r="F22" i="24"/>
  <c r="F32" i="24"/>
  <c r="K17" i="45"/>
  <c r="C80" i="22"/>
  <c r="S10" i="8"/>
  <c r="T10" i="8"/>
  <c r="H6" i="29"/>
  <c r="G9" i="12"/>
  <c r="J11" i="13"/>
  <c r="D20" i="22"/>
  <c r="I4" i="34"/>
  <c r="I36" i="8"/>
  <c r="H38" i="21"/>
  <c r="C21" i="44"/>
  <c r="I80" i="22"/>
  <c r="I5" i="32"/>
  <c r="I5" i="34"/>
  <c r="G7" i="22"/>
  <c r="D7" i="22"/>
  <c r="D9" i="12"/>
  <c r="J20" i="22"/>
  <c r="G20" i="22"/>
  <c r="E9" i="28"/>
  <c r="E9" i="30"/>
  <c r="F6" i="34"/>
  <c r="F7" i="34"/>
  <c r="F6" i="12"/>
  <c r="F6" i="32"/>
  <c r="F7" i="32"/>
  <c r="F12" i="13"/>
  <c r="F20" i="14"/>
  <c r="K20" i="21"/>
  <c r="I83" i="22"/>
  <c r="R20" i="23"/>
  <c r="R22" i="23"/>
  <c r="U5" i="23"/>
  <c r="V5" i="23"/>
  <c r="D6" i="22"/>
  <c r="C35" i="22"/>
  <c r="D35" i="22"/>
  <c r="G6" i="22"/>
  <c r="Q22" i="23"/>
  <c r="Q20" i="23"/>
  <c r="Q19" i="23"/>
  <c r="I6" i="33"/>
  <c r="I6" i="36"/>
  <c r="H8" i="34"/>
  <c r="H9" i="34"/>
  <c r="G10" i="39"/>
  <c r="G10" i="27"/>
  <c r="G10" i="33"/>
  <c r="G10" i="29"/>
  <c r="G10" i="13"/>
  <c r="G10" i="36"/>
  <c r="G18" i="14"/>
  <c r="L14" i="24"/>
  <c r="F26" i="24"/>
  <c r="F31" i="24"/>
  <c r="L12" i="24"/>
  <c r="C81" i="22"/>
  <c r="E9" i="34"/>
  <c r="I65" i="22"/>
  <c r="D65" i="22"/>
  <c r="I4" i="30"/>
  <c r="I4" i="28"/>
  <c r="J6" i="39"/>
  <c r="H6" i="28"/>
  <c r="H12" i="33"/>
  <c r="H6" i="30"/>
  <c r="H12" i="36"/>
  <c r="I12" i="39"/>
  <c r="H7" i="12"/>
  <c r="C82" i="22"/>
  <c r="D82" i="22"/>
  <c r="D80" i="22"/>
  <c r="E11" i="44"/>
  <c r="F11" i="44"/>
  <c r="E9" i="32"/>
  <c r="R21" i="23"/>
  <c r="H8" i="32"/>
  <c r="H9" i="32"/>
  <c r="H12" i="27"/>
  <c r="H7" i="28"/>
  <c r="F8" i="32"/>
  <c r="F9" i="32"/>
  <c r="I6" i="32"/>
  <c r="F10" i="4"/>
  <c r="F10" i="5"/>
  <c r="F10" i="35"/>
  <c r="F10" i="31"/>
  <c r="F6" i="30"/>
  <c r="F6" i="28"/>
  <c r="F12" i="33"/>
  <c r="F12" i="36"/>
  <c r="G12" i="39"/>
  <c r="F7" i="12"/>
  <c r="I6" i="12"/>
  <c r="E9" i="12"/>
  <c r="H12" i="29"/>
  <c r="H7" i="30"/>
  <c r="H8" i="30"/>
  <c r="H9" i="30"/>
  <c r="F8" i="34"/>
  <c r="F9" i="34"/>
  <c r="H8" i="12"/>
  <c r="H24" i="14"/>
  <c r="H17" i="14"/>
  <c r="C83" i="22"/>
  <c r="D83" i="22"/>
  <c r="D81" i="22"/>
  <c r="I6" i="34"/>
  <c r="F8" i="12"/>
  <c r="I8" i="12"/>
  <c r="I24" i="14"/>
  <c r="I7" i="12"/>
  <c r="I6" i="28"/>
  <c r="I6" i="30"/>
  <c r="F24" i="14"/>
  <c r="F9" i="12"/>
  <c r="F12" i="27"/>
  <c r="F7" i="28"/>
  <c r="F8" i="28"/>
  <c r="F9" i="28"/>
  <c r="F12" i="29"/>
  <c r="F7" i="30"/>
  <c r="F8" i="30"/>
  <c r="F9" i="30"/>
  <c r="C9" i="34"/>
  <c r="I7" i="34"/>
  <c r="I8" i="34"/>
  <c r="H9" i="12"/>
  <c r="I8" i="32"/>
  <c r="I7" i="32"/>
  <c r="H8" i="28"/>
  <c r="H9" i="28"/>
  <c r="C9" i="30"/>
  <c r="C11" i="34"/>
  <c r="I9" i="34"/>
  <c r="C9" i="12"/>
  <c r="C9" i="32"/>
  <c r="C11" i="32"/>
  <c r="C11" i="30"/>
  <c r="C15" i="30"/>
  <c r="C11" i="12"/>
  <c r="I9" i="12"/>
  <c r="C15" i="34"/>
  <c r="D10" i="34"/>
  <c r="C15" i="12"/>
  <c r="D11" i="34"/>
  <c r="D10" i="12"/>
  <c r="D15" i="34"/>
  <c r="D11" i="12"/>
  <c r="E10" i="34"/>
  <c r="D15" i="12"/>
  <c r="E10" i="12"/>
  <c r="E11" i="34"/>
  <c r="E15" i="34"/>
  <c r="E11" i="12"/>
  <c r="E15" i="12"/>
  <c r="F10" i="34"/>
  <c r="F11" i="34"/>
  <c r="F10" i="12"/>
  <c r="F11" i="12"/>
  <c r="F15" i="34"/>
  <c r="G10" i="34"/>
  <c r="F15" i="12"/>
  <c r="G11" i="34"/>
  <c r="G10" i="12"/>
  <c r="G11" i="12"/>
  <c r="G15" i="34"/>
  <c r="G15" i="12"/>
  <c r="H10" i="34"/>
  <c r="H11" i="34"/>
  <c r="I10" i="34"/>
  <c r="H10" i="12"/>
  <c r="H15" i="34"/>
  <c r="I15" i="34"/>
  <c r="I11" i="34"/>
  <c r="H11" i="12"/>
  <c r="I10" i="12"/>
  <c r="H15" i="12"/>
  <c r="I15" i="12"/>
  <c r="I11" i="12"/>
  <c r="I13" i="43"/>
  <c r="I31" i="43"/>
  <c r="J22" i="43"/>
  <c r="P9" i="49"/>
  <c r="P11" i="49"/>
  <c r="N9" i="49"/>
  <c r="N11" i="49"/>
  <c r="H30" i="43"/>
  <c r="I30" i="43"/>
  <c r="I12" i="43"/>
  <c r="E27" i="43"/>
  <c r="E26" i="43"/>
  <c r="H28" i="43"/>
  <c r="I10" i="43"/>
  <c r="I28" i="43"/>
  <c r="H29" i="43"/>
  <c r="I11" i="43"/>
  <c r="H27" i="43"/>
  <c r="I9" i="43"/>
  <c r="I27" i="43"/>
  <c r="H26" i="43"/>
  <c r="I26" i="43"/>
  <c r="I29" i="43"/>
  <c r="G18" i="49"/>
  <c r="J10" i="14"/>
  <c r="D9" i="14"/>
  <c r="L13" i="49"/>
  <c r="L16" i="49"/>
  <c r="J9" i="14"/>
  <c r="H16" i="49"/>
  <c r="H17" i="49"/>
  <c r="H15" i="49"/>
  <c r="G5" i="13"/>
  <c r="G6" i="14"/>
  <c r="G5" i="14"/>
  <c r="G4" i="14"/>
  <c r="F5" i="36"/>
  <c r="F4" i="36"/>
  <c r="T7" i="8"/>
  <c r="G5" i="36"/>
  <c r="G4" i="36"/>
  <c r="F5" i="27"/>
  <c r="L35" i="21"/>
  <c r="G5" i="33"/>
  <c r="G4" i="33"/>
  <c r="G5" i="29"/>
  <c r="J37" i="21"/>
  <c r="E4" i="13"/>
  <c r="E6" i="14"/>
  <c r="E5" i="14"/>
  <c r="E4" i="14"/>
  <c r="F5" i="33"/>
  <c r="F4" i="33"/>
  <c r="I6" i="14"/>
  <c r="I5" i="14"/>
  <c r="I4" i="14"/>
  <c r="G4" i="13"/>
  <c r="F5" i="29"/>
  <c r="R13" i="8"/>
  <c r="H5" i="39"/>
  <c r="H4" i="39"/>
  <c r="I5" i="13"/>
  <c r="I4" i="13"/>
  <c r="F5" i="13"/>
  <c r="J38" i="21"/>
  <c r="H5" i="29"/>
  <c r="H4" i="29"/>
  <c r="H5" i="33"/>
  <c r="H4" i="33"/>
  <c r="H5" i="27"/>
  <c r="H4" i="27"/>
  <c r="H5" i="36"/>
  <c r="H4" i="36"/>
  <c r="H5" i="13"/>
  <c r="L26" i="21"/>
  <c r="L21" i="21"/>
  <c r="K28" i="21"/>
  <c r="K29" i="21"/>
  <c r="K23" i="21"/>
  <c r="E8" i="11"/>
  <c r="C6" i="14"/>
  <c r="C5" i="14"/>
  <c r="C4" i="14"/>
  <c r="R14" i="8"/>
  <c r="R16" i="8"/>
  <c r="E9" i="11"/>
  <c r="F4" i="13"/>
  <c r="F6" i="14"/>
  <c r="F5" i="14"/>
  <c r="F4" i="14"/>
  <c r="G5" i="39"/>
  <c r="G4" i="39"/>
  <c r="I10" i="13"/>
  <c r="I18" i="14"/>
  <c r="C12" i="13"/>
  <c r="K8" i="21"/>
  <c r="C23" i="44"/>
  <c r="I5" i="27"/>
  <c r="D6" i="14"/>
  <c r="D4" i="13"/>
  <c r="J5" i="13"/>
  <c r="I5" i="36"/>
  <c r="H4" i="13"/>
  <c r="H16" i="13"/>
  <c r="H18" i="13"/>
  <c r="I5" i="39"/>
  <c r="I4" i="39"/>
  <c r="H6" i="14"/>
  <c r="H5" i="14"/>
  <c r="H4" i="14"/>
  <c r="I5" i="29"/>
  <c r="D8" i="11"/>
  <c r="K4" i="11"/>
  <c r="K5" i="13"/>
  <c r="K6" i="14"/>
  <c r="D9" i="11"/>
  <c r="K27" i="21"/>
  <c r="C7" i="44"/>
  <c r="F7" i="44"/>
  <c r="C6" i="44"/>
  <c r="F6" i="44"/>
  <c r="K22" i="21"/>
  <c r="E7" i="44"/>
  <c r="C8" i="11"/>
  <c r="C22" i="14"/>
  <c r="C4" i="13"/>
  <c r="R12" i="8"/>
  <c r="I12" i="13"/>
  <c r="I5" i="33"/>
  <c r="E22" i="14"/>
  <c r="E13" i="13"/>
  <c r="C9" i="11"/>
  <c r="J9" i="11"/>
  <c r="I20" i="14"/>
  <c r="C13" i="13"/>
  <c r="C30" i="44"/>
  <c r="I26" i="45"/>
  <c r="E30" i="45"/>
  <c r="J5" i="39"/>
  <c r="J4" i="13"/>
  <c r="D13" i="13"/>
  <c r="D22" i="14"/>
  <c r="I4" i="33"/>
  <c r="I4" i="36"/>
  <c r="D5" i="14"/>
  <c r="J6" i="14"/>
  <c r="E6" i="44"/>
  <c r="C8" i="44"/>
  <c r="L6" i="21"/>
  <c r="C5" i="44"/>
  <c r="G6" i="31"/>
  <c r="G12" i="29"/>
  <c r="G6" i="4"/>
  <c r="G12" i="13"/>
  <c r="G6" i="35"/>
  <c r="D4" i="14"/>
  <c r="J5" i="14"/>
  <c r="F9" i="4"/>
  <c r="I9" i="4"/>
  <c r="F9" i="35"/>
  <c r="I9" i="35"/>
  <c r="F9" i="31"/>
  <c r="I9" i="31"/>
  <c r="F9" i="5"/>
  <c r="I9" i="5"/>
  <c r="G37" i="21"/>
  <c r="J4" i="39"/>
  <c r="E37" i="21"/>
  <c r="D10" i="11"/>
  <c r="E8" i="44"/>
  <c r="F8" i="44"/>
  <c r="E5" i="44"/>
  <c r="F5" i="44"/>
  <c r="G9" i="13"/>
  <c r="G16" i="13"/>
  <c r="G18" i="13"/>
  <c r="G20" i="14"/>
  <c r="G17" i="14"/>
  <c r="G28" i="14"/>
  <c r="C9" i="44"/>
  <c r="K9" i="11"/>
  <c r="C20" i="44"/>
  <c r="J4" i="14"/>
  <c r="C18" i="44"/>
  <c r="F10" i="33"/>
  <c r="F10" i="13"/>
  <c r="F10" i="36"/>
  <c r="F10" i="27"/>
  <c r="F10" i="29"/>
  <c r="F18" i="14"/>
  <c r="E9" i="44"/>
  <c r="F9" i="44"/>
  <c r="D10" i="13"/>
  <c r="D18" i="14"/>
  <c r="F17" i="14"/>
  <c r="F28" i="14"/>
  <c r="F9" i="13"/>
  <c r="F16" i="13"/>
  <c r="F18" i="13"/>
  <c r="F4" i="29"/>
  <c r="G6" i="29"/>
  <c r="I6" i="29"/>
  <c r="D10" i="30"/>
  <c r="G4" i="29"/>
  <c r="G7" i="30"/>
  <c r="I7" i="28"/>
  <c r="G8" i="28"/>
  <c r="I8" i="28"/>
  <c r="D9" i="28"/>
  <c r="I6" i="27"/>
  <c r="F4" i="27"/>
  <c r="I4" i="27"/>
  <c r="G9" i="28"/>
  <c r="I9" i="32"/>
  <c r="C15" i="32"/>
  <c r="I11" i="36"/>
  <c r="D12" i="13"/>
  <c r="C20" i="14"/>
  <c r="G8" i="30"/>
  <c r="G9" i="30"/>
  <c r="D9" i="30"/>
  <c r="I4" i="29"/>
  <c r="I7" i="30"/>
  <c r="C9" i="28"/>
  <c r="D10" i="32"/>
  <c r="D20" i="14"/>
  <c r="D11" i="30"/>
  <c r="I9" i="30"/>
  <c r="I8" i="30"/>
  <c r="I9" i="28"/>
  <c r="C11" i="28"/>
  <c r="D11" i="32"/>
  <c r="D15" i="30"/>
  <c r="C15" i="28"/>
  <c r="D15" i="32"/>
  <c r="E10" i="30"/>
  <c r="D10" i="28"/>
  <c r="E10" i="32"/>
  <c r="E11" i="30"/>
  <c r="D11" i="28"/>
  <c r="E11" i="32"/>
  <c r="F13" i="27"/>
  <c r="I13" i="13"/>
  <c r="I22" i="14"/>
  <c r="E15" i="30"/>
  <c r="D15" i="28"/>
  <c r="E15" i="32"/>
  <c r="I17" i="14"/>
  <c r="I28" i="14"/>
  <c r="J22" i="14"/>
  <c r="J13" i="13"/>
  <c r="I9" i="13"/>
  <c r="I16" i="13"/>
  <c r="F10" i="30"/>
  <c r="E10" i="28"/>
  <c r="F10" i="32"/>
  <c r="F11" i="30"/>
  <c r="E11" i="28"/>
  <c r="F11" i="32"/>
  <c r="F15" i="30"/>
  <c r="E15" i="28"/>
  <c r="F15" i="32"/>
  <c r="G10" i="30"/>
  <c r="F10" i="28"/>
  <c r="G10" i="32"/>
  <c r="G11" i="30"/>
  <c r="F11" i="28"/>
  <c r="G11" i="32"/>
  <c r="G15" i="30"/>
  <c r="F15" i="28"/>
  <c r="G15" i="32"/>
  <c r="H10" i="30"/>
  <c r="G10" i="28"/>
  <c r="H10" i="32"/>
  <c r="H11" i="30"/>
  <c r="I10" i="30"/>
  <c r="G11" i="28"/>
  <c r="H11" i="32"/>
  <c r="I10" i="32"/>
  <c r="H15" i="30"/>
  <c r="I15" i="30"/>
  <c r="I11" i="30"/>
  <c r="G15" i="28"/>
  <c r="H15" i="32"/>
  <c r="I15" i="32"/>
  <c r="I11" i="32"/>
  <c r="H10" i="28"/>
  <c r="H11" i="28"/>
  <c r="I10" i="28"/>
  <c r="H15" i="28"/>
  <c r="I15" i="28"/>
  <c r="I11" i="28"/>
  <c r="L19" i="21"/>
  <c r="K19" i="21"/>
  <c r="M46" i="21"/>
  <c r="L14" i="21"/>
  <c r="D78" i="21"/>
  <c r="M78" i="21"/>
  <c r="L59" i="21"/>
  <c r="L72" i="21"/>
  <c r="C4" i="44"/>
  <c r="D37" i="21"/>
  <c r="C10" i="11"/>
  <c r="M74" i="21"/>
  <c r="M76" i="21"/>
  <c r="L73" i="21"/>
  <c r="L58" i="21"/>
  <c r="L76" i="21"/>
  <c r="L74" i="21"/>
  <c r="L46" i="21"/>
  <c r="L75" i="21"/>
  <c r="L53" i="21"/>
  <c r="L77" i="21"/>
  <c r="E10" i="11"/>
  <c r="J10" i="11"/>
  <c r="I10" i="35"/>
  <c r="F37" i="21"/>
  <c r="K37" i="21"/>
  <c r="I10" i="5"/>
  <c r="I10" i="4"/>
  <c r="I10" i="31"/>
  <c r="F4" i="44"/>
  <c r="E4" i="44"/>
  <c r="C17" i="44"/>
  <c r="L78" i="21"/>
  <c r="C12" i="44"/>
  <c r="C10" i="13"/>
  <c r="C18" i="14"/>
  <c r="K10" i="11"/>
  <c r="C10" i="44"/>
  <c r="L13" i="21"/>
  <c r="M32" i="21"/>
  <c r="F5" i="35"/>
  <c r="H5" i="46"/>
  <c r="I5" i="46"/>
  <c r="F5" i="5"/>
  <c r="F12" i="5"/>
  <c r="G5" i="35"/>
  <c r="G5" i="4"/>
  <c r="G5" i="46"/>
  <c r="H5" i="31"/>
  <c r="K5" i="11"/>
  <c r="L5" i="11"/>
  <c r="C5" i="11"/>
  <c r="D5" i="11"/>
  <c r="D12" i="11"/>
  <c r="G5" i="5"/>
  <c r="H5" i="5"/>
  <c r="G5" i="31"/>
  <c r="E5" i="11"/>
  <c r="M36" i="21"/>
  <c r="F5" i="4"/>
  <c r="F5" i="31"/>
  <c r="H5" i="35"/>
  <c r="H5" i="4"/>
  <c r="F39" i="21"/>
  <c r="C19" i="44"/>
  <c r="D19" i="44"/>
  <c r="E10" i="13"/>
  <c r="E18" i="14"/>
  <c r="I5" i="4"/>
  <c r="D13" i="11"/>
  <c r="D14" i="11"/>
  <c r="J5" i="11"/>
  <c r="C12" i="11"/>
  <c r="M12" i="11"/>
  <c r="I5" i="35"/>
  <c r="F13" i="5"/>
  <c r="F14" i="27"/>
  <c r="F9" i="27"/>
  <c r="F16" i="27"/>
  <c r="I5" i="5"/>
  <c r="I10" i="36"/>
  <c r="K38" i="21"/>
  <c r="J10" i="39"/>
  <c r="J10" i="13"/>
  <c r="F12" i="44"/>
  <c r="E12" i="44"/>
  <c r="D43" i="21"/>
  <c r="M31" i="21"/>
  <c r="M9" i="21"/>
  <c r="D31" i="44"/>
  <c r="M17" i="21"/>
  <c r="M25" i="21"/>
  <c r="E39" i="21"/>
  <c r="D20" i="44"/>
  <c r="M7" i="21"/>
  <c r="D29" i="44"/>
  <c r="M29" i="21"/>
  <c r="D22" i="44"/>
  <c r="E26" i="45"/>
  <c r="M27" i="21"/>
  <c r="M24" i="21"/>
  <c r="M15" i="21"/>
  <c r="M30" i="21"/>
  <c r="M22" i="21"/>
  <c r="M28" i="21"/>
  <c r="M8" i="21"/>
  <c r="D30" i="44"/>
  <c r="M21" i="21"/>
  <c r="M23" i="21"/>
  <c r="M5" i="21"/>
  <c r="M26" i="21"/>
  <c r="D23" i="44"/>
  <c r="M33" i="21"/>
  <c r="M6" i="21"/>
  <c r="D28" i="44"/>
  <c r="M16" i="21"/>
  <c r="M35" i="21"/>
  <c r="N9" i="21"/>
  <c r="D18" i="44"/>
  <c r="D21" i="44"/>
  <c r="M19" i="21"/>
  <c r="M14" i="21"/>
  <c r="D39" i="21"/>
  <c r="D17" i="44"/>
  <c r="T16" i="8"/>
  <c r="T14" i="8"/>
  <c r="T13" i="8"/>
  <c r="T15" i="8"/>
  <c r="E10" i="44"/>
  <c r="F10" i="44"/>
  <c r="C13" i="44"/>
  <c r="D10" i="44"/>
  <c r="I10" i="33"/>
  <c r="I10" i="27"/>
  <c r="I10" i="29"/>
  <c r="J18" i="14"/>
  <c r="M34" i="21"/>
  <c r="K10" i="21"/>
  <c r="I28" i="45"/>
  <c r="M37" i="21"/>
  <c r="F43" i="21"/>
  <c r="G43" i="21"/>
  <c r="C7" i="26"/>
  <c r="K9" i="14"/>
  <c r="L4" i="21"/>
  <c r="M4" i="21"/>
  <c r="E43" i="21"/>
  <c r="K18" i="14"/>
  <c r="K10" i="13"/>
  <c r="M38" i="21"/>
  <c r="F14" i="5"/>
  <c r="D9" i="44"/>
  <c r="F13" i="44"/>
  <c r="D11" i="44"/>
  <c r="D5" i="44"/>
  <c r="D7" i="44"/>
  <c r="I15" i="44"/>
  <c r="E13" i="44"/>
  <c r="D8" i="44"/>
  <c r="D6" i="44"/>
  <c r="D4" i="44"/>
  <c r="I31" i="45"/>
  <c r="D27" i="44"/>
  <c r="O9" i="21"/>
  <c r="D12" i="44"/>
  <c r="C13" i="11"/>
  <c r="L12" i="11"/>
  <c r="C14" i="11"/>
  <c r="D18" i="11"/>
  <c r="D25" i="14"/>
  <c r="D17" i="11"/>
  <c r="D14" i="13"/>
  <c r="D9" i="13"/>
  <c r="D16" i="13"/>
  <c r="D18" i="13"/>
  <c r="D24" i="14"/>
  <c r="I5" i="31"/>
  <c r="C14" i="13"/>
  <c r="C24" i="14"/>
  <c r="E12" i="13"/>
  <c r="T12" i="8"/>
  <c r="D17" i="14"/>
  <c r="D28" i="14"/>
  <c r="D5" i="43"/>
  <c r="F18" i="5"/>
  <c r="F17" i="5"/>
  <c r="F20" i="5"/>
  <c r="C17" i="11"/>
  <c r="C18" i="11"/>
  <c r="C16" i="11"/>
  <c r="D13" i="44"/>
  <c r="C20" i="11"/>
  <c r="C14" i="4"/>
  <c r="K12" i="13"/>
  <c r="K20" i="14"/>
  <c r="K6" i="11"/>
  <c r="I6" i="4"/>
  <c r="I8" i="4"/>
  <c r="J6" i="11"/>
  <c r="E12" i="11"/>
  <c r="C14" i="35"/>
  <c r="C25" i="14"/>
  <c r="C14" i="5"/>
  <c r="D14" i="4"/>
  <c r="I6" i="35"/>
  <c r="I8" i="35"/>
  <c r="J12" i="13"/>
  <c r="E20" i="14"/>
  <c r="I6" i="31"/>
  <c r="I8" i="31"/>
  <c r="C14" i="31"/>
  <c r="C17" i="14"/>
  <c r="D14" i="35"/>
  <c r="D14" i="5"/>
  <c r="D14" i="31"/>
  <c r="C9" i="13"/>
  <c r="E14" i="31"/>
  <c r="H8" i="31"/>
  <c r="G8" i="31"/>
  <c r="F8" i="31"/>
  <c r="J20" i="14"/>
  <c r="E14" i="35"/>
  <c r="D18" i="4"/>
  <c r="D17" i="4"/>
  <c r="C18" i="5"/>
  <c r="C16" i="5"/>
  <c r="C17" i="5"/>
  <c r="C18" i="35"/>
  <c r="C16" i="35"/>
  <c r="C17" i="35"/>
  <c r="G8" i="46"/>
  <c r="I8" i="46"/>
  <c r="H8" i="46"/>
  <c r="I12" i="36"/>
  <c r="I12" i="33"/>
  <c r="J12" i="39"/>
  <c r="G8" i="4"/>
  <c r="H8" i="4"/>
  <c r="F8" i="4"/>
  <c r="C17" i="4"/>
  <c r="C16" i="4"/>
  <c r="C18" i="4"/>
  <c r="C16" i="13"/>
  <c r="D18" i="31"/>
  <c r="D17" i="31"/>
  <c r="D18" i="5"/>
  <c r="D17" i="5"/>
  <c r="D18" i="35"/>
  <c r="D17" i="35"/>
  <c r="C28" i="14"/>
  <c r="C17" i="31"/>
  <c r="C18" i="31"/>
  <c r="C16" i="31"/>
  <c r="I12" i="29"/>
  <c r="H8" i="35"/>
  <c r="F8" i="35"/>
  <c r="G8" i="35"/>
  <c r="E13" i="11"/>
  <c r="E14" i="11"/>
  <c r="N12" i="11"/>
  <c r="J12" i="11"/>
  <c r="I6" i="5"/>
  <c r="I8" i="5"/>
  <c r="E17" i="37"/>
  <c r="L8" i="11"/>
  <c r="J8" i="11"/>
  <c r="K13" i="13"/>
  <c r="D15" i="11"/>
  <c r="E14" i="4"/>
  <c r="E18" i="35"/>
  <c r="E17" i="35"/>
  <c r="E17" i="31"/>
  <c r="E18" i="31"/>
  <c r="I12" i="27"/>
  <c r="H8" i="5"/>
  <c r="G8" i="5"/>
  <c r="E14" i="13"/>
  <c r="E24" i="14"/>
  <c r="J13" i="11"/>
  <c r="G13" i="33"/>
  <c r="G12" i="35"/>
  <c r="H13" i="33"/>
  <c r="H12" i="35"/>
  <c r="C20" i="31"/>
  <c r="C5" i="43"/>
  <c r="C18" i="13"/>
  <c r="C17" i="13"/>
  <c r="D17" i="13"/>
  <c r="H13" i="36"/>
  <c r="H12" i="4"/>
  <c r="H13" i="39"/>
  <c r="H12" i="46"/>
  <c r="G13" i="39"/>
  <c r="G12" i="46"/>
  <c r="G13" i="29"/>
  <c r="G12" i="31"/>
  <c r="D16" i="11"/>
  <c r="M12" i="5"/>
  <c r="E35" i="44"/>
  <c r="E36" i="44"/>
  <c r="X5" i="8"/>
  <c r="E38" i="44"/>
  <c r="C37" i="44"/>
  <c r="C36" i="44"/>
  <c r="E39" i="44"/>
  <c r="C38" i="44"/>
  <c r="C35" i="44"/>
  <c r="C39" i="44"/>
  <c r="E37" i="44"/>
  <c r="L30" i="45"/>
  <c r="L32" i="45"/>
  <c r="N20" i="11"/>
  <c r="C23" i="11"/>
  <c r="I30" i="45"/>
  <c r="N19" i="11"/>
  <c r="E18" i="11"/>
  <c r="E17" i="11"/>
  <c r="J17" i="11"/>
  <c r="J14" i="11"/>
  <c r="F13" i="33"/>
  <c r="F12" i="35"/>
  <c r="C20" i="4"/>
  <c r="F13" i="36"/>
  <c r="F12" i="4"/>
  <c r="G13" i="36"/>
  <c r="G12" i="4"/>
  <c r="I13" i="39"/>
  <c r="I12" i="46"/>
  <c r="C20" i="35"/>
  <c r="C20" i="5"/>
  <c r="F13" i="29"/>
  <c r="F12" i="31"/>
  <c r="H13" i="29"/>
  <c r="H12" i="31"/>
  <c r="E14" i="5"/>
  <c r="I13" i="29"/>
  <c r="D15" i="5"/>
  <c r="C17" i="27"/>
  <c r="D17" i="27"/>
  <c r="D15" i="35"/>
  <c r="I13" i="36"/>
  <c r="D15" i="4"/>
  <c r="M12" i="35"/>
  <c r="F13" i="35"/>
  <c r="F14" i="35"/>
  <c r="I12" i="35"/>
  <c r="E25" i="14"/>
  <c r="J25" i="14"/>
  <c r="J18" i="11"/>
  <c r="K25" i="14"/>
  <c r="X7" i="8"/>
  <c r="X6" i="8"/>
  <c r="X9" i="8"/>
  <c r="X8" i="8"/>
  <c r="Y5" i="8"/>
  <c r="D20" i="11"/>
  <c r="C17" i="29"/>
  <c r="G13" i="31"/>
  <c r="G14" i="29"/>
  <c r="G9" i="29"/>
  <c r="G16" i="29"/>
  <c r="G18" i="29"/>
  <c r="G19" i="29"/>
  <c r="N12" i="31"/>
  <c r="G14" i="31"/>
  <c r="O12" i="46"/>
  <c r="G13" i="46"/>
  <c r="G14" i="39"/>
  <c r="G14" i="46"/>
  <c r="J12" i="46"/>
  <c r="C14" i="46"/>
  <c r="H13" i="46"/>
  <c r="H14" i="39"/>
  <c r="H9" i="39"/>
  <c r="H16" i="39"/>
  <c r="H18" i="39"/>
  <c r="P12" i="46"/>
  <c r="H13" i="4"/>
  <c r="H14" i="36"/>
  <c r="O12" i="4"/>
  <c r="H14" i="4"/>
  <c r="C19" i="13"/>
  <c r="C4" i="43"/>
  <c r="C33" i="43"/>
  <c r="D6" i="43"/>
  <c r="H13" i="35"/>
  <c r="H14" i="33"/>
  <c r="H9" i="33"/>
  <c r="H16" i="33"/>
  <c r="H18" i="33"/>
  <c r="O12" i="35"/>
  <c r="H14" i="35"/>
  <c r="G13" i="35"/>
  <c r="G14" i="33"/>
  <c r="N12" i="35"/>
  <c r="G14" i="35"/>
  <c r="K14" i="13"/>
  <c r="K24" i="14"/>
  <c r="E9" i="13"/>
  <c r="J14" i="13"/>
  <c r="H13" i="27"/>
  <c r="H12" i="5"/>
  <c r="H13" i="31"/>
  <c r="H14" i="29"/>
  <c r="H9" i="29"/>
  <c r="H16" i="29"/>
  <c r="H18" i="29"/>
  <c r="O12" i="31"/>
  <c r="F13" i="31"/>
  <c r="F14" i="31"/>
  <c r="M12" i="31"/>
  <c r="I12" i="31"/>
  <c r="C17" i="33"/>
  <c r="I13" i="46"/>
  <c r="I14" i="39"/>
  <c r="I9" i="39"/>
  <c r="I16" i="39"/>
  <c r="I18" i="39"/>
  <c r="I14" i="46"/>
  <c r="G13" i="4"/>
  <c r="G14" i="36"/>
  <c r="G9" i="36"/>
  <c r="G16" i="36"/>
  <c r="G18" i="36"/>
  <c r="N12" i="4"/>
  <c r="F13" i="4"/>
  <c r="F14" i="4"/>
  <c r="M12" i="4"/>
  <c r="I12" i="4"/>
  <c r="C17" i="36"/>
  <c r="I13" i="33"/>
  <c r="E46" i="44"/>
  <c r="J13" i="39"/>
  <c r="G9" i="39"/>
  <c r="G16" i="39"/>
  <c r="G18" i="39"/>
  <c r="H9" i="36"/>
  <c r="H16" i="36"/>
  <c r="H18" i="36"/>
  <c r="D15" i="31"/>
  <c r="G9" i="33"/>
  <c r="G16" i="33"/>
  <c r="G18" i="33"/>
  <c r="J24" i="14"/>
  <c r="E17" i="14"/>
  <c r="G13" i="27"/>
  <c r="G12" i="5"/>
  <c r="E18" i="4"/>
  <c r="E17" i="4"/>
  <c r="H14" i="46"/>
  <c r="H17" i="46"/>
  <c r="D14" i="46"/>
  <c r="C16" i="46"/>
  <c r="C17" i="46"/>
  <c r="C18" i="46"/>
  <c r="N12" i="5"/>
  <c r="G13" i="5"/>
  <c r="G14" i="5"/>
  <c r="I12" i="5"/>
  <c r="E28" i="14"/>
  <c r="J17" i="14"/>
  <c r="F18" i="4"/>
  <c r="F17" i="4"/>
  <c r="F20" i="4"/>
  <c r="I17" i="46"/>
  <c r="I18" i="46"/>
  <c r="E14" i="46"/>
  <c r="I13" i="27"/>
  <c r="D16" i="31"/>
  <c r="H19" i="29"/>
  <c r="F14" i="36"/>
  <c r="I13" i="4"/>
  <c r="G14" i="4"/>
  <c r="I14" i="4"/>
  <c r="F14" i="46"/>
  <c r="D17" i="33"/>
  <c r="F14" i="29"/>
  <c r="I13" i="31"/>
  <c r="H14" i="31"/>
  <c r="E16" i="13"/>
  <c r="J9" i="13"/>
  <c r="H17" i="35"/>
  <c r="H20" i="35"/>
  <c r="H18" i="35"/>
  <c r="D4" i="43"/>
  <c r="G22" i="13"/>
  <c r="D19" i="13"/>
  <c r="D17" i="29"/>
  <c r="E15" i="11"/>
  <c r="F14" i="33"/>
  <c r="I13" i="35"/>
  <c r="D16" i="5"/>
  <c r="D17" i="36"/>
  <c r="F17" i="31"/>
  <c r="F18" i="31"/>
  <c r="I14" i="31"/>
  <c r="H13" i="5"/>
  <c r="H14" i="27"/>
  <c r="H9" i="27"/>
  <c r="H16" i="27"/>
  <c r="O12" i="5"/>
  <c r="G17" i="35"/>
  <c r="G20" i="35"/>
  <c r="G18" i="35"/>
  <c r="H18" i="4"/>
  <c r="H17" i="4"/>
  <c r="H20" i="4"/>
  <c r="J13" i="46"/>
  <c r="G18" i="46"/>
  <c r="G17" i="46"/>
  <c r="G17" i="31"/>
  <c r="G20" i="31"/>
  <c r="G18" i="31"/>
  <c r="Y10" i="8"/>
  <c r="Y6" i="8"/>
  <c r="Y7" i="8"/>
  <c r="Y11" i="8"/>
  <c r="Y8" i="8"/>
  <c r="Y9" i="8"/>
  <c r="F18" i="35"/>
  <c r="F17" i="35"/>
  <c r="I14" i="35"/>
  <c r="D16" i="4"/>
  <c r="D16" i="35"/>
  <c r="E18" i="5"/>
  <c r="E17" i="5"/>
  <c r="H18" i="46"/>
  <c r="E17" i="33"/>
  <c r="I18" i="35"/>
  <c r="E17" i="36"/>
  <c r="E16" i="11"/>
  <c r="J15" i="11"/>
  <c r="I32" i="45"/>
  <c r="E5" i="37"/>
  <c r="E18" i="13"/>
  <c r="J18" i="13"/>
  <c r="G21" i="13"/>
  <c r="J16" i="13"/>
  <c r="C22" i="13"/>
  <c r="E17" i="13"/>
  <c r="H17" i="31"/>
  <c r="H20" i="31"/>
  <c r="H18" i="31"/>
  <c r="F9" i="29"/>
  <c r="I14" i="29"/>
  <c r="F9" i="36"/>
  <c r="I14" i="36"/>
  <c r="E17" i="46"/>
  <c r="E18" i="46"/>
  <c r="D20" i="35"/>
  <c r="D20" i="4"/>
  <c r="F20" i="35"/>
  <c r="I17" i="35"/>
  <c r="H14" i="5"/>
  <c r="I18" i="31"/>
  <c r="I17" i="36"/>
  <c r="D20" i="5"/>
  <c r="E17" i="29"/>
  <c r="I17" i="29"/>
  <c r="E19" i="13"/>
  <c r="D33" i="43"/>
  <c r="E6" i="43"/>
  <c r="I6" i="43"/>
  <c r="D32" i="43"/>
  <c r="I17" i="33"/>
  <c r="F17" i="46"/>
  <c r="F18" i="46"/>
  <c r="D20" i="31"/>
  <c r="G14" i="27"/>
  <c r="I13" i="5"/>
  <c r="D17" i="46"/>
  <c r="D18" i="46"/>
  <c r="F20" i="31"/>
  <c r="I17" i="31"/>
  <c r="I14" i="33"/>
  <c r="F9" i="33"/>
  <c r="G17" i="4"/>
  <c r="G18" i="4"/>
  <c r="I18" i="4"/>
  <c r="E5" i="43"/>
  <c r="J28" i="14"/>
  <c r="J5" i="43"/>
  <c r="G18" i="5"/>
  <c r="G17" i="5"/>
  <c r="G20" i="5"/>
  <c r="J14" i="46"/>
  <c r="C20" i="46"/>
  <c r="J14" i="39"/>
  <c r="J17" i="46"/>
  <c r="J18" i="46"/>
  <c r="J9" i="39"/>
  <c r="F16" i="33"/>
  <c r="I9" i="33"/>
  <c r="J16" i="39"/>
  <c r="J18" i="39"/>
  <c r="E4" i="43"/>
  <c r="E33" i="43"/>
  <c r="I5" i="43"/>
  <c r="G20" i="4"/>
  <c r="I17" i="4"/>
  <c r="C22" i="39"/>
  <c r="D11" i="37"/>
  <c r="C17" i="39"/>
  <c r="D17" i="39"/>
  <c r="G21" i="39"/>
  <c r="C11" i="37"/>
  <c r="I19" i="29"/>
  <c r="G9" i="27"/>
  <c r="I14" i="27"/>
  <c r="I19" i="36"/>
  <c r="E15" i="31"/>
  <c r="I19" i="33"/>
  <c r="H18" i="5"/>
  <c r="I18" i="5"/>
  <c r="H17" i="5"/>
  <c r="H20" i="5"/>
  <c r="I14" i="5"/>
  <c r="E15" i="4"/>
  <c r="E15" i="35"/>
  <c r="E20" i="11"/>
  <c r="J20" i="11"/>
  <c r="J16" i="11"/>
  <c r="D15" i="46"/>
  <c r="E15" i="5"/>
  <c r="E17" i="27"/>
  <c r="F16" i="36"/>
  <c r="I9" i="36"/>
  <c r="F16" i="29"/>
  <c r="I9" i="29"/>
  <c r="D5" i="37"/>
  <c r="L31" i="45"/>
  <c r="E32" i="45"/>
  <c r="C5" i="37"/>
  <c r="I17" i="5"/>
  <c r="F18" i="36"/>
  <c r="I18" i="36"/>
  <c r="G21" i="36"/>
  <c r="C7" i="37"/>
  <c r="I16" i="36"/>
  <c r="C22" i="36"/>
  <c r="D7" i="37"/>
  <c r="C19" i="16"/>
  <c r="C16" i="16"/>
  <c r="C20" i="16"/>
  <c r="C21" i="16"/>
  <c r="C6" i="26"/>
  <c r="C8" i="26"/>
  <c r="D16" i="46"/>
  <c r="G16" i="27"/>
  <c r="I9" i="27"/>
  <c r="E17" i="39"/>
  <c r="F17" i="39"/>
  <c r="G17" i="39"/>
  <c r="H17" i="39"/>
  <c r="I17" i="39"/>
  <c r="I18" i="27"/>
  <c r="E16" i="5"/>
  <c r="I15" i="5"/>
  <c r="E16" i="35"/>
  <c r="I15" i="35"/>
  <c r="E16" i="4"/>
  <c r="I15" i="4"/>
  <c r="F18" i="33"/>
  <c r="I18" i="33"/>
  <c r="I16" i="33"/>
  <c r="G21" i="33"/>
  <c r="C8" i="37"/>
  <c r="C22" i="33"/>
  <c r="D8" i="37"/>
  <c r="F18" i="29"/>
  <c r="I18" i="29"/>
  <c r="I16" i="29"/>
  <c r="G21" i="29"/>
  <c r="C10" i="37"/>
  <c r="C22" i="29"/>
  <c r="D10" i="37"/>
  <c r="E16" i="31"/>
  <c r="I15" i="31"/>
  <c r="J17" i="39"/>
  <c r="E20" i="31"/>
  <c r="I20" i="31"/>
  <c r="I16" i="31"/>
  <c r="G19" i="39"/>
  <c r="H19" i="39"/>
  <c r="I19" i="39"/>
  <c r="E20" i="4"/>
  <c r="I20" i="4"/>
  <c r="I16" i="4"/>
  <c r="E20" i="35"/>
  <c r="I20" i="35"/>
  <c r="I16" i="35"/>
  <c r="E20" i="5"/>
  <c r="I20" i="5"/>
  <c r="I16" i="5"/>
  <c r="I16" i="27"/>
  <c r="G21" i="27"/>
  <c r="C9" i="37"/>
  <c r="C22" i="27"/>
  <c r="D9" i="37"/>
  <c r="D20" i="46"/>
  <c r="J19" i="39"/>
  <c r="E15" i="46"/>
  <c r="E16" i="46"/>
  <c r="E20" i="46"/>
  <c r="F15" i="46"/>
  <c r="F16" i="46"/>
  <c r="F20" i="46"/>
  <c r="G20" i="46"/>
  <c r="J15" i="46"/>
  <c r="H20" i="46"/>
  <c r="J16" i="46"/>
  <c r="I20" i="46"/>
  <c r="J20" i="46"/>
  <c r="D6" i="52"/>
  <c r="D8" i="52"/>
  <c r="E15" i="52"/>
  <c r="E16" i="52"/>
  <c r="D5" i="52"/>
  <c r="D7" i="52"/>
  <c r="C6" i="52"/>
  <c r="C8" i="52"/>
  <c r="C5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xue jun chang</author>
  </authors>
  <commentList>
    <comment ref="D9" authorId="0" shapeId="0" xr:uid="{00000000-0006-0000-0200-000001000000}">
      <text>
        <r>
          <rPr>
            <sz val="9"/>
            <color indexed="81"/>
            <rFont val="宋体"/>
            <charset val="134"/>
          </rPr>
          <t>六个月以内</t>
        </r>
        <r>
          <rPr>
            <sz val="9"/>
            <color indexed="81"/>
            <rFont val="Times New Roman"/>
            <family val="1"/>
          </rPr>
          <t>(</t>
        </r>
        <r>
          <rPr>
            <sz val="9"/>
            <color indexed="81"/>
            <rFont val="宋体"/>
            <charset val="134"/>
          </rPr>
          <t>含六个月</t>
        </r>
        <r>
          <rPr>
            <sz val="9"/>
            <color indexed="81"/>
            <rFont val="Times New Roman"/>
            <family val="1"/>
          </rPr>
          <t>)5.58%</t>
        </r>
        <r>
          <rPr>
            <sz val="9"/>
            <color indexed="81"/>
            <rFont val="宋体"/>
            <charset val="134"/>
          </rPr>
          <t xml:space="preserve">
六个月至一年(含一年)5.85%
一至三年(含三年)5.94%
三至五年(含五年)6.03%
五年以上6.21%</t>
        </r>
      </text>
    </comment>
  </commentList>
</comments>
</file>

<file path=xl/sharedStrings.xml><?xml version="1.0" encoding="utf-8"?>
<sst xmlns="http://schemas.openxmlformats.org/spreadsheetml/2006/main" count="1686" uniqueCount="1183">
  <si>
    <t>在建工程</t>
    <phoneticPr fontId="2" type="noConversion"/>
  </si>
  <si>
    <t>资产总额</t>
    <phoneticPr fontId="2" type="noConversion"/>
  </si>
  <si>
    <t>资本收益率</t>
    <phoneticPr fontId="2" type="noConversion"/>
  </si>
  <si>
    <t xml:space="preserve"> </t>
    <phoneticPr fontId="2" type="noConversion"/>
  </si>
  <si>
    <t>项目总建筑面积</t>
    <phoneticPr fontId="2" type="noConversion"/>
  </si>
  <si>
    <t>新增销售收入</t>
    <phoneticPr fontId="2" type="noConversion"/>
  </si>
  <si>
    <t>财务内部收益率</t>
    <phoneticPr fontId="2" type="noConversion"/>
  </si>
  <si>
    <t>借款期限</t>
    <phoneticPr fontId="2" type="noConversion"/>
  </si>
  <si>
    <t>负债总额</t>
    <phoneticPr fontId="2" type="noConversion"/>
  </si>
  <si>
    <t>销售收入</t>
    <phoneticPr fontId="2" type="noConversion"/>
  </si>
  <si>
    <t>利润总额</t>
    <phoneticPr fontId="2" type="noConversion"/>
  </si>
  <si>
    <t>销售利润率</t>
    <phoneticPr fontId="2" type="noConversion"/>
  </si>
  <si>
    <t>固定资产净值</t>
    <phoneticPr fontId="2" type="noConversion"/>
  </si>
  <si>
    <t>长期投资</t>
    <phoneticPr fontId="2" type="noConversion"/>
  </si>
  <si>
    <r>
      <t xml:space="preserve">             </t>
    </r>
    <r>
      <rPr>
        <sz val="12"/>
        <rFont val="宋体"/>
        <charset val="134"/>
      </rPr>
      <t>年</t>
    </r>
    <phoneticPr fontId="2" type="noConversion"/>
  </si>
  <si>
    <t>其中：人民币</t>
    <phoneticPr fontId="2" type="noConversion"/>
  </si>
  <si>
    <t>新增利润总额</t>
    <phoneticPr fontId="2" type="noConversion"/>
  </si>
  <si>
    <t>投资利润率</t>
    <phoneticPr fontId="2" type="noConversion"/>
  </si>
  <si>
    <t>偿债保证比</t>
    <phoneticPr fontId="2" type="noConversion"/>
  </si>
  <si>
    <r>
      <t xml:space="preserve">       </t>
    </r>
    <r>
      <rPr>
        <sz val="12"/>
        <rFont val="宋体"/>
        <charset val="134"/>
      </rPr>
      <t>年</t>
    </r>
    <phoneticPr fontId="2" type="noConversion"/>
  </si>
  <si>
    <t>借款人自筹</t>
    <phoneticPr fontId="2" type="noConversion"/>
  </si>
  <si>
    <t>外汇</t>
    <phoneticPr fontId="2" type="noConversion"/>
  </si>
  <si>
    <t>长期负债合计</t>
    <phoneticPr fontId="2" type="noConversion"/>
  </si>
  <si>
    <t>所有者权益合计</t>
    <phoneticPr fontId="2" type="noConversion"/>
  </si>
  <si>
    <t>单位：万元、万美元</t>
    <phoneticPr fontId="2" type="noConversion"/>
  </si>
  <si>
    <t>评估主要结论报告表</t>
    <phoneticPr fontId="2" type="noConversion"/>
  </si>
  <si>
    <t>其它费用</t>
    <phoneticPr fontId="2" type="noConversion"/>
  </si>
  <si>
    <t>单位：万元</t>
    <phoneticPr fontId="2" type="noConversion"/>
  </si>
  <si>
    <t>序号</t>
    <phoneticPr fontId="2" type="noConversion"/>
  </si>
  <si>
    <t>出租收入</t>
    <phoneticPr fontId="2" type="noConversion"/>
  </si>
  <si>
    <t>所得税</t>
    <phoneticPr fontId="2" type="noConversion"/>
  </si>
  <si>
    <t>项目财务现金流量表</t>
    <phoneticPr fontId="2" type="noConversion"/>
  </si>
  <si>
    <t>现金流入</t>
    <phoneticPr fontId="2" type="noConversion"/>
  </si>
  <si>
    <t>转售固定资产收入</t>
    <phoneticPr fontId="2" type="noConversion"/>
  </si>
  <si>
    <t>现金流出</t>
    <phoneticPr fontId="2" type="noConversion"/>
  </si>
  <si>
    <t>建设经营成本</t>
    <phoneticPr fontId="2" type="noConversion"/>
  </si>
  <si>
    <t>出租经营成本</t>
    <phoneticPr fontId="2" type="noConversion"/>
  </si>
  <si>
    <t>营业税金及附加</t>
    <phoneticPr fontId="2" type="noConversion"/>
  </si>
  <si>
    <t>交易手续费</t>
    <phoneticPr fontId="2" type="noConversion"/>
  </si>
  <si>
    <t>土地增值税</t>
    <phoneticPr fontId="2" type="noConversion"/>
  </si>
  <si>
    <t>净现金流量</t>
    <phoneticPr fontId="2" type="noConversion"/>
  </si>
  <si>
    <t>累计现金流量</t>
    <phoneticPr fontId="2" type="noConversion"/>
  </si>
  <si>
    <t>累积净现值</t>
    <phoneticPr fontId="2" type="noConversion"/>
  </si>
  <si>
    <t>经营活动产生的现金来源</t>
    <phoneticPr fontId="2" type="noConversion"/>
  </si>
  <si>
    <t>筹资活动产生的现金来源</t>
    <phoneticPr fontId="2" type="noConversion"/>
  </si>
  <si>
    <t>经营税金及附加</t>
    <phoneticPr fontId="2" type="noConversion"/>
  </si>
  <si>
    <t>公益金</t>
    <phoneticPr fontId="2" type="noConversion"/>
  </si>
  <si>
    <t>应付利润</t>
    <phoneticPr fontId="2" type="noConversion"/>
  </si>
  <si>
    <t>财务评价</t>
    <phoneticPr fontId="2" type="noConversion"/>
  </si>
  <si>
    <t>前景预测</t>
    <phoneticPr fontId="2" type="noConversion"/>
  </si>
  <si>
    <t>建设条件</t>
    <phoneticPr fontId="2" type="noConversion"/>
  </si>
  <si>
    <t>序</t>
    <phoneticPr fontId="2" type="noConversion"/>
  </si>
  <si>
    <t>号</t>
    <phoneticPr fontId="2" type="noConversion"/>
  </si>
  <si>
    <r>
      <t>项</t>
    </r>
    <r>
      <rPr>
        <sz val="12"/>
        <rFont val="Times New Roman"/>
        <family val="1"/>
      </rPr>
      <t xml:space="preserve">            </t>
    </r>
    <r>
      <rPr>
        <sz val="12"/>
        <rFont val="宋体"/>
        <charset val="134"/>
      </rPr>
      <t>目</t>
    </r>
    <phoneticPr fontId="2" type="noConversion"/>
  </si>
  <si>
    <t>项目出租收入及税金估算表</t>
    <phoneticPr fontId="2" type="noConversion"/>
  </si>
  <si>
    <r>
      <t xml:space="preserve">商业用房可出租面积  </t>
    </r>
    <r>
      <rPr>
        <sz val="12"/>
        <rFont val="Times New Roman"/>
        <family val="1"/>
      </rPr>
      <t>(M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)</t>
    </r>
    <phoneticPr fontId="2" type="noConversion"/>
  </si>
  <si>
    <r>
      <t>单位租金</t>
    </r>
    <r>
      <rPr>
        <sz val="12"/>
        <rFont val="Times New Roman"/>
        <family val="1"/>
      </rPr>
      <t xml:space="preserve">  (</t>
    </r>
    <r>
      <rPr>
        <sz val="12"/>
        <rFont val="宋体"/>
        <charset val="134"/>
      </rPr>
      <t xml:space="preserve">元/m  </t>
    </r>
    <r>
      <rPr>
        <sz val="12"/>
        <rFont val="Times New Roman"/>
        <family val="1"/>
      </rPr>
      <t>·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 xml:space="preserve"> )</t>
    </r>
    <phoneticPr fontId="2" type="noConversion"/>
  </si>
  <si>
    <r>
      <t>出租率</t>
    </r>
    <r>
      <rPr>
        <sz val="12"/>
        <rFont val="Times New Roman"/>
        <family val="1"/>
      </rPr>
      <t xml:space="preserve">    (</t>
    </r>
    <r>
      <rPr>
        <sz val="12"/>
        <rFont val="宋体"/>
        <charset val="134"/>
      </rPr>
      <t>％</t>
    </r>
    <r>
      <rPr>
        <sz val="12"/>
        <rFont val="Times New Roman"/>
        <family val="1"/>
      </rPr>
      <t>)</t>
    </r>
    <phoneticPr fontId="2" type="noConversion"/>
  </si>
  <si>
    <t>出租率    (％)</t>
    <phoneticPr fontId="2" type="noConversion"/>
  </si>
  <si>
    <r>
      <t xml:space="preserve">    </t>
    </r>
    <r>
      <rPr>
        <sz val="12"/>
        <rFont val="宋体"/>
        <charset val="134"/>
      </rPr>
      <t>其中：营业税</t>
    </r>
    <phoneticPr fontId="2" type="noConversion"/>
  </si>
  <si>
    <r>
      <t xml:space="preserve">                </t>
    </r>
    <r>
      <rPr>
        <sz val="12"/>
        <rFont val="宋体"/>
        <charset val="134"/>
      </rPr>
      <t>城市维护建设税</t>
    </r>
    <phoneticPr fontId="2" type="noConversion"/>
  </si>
  <si>
    <r>
      <t xml:space="preserve">                </t>
    </r>
    <r>
      <rPr>
        <sz val="12"/>
        <rFont val="宋体"/>
        <charset val="134"/>
      </rPr>
      <t>教育费附加</t>
    </r>
    <phoneticPr fontId="2" type="noConversion"/>
  </si>
  <si>
    <r>
      <t>写字间可出租面积</t>
    </r>
    <r>
      <rPr>
        <sz val="12"/>
        <rFont val="Times New Roman"/>
        <family val="1"/>
      </rPr>
      <t xml:space="preserve">    (M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)</t>
    </r>
    <phoneticPr fontId="2" type="noConversion"/>
  </si>
  <si>
    <r>
      <t>公寓可出租面积</t>
    </r>
    <r>
      <rPr>
        <sz val="12"/>
        <rFont val="Times New Roman"/>
        <family val="1"/>
      </rPr>
      <t xml:space="preserve">  (M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)</t>
    </r>
    <phoneticPr fontId="2" type="noConversion"/>
  </si>
  <si>
    <r>
      <t>单位租金</t>
    </r>
    <r>
      <rPr>
        <sz val="12"/>
        <rFont val="Times New Roman"/>
        <family val="1"/>
      </rPr>
      <t xml:space="preserve">  (</t>
    </r>
    <r>
      <rPr>
        <sz val="12"/>
        <rFont val="宋体"/>
        <charset val="134"/>
      </rPr>
      <t xml:space="preserve">元/m  </t>
    </r>
    <r>
      <rPr>
        <sz val="12"/>
        <rFont val="Times New Roman"/>
        <family val="1"/>
      </rPr>
      <t>·</t>
    </r>
    <r>
      <rPr>
        <sz val="12"/>
        <rFont val="宋体"/>
        <charset val="134"/>
      </rPr>
      <t>年)</t>
    </r>
    <r>
      <rPr>
        <sz val="12"/>
        <rFont val="Times New Roman"/>
        <family val="1"/>
      </rPr>
      <t xml:space="preserve">  </t>
    </r>
    <phoneticPr fontId="2" type="noConversion"/>
  </si>
  <si>
    <t>折旧费</t>
    <phoneticPr fontId="2" type="noConversion"/>
  </si>
  <si>
    <t>维修费</t>
    <phoneticPr fontId="2" type="noConversion"/>
  </si>
  <si>
    <t>房产税</t>
    <phoneticPr fontId="2" type="noConversion"/>
  </si>
  <si>
    <t>土地使用费</t>
    <phoneticPr fontId="2" type="noConversion"/>
  </si>
  <si>
    <t>保险费</t>
    <phoneticPr fontId="2" type="noConversion"/>
  </si>
  <si>
    <t>管理费</t>
    <phoneticPr fontId="2" type="noConversion"/>
  </si>
  <si>
    <t>财务费</t>
    <phoneticPr fontId="2" type="noConversion"/>
  </si>
  <si>
    <r>
      <t>总成本</t>
    </r>
    <r>
      <rPr>
        <sz val="12"/>
        <rFont val="Times New Roman"/>
        <family val="1"/>
      </rPr>
      <t>(1</t>
    </r>
    <r>
      <rPr>
        <sz val="12"/>
        <rFont val="宋体"/>
        <charset val="134"/>
      </rPr>
      <t>－</t>
    </r>
    <r>
      <rPr>
        <sz val="12"/>
        <rFont val="Times New Roman"/>
        <family val="1"/>
      </rPr>
      <t>9</t>
    </r>
    <r>
      <rPr>
        <sz val="12"/>
        <rFont val="宋体"/>
        <charset val="134"/>
      </rPr>
      <t>项</t>
    </r>
    <r>
      <rPr>
        <sz val="12"/>
        <rFont val="Times New Roman"/>
        <family val="1"/>
      </rPr>
      <t>)</t>
    </r>
    <phoneticPr fontId="2" type="noConversion"/>
  </si>
  <si>
    <r>
      <t>项</t>
    </r>
    <r>
      <rPr>
        <sz val="12"/>
        <rFont val="Times New Roman"/>
        <family val="1"/>
      </rPr>
      <t xml:space="preserve">          </t>
    </r>
    <r>
      <rPr>
        <sz val="12"/>
        <rFont val="宋体"/>
        <charset val="134"/>
      </rPr>
      <t>目</t>
    </r>
    <phoneticPr fontId="2" type="noConversion"/>
  </si>
  <si>
    <r>
      <t xml:space="preserve">            </t>
    </r>
    <r>
      <rPr>
        <sz val="12"/>
        <rFont val="宋体"/>
        <charset val="134"/>
      </rPr>
      <t>年</t>
    </r>
    <phoneticPr fontId="2" type="noConversion"/>
  </si>
  <si>
    <t>流动资产合计</t>
    <phoneticPr fontId="2" type="noConversion"/>
  </si>
  <si>
    <t>固定资产合计</t>
    <phoneticPr fontId="2" type="noConversion"/>
  </si>
  <si>
    <t>无形及递延资产合计</t>
    <phoneticPr fontId="2" type="noConversion"/>
  </si>
  <si>
    <t>其它长期资产合计</t>
    <phoneticPr fontId="2" type="noConversion"/>
  </si>
  <si>
    <t>流动负债合计</t>
    <phoneticPr fontId="2" type="noConversion"/>
  </si>
  <si>
    <t>实收资本</t>
    <phoneticPr fontId="2" type="noConversion"/>
  </si>
  <si>
    <t>资本公积</t>
    <phoneticPr fontId="2" type="noConversion"/>
  </si>
  <si>
    <t>盈余公积</t>
    <phoneticPr fontId="2" type="noConversion"/>
  </si>
  <si>
    <t>未分配利润</t>
    <phoneticPr fontId="2" type="noConversion"/>
  </si>
  <si>
    <r>
      <t>流动比率</t>
    </r>
    <r>
      <rPr>
        <sz val="12"/>
        <rFont val="Times New Roman"/>
        <family val="1"/>
      </rPr>
      <t>(1/16)</t>
    </r>
    <phoneticPr fontId="2" type="noConversion"/>
  </si>
  <si>
    <r>
      <t>速动比率</t>
    </r>
    <r>
      <rPr>
        <sz val="12"/>
        <rFont val="Times New Roman"/>
        <family val="1"/>
      </rPr>
      <t>(1-4)/16</t>
    </r>
    <phoneticPr fontId="2" type="noConversion"/>
  </si>
  <si>
    <r>
      <t>资产负债率</t>
    </r>
    <r>
      <rPr>
        <sz val="12"/>
        <rFont val="Times New Roman"/>
        <family val="1"/>
      </rPr>
      <t>(23/15)</t>
    </r>
    <phoneticPr fontId="2" type="noConversion"/>
  </si>
  <si>
    <r>
      <t xml:space="preserve">    </t>
    </r>
    <r>
      <rPr>
        <sz val="12"/>
        <rFont val="宋体"/>
        <charset val="134"/>
      </rPr>
      <t>其中：公益金</t>
    </r>
    <phoneticPr fontId="2" type="noConversion"/>
  </si>
  <si>
    <r>
      <t>1</t>
    </r>
    <r>
      <rPr>
        <sz val="12"/>
        <rFont val="宋体"/>
        <charset val="134"/>
      </rPr>
      <t>、货币资金包括：货币资金、短期投资。</t>
    </r>
    <phoneticPr fontId="2" type="noConversion"/>
  </si>
  <si>
    <r>
      <t>2</t>
    </r>
    <r>
      <rPr>
        <sz val="12"/>
        <rFont val="宋体"/>
        <charset val="134"/>
      </rPr>
      <t>、应收及预付帐款包括：应收票据、应收帐款净额、其它应收款、预付帐款、</t>
    </r>
    <phoneticPr fontId="2" type="noConversion"/>
  </si>
  <si>
    <r>
      <t xml:space="preserve">      </t>
    </r>
    <r>
      <rPr>
        <sz val="12"/>
        <rFont val="宋体"/>
        <charset val="134"/>
      </rPr>
      <t>待摊费用、应收补贴款等。</t>
    </r>
    <phoneticPr fontId="2" type="noConversion"/>
  </si>
  <si>
    <r>
      <t>4</t>
    </r>
    <r>
      <rPr>
        <sz val="12"/>
        <rFont val="宋体"/>
        <charset val="134"/>
      </rPr>
      <t>、其它固定资产包括：待处理固定资产损失、固定资产清理。</t>
    </r>
    <phoneticPr fontId="2" type="noConversion"/>
  </si>
  <si>
    <r>
      <t>5</t>
    </r>
    <r>
      <rPr>
        <sz val="12"/>
        <rFont val="宋体"/>
        <charset val="134"/>
      </rPr>
      <t>、应付及预收帐款包括：应付票据、应付帐款、预收帐款、其它应付款、应付</t>
    </r>
    <phoneticPr fontId="2" type="noConversion"/>
  </si>
  <si>
    <r>
      <t xml:space="preserve">      </t>
    </r>
    <r>
      <rPr>
        <sz val="12"/>
        <rFont val="宋体"/>
        <charset val="134"/>
      </rPr>
      <t>工资、应付福利费。</t>
    </r>
    <phoneticPr fontId="2" type="noConversion"/>
  </si>
  <si>
    <r>
      <t>6</t>
    </r>
    <r>
      <rPr>
        <sz val="12"/>
        <rFont val="宋体"/>
        <charset val="134"/>
      </rPr>
      <t>、其它流动负债包括：未交税金、未付利润、其它未交未、预提费用、一年内</t>
    </r>
    <phoneticPr fontId="2" type="noConversion"/>
  </si>
  <si>
    <r>
      <t xml:space="preserve">      </t>
    </r>
    <r>
      <rPr>
        <sz val="12"/>
        <rFont val="宋体"/>
        <charset val="134"/>
      </rPr>
      <t>到期的长期负债、其它流动负债、递延税款贷项。</t>
    </r>
    <phoneticPr fontId="2" type="noConversion"/>
  </si>
  <si>
    <r>
      <t>7</t>
    </r>
    <r>
      <rPr>
        <sz val="12"/>
        <rFont val="宋体"/>
        <charset val="134"/>
      </rPr>
      <t>、其它长期负债包括：应付债券、长期应付款、其它长期负债。</t>
    </r>
    <phoneticPr fontId="2" type="noConversion"/>
  </si>
  <si>
    <t>损益及利润分配预测表</t>
    <phoneticPr fontId="2" type="noConversion"/>
  </si>
  <si>
    <t>经营收入</t>
    <phoneticPr fontId="2" type="noConversion"/>
  </si>
  <si>
    <r>
      <t xml:space="preserve">    </t>
    </r>
    <r>
      <rPr>
        <sz val="12"/>
        <rFont val="宋体"/>
        <charset val="134"/>
      </rPr>
      <t>减：经营成本</t>
    </r>
    <r>
      <rPr>
        <sz val="12"/>
        <rFont val="Times New Roman"/>
        <family val="1"/>
      </rPr>
      <t xml:space="preserve"> </t>
    </r>
    <phoneticPr fontId="2" type="noConversion"/>
  </si>
  <si>
    <r>
      <t xml:space="preserve">            </t>
    </r>
    <r>
      <rPr>
        <sz val="12"/>
        <rFont val="宋体"/>
        <charset val="134"/>
      </rPr>
      <t>经营费用</t>
    </r>
    <phoneticPr fontId="2" type="noConversion"/>
  </si>
  <si>
    <r>
      <t xml:space="preserve">            </t>
    </r>
    <r>
      <rPr>
        <sz val="12"/>
        <rFont val="宋体"/>
        <charset val="134"/>
      </rPr>
      <t>经营税金及附加</t>
    </r>
    <phoneticPr fontId="2" type="noConversion"/>
  </si>
  <si>
    <t>经营利润</t>
    <phoneticPr fontId="2" type="noConversion"/>
  </si>
  <si>
    <r>
      <t xml:space="preserve">    </t>
    </r>
    <r>
      <rPr>
        <sz val="12"/>
        <rFont val="宋体"/>
        <charset val="134"/>
      </rPr>
      <t>加：其它业务利润</t>
    </r>
    <phoneticPr fontId="2" type="noConversion"/>
  </si>
  <si>
    <r>
      <t xml:space="preserve">    </t>
    </r>
    <r>
      <rPr>
        <sz val="12"/>
        <rFont val="宋体"/>
        <charset val="134"/>
      </rPr>
      <t>减：管理费用</t>
    </r>
    <phoneticPr fontId="2" type="noConversion"/>
  </si>
  <si>
    <r>
      <t xml:space="preserve">            </t>
    </r>
    <r>
      <rPr>
        <sz val="12"/>
        <rFont val="宋体"/>
        <charset val="134"/>
      </rPr>
      <t>财务费用</t>
    </r>
    <phoneticPr fontId="2" type="noConversion"/>
  </si>
  <si>
    <r>
      <t xml:space="preserve">            </t>
    </r>
    <r>
      <rPr>
        <sz val="12"/>
        <rFont val="宋体"/>
        <charset val="134"/>
      </rPr>
      <t>其中：长期借款利息</t>
    </r>
    <phoneticPr fontId="2" type="noConversion"/>
  </si>
  <si>
    <r>
      <t xml:space="preserve">                        </t>
    </r>
    <r>
      <rPr>
        <sz val="12"/>
        <rFont val="宋体"/>
        <charset val="134"/>
      </rPr>
      <t>短期借款利息</t>
    </r>
    <phoneticPr fontId="2" type="noConversion"/>
  </si>
  <si>
    <r>
      <t xml:space="preserve">    </t>
    </r>
    <r>
      <rPr>
        <sz val="12"/>
        <rFont val="宋体"/>
        <charset val="134"/>
      </rPr>
      <t>加：投资收益</t>
    </r>
    <phoneticPr fontId="2" type="noConversion"/>
  </si>
  <si>
    <r>
      <t xml:space="preserve">            </t>
    </r>
    <r>
      <rPr>
        <sz val="12"/>
        <rFont val="宋体"/>
        <charset val="134"/>
      </rPr>
      <t>营业外净收入</t>
    </r>
    <phoneticPr fontId="2" type="noConversion"/>
  </si>
  <si>
    <r>
      <t xml:space="preserve">    </t>
    </r>
    <r>
      <rPr>
        <sz val="12"/>
        <rFont val="宋体"/>
        <charset val="134"/>
      </rPr>
      <t>减：所得税</t>
    </r>
    <phoneticPr fontId="2" type="noConversion"/>
  </si>
  <si>
    <t>净利润</t>
    <phoneticPr fontId="2" type="noConversion"/>
  </si>
  <si>
    <r>
      <t xml:space="preserve">    </t>
    </r>
    <r>
      <rPr>
        <sz val="12"/>
        <rFont val="宋体"/>
        <charset val="134"/>
      </rPr>
      <t>加：年初未分配利润</t>
    </r>
    <phoneticPr fontId="2" type="noConversion"/>
  </si>
  <si>
    <t>可供分配利润</t>
    <phoneticPr fontId="2" type="noConversion"/>
  </si>
  <si>
    <r>
      <t xml:space="preserve">    </t>
    </r>
    <r>
      <rPr>
        <sz val="12"/>
        <rFont val="宋体"/>
        <charset val="134"/>
      </rPr>
      <t>减：提取盈余公积</t>
    </r>
    <phoneticPr fontId="2" type="noConversion"/>
  </si>
  <si>
    <r>
      <t xml:space="preserve">            </t>
    </r>
    <r>
      <rPr>
        <sz val="12"/>
        <rFont val="宋体"/>
        <charset val="134"/>
      </rPr>
      <t>应付利润</t>
    </r>
    <phoneticPr fontId="2" type="noConversion"/>
  </si>
  <si>
    <t>年末未分配利润</t>
    <phoneticPr fontId="2" type="noConversion"/>
  </si>
  <si>
    <t>金额单位：万元</t>
    <phoneticPr fontId="2" type="noConversion"/>
  </si>
  <si>
    <t>现金流量预测表</t>
    <phoneticPr fontId="2" type="noConversion"/>
  </si>
  <si>
    <r>
      <t>项</t>
    </r>
    <r>
      <rPr>
        <sz val="12"/>
        <rFont val="Times New Roman"/>
        <family val="1"/>
      </rPr>
      <t xml:space="preserve">                </t>
    </r>
    <r>
      <rPr>
        <sz val="12"/>
        <rFont val="宋体"/>
        <charset val="134"/>
      </rPr>
      <t>目</t>
    </r>
    <phoneticPr fontId="2" type="noConversion"/>
  </si>
  <si>
    <r>
      <t xml:space="preserve">        </t>
    </r>
    <r>
      <rPr>
        <sz val="12"/>
        <rFont val="宋体"/>
        <charset val="134"/>
      </rPr>
      <t>固定资产折旧</t>
    </r>
    <phoneticPr fontId="2" type="noConversion"/>
  </si>
  <si>
    <r>
      <t xml:space="preserve">        </t>
    </r>
    <r>
      <rPr>
        <sz val="12"/>
        <rFont val="宋体"/>
        <charset val="134"/>
      </rPr>
      <t>无形资产摊销</t>
    </r>
    <phoneticPr fontId="2" type="noConversion"/>
  </si>
  <si>
    <r>
      <t xml:space="preserve">        </t>
    </r>
    <r>
      <rPr>
        <sz val="12"/>
        <rFont val="宋体"/>
        <charset val="134"/>
      </rPr>
      <t>他长期投资的损失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减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收益</t>
    </r>
    <r>
      <rPr>
        <sz val="12"/>
        <rFont val="Times New Roman"/>
        <family val="1"/>
      </rPr>
      <t>)</t>
    </r>
    <phoneticPr fontId="2" type="noConversion"/>
  </si>
  <si>
    <r>
      <t xml:space="preserve">        </t>
    </r>
    <r>
      <rPr>
        <sz val="12"/>
        <rFont val="宋体"/>
        <charset val="134"/>
      </rPr>
      <t>处置固定资产、无形资产和其</t>
    </r>
    <r>
      <rPr>
        <sz val="12"/>
        <rFont val="Times New Roman"/>
        <family val="1"/>
      </rPr>
      <t xml:space="preserve"> </t>
    </r>
    <phoneticPr fontId="2" type="noConversion"/>
  </si>
  <si>
    <r>
      <t xml:space="preserve">        </t>
    </r>
    <r>
      <rPr>
        <sz val="12"/>
        <rFont val="宋体"/>
        <charset val="134"/>
      </rPr>
      <t>固定资产报废</t>
    </r>
    <phoneticPr fontId="2" type="noConversion"/>
  </si>
  <si>
    <r>
      <t xml:space="preserve">        </t>
    </r>
    <r>
      <rPr>
        <sz val="12"/>
        <rFont val="宋体"/>
        <charset val="134"/>
      </rPr>
      <t>财务费用</t>
    </r>
    <phoneticPr fontId="2" type="noConversion"/>
  </si>
  <si>
    <r>
      <t xml:space="preserve">        </t>
    </r>
    <r>
      <rPr>
        <sz val="12"/>
        <rFont val="宋体"/>
        <charset val="134"/>
      </rPr>
      <t>投资损失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减：收益</t>
    </r>
    <r>
      <rPr>
        <sz val="12"/>
        <rFont val="Times New Roman"/>
        <family val="1"/>
      </rPr>
      <t>)</t>
    </r>
    <phoneticPr fontId="2" type="noConversion"/>
  </si>
  <si>
    <r>
      <t xml:space="preserve">        </t>
    </r>
    <r>
      <rPr>
        <sz val="12"/>
        <rFont val="宋体"/>
        <charset val="134"/>
      </rPr>
      <t>递延税款项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减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借项</t>
    </r>
    <r>
      <rPr>
        <sz val="12"/>
        <rFont val="Times New Roman"/>
        <family val="1"/>
      </rPr>
      <t>)</t>
    </r>
    <phoneticPr fontId="2" type="noConversion"/>
  </si>
  <si>
    <r>
      <t xml:space="preserve">        </t>
    </r>
    <r>
      <rPr>
        <sz val="12"/>
        <rFont val="宋体"/>
        <charset val="134"/>
      </rPr>
      <t>存货的减少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减：增加</t>
    </r>
    <r>
      <rPr>
        <sz val="12"/>
        <rFont val="Times New Roman"/>
        <family val="1"/>
      </rPr>
      <t>)</t>
    </r>
    <phoneticPr fontId="2" type="noConversion"/>
  </si>
  <si>
    <r>
      <t xml:space="preserve">        </t>
    </r>
    <r>
      <rPr>
        <sz val="12"/>
        <rFont val="宋体"/>
        <charset val="134"/>
      </rPr>
      <t>经营性应付项目的增加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减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减少</t>
    </r>
    <r>
      <rPr>
        <sz val="12"/>
        <rFont val="Times New Roman"/>
        <family val="1"/>
      </rPr>
      <t>)</t>
    </r>
    <phoneticPr fontId="2" type="noConversion"/>
  </si>
  <si>
    <r>
      <t xml:space="preserve">        </t>
    </r>
    <r>
      <rPr>
        <sz val="12"/>
        <rFont val="宋体"/>
        <charset val="134"/>
      </rPr>
      <t>经营性应收项目的减少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减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增加</t>
    </r>
    <r>
      <rPr>
        <sz val="12"/>
        <rFont val="Times New Roman"/>
        <family val="1"/>
      </rPr>
      <t>)</t>
    </r>
    <phoneticPr fontId="2" type="noConversion"/>
  </si>
  <si>
    <r>
      <t xml:space="preserve">        </t>
    </r>
    <r>
      <rPr>
        <sz val="12"/>
        <rFont val="宋体"/>
        <charset val="134"/>
      </rPr>
      <t>加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增值税增加净额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减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减少</t>
    </r>
    <r>
      <rPr>
        <sz val="12"/>
        <rFont val="Times New Roman"/>
        <family val="1"/>
      </rPr>
      <t>)</t>
    </r>
    <phoneticPr fontId="2" type="noConversion"/>
  </si>
  <si>
    <t>经营活动产生的现金流量净额</t>
    <phoneticPr fontId="2" type="noConversion"/>
  </si>
  <si>
    <t>二、投资活动产生的现金流量：</t>
    <phoneticPr fontId="2" type="noConversion"/>
  </si>
  <si>
    <r>
      <t>一、经营活动产生的现金流量</t>
    </r>
    <r>
      <rPr>
        <b/>
        <sz val="12"/>
        <rFont val="Times New Roman"/>
        <family val="1"/>
      </rPr>
      <t>:</t>
    </r>
    <phoneticPr fontId="2" type="noConversion"/>
  </si>
  <si>
    <r>
      <t xml:space="preserve">        </t>
    </r>
    <r>
      <rPr>
        <sz val="12"/>
        <rFont val="宋体"/>
        <charset val="134"/>
      </rPr>
      <t>年</t>
    </r>
    <phoneticPr fontId="2" type="noConversion"/>
  </si>
  <si>
    <t>单位：元</t>
    <phoneticPr fontId="2" type="noConversion"/>
  </si>
  <si>
    <r>
      <t xml:space="preserve">    </t>
    </r>
    <r>
      <rPr>
        <sz val="12"/>
        <rFont val="宋体"/>
        <charset val="134"/>
      </rPr>
      <t>净利润</t>
    </r>
    <phoneticPr fontId="2" type="noConversion"/>
  </si>
  <si>
    <r>
      <t xml:space="preserve">    </t>
    </r>
    <r>
      <rPr>
        <sz val="12"/>
        <rFont val="宋体"/>
        <charset val="134"/>
      </rPr>
      <t>加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计提的坏帐准备或转销的坏帐</t>
    </r>
    <phoneticPr fontId="2" type="noConversion"/>
  </si>
  <si>
    <r>
      <t xml:space="preserve">    </t>
    </r>
    <r>
      <rPr>
        <sz val="12"/>
        <rFont val="宋体"/>
        <charset val="134"/>
      </rPr>
      <t>收回投资所收到的现金</t>
    </r>
    <phoneticPr fontId="2" type="noConversion"/>
  </si>
  <si>
    <r>
      <t xml:space="preserve">    </t>
    </r>
    <r>
      <rPr>
        <sz val="12"/>
        <rFont val="宋体"/>
        <charset val="134"/>
      </rPr>
      <t>取得债券利息收入所收到的现金</t>
    </r>
    <phoneticPr fontId="2" type="noConversion"/>
  </si>
  <si>
    <r>
      <t xml:space="preserve">    </t>
    </r>
    <r>
      <rPr>
        <sz val="12"/>
        <rFont val="宋体"/>
        <charset val="134"/>
      </rPr>
      <t>处置固定资产、无形资产和其他长</t>
    </r>
    <phoneticPr fontId="2" type="noConversion"/>
  </si>
  <si>
    <r>
      <t xml:space="preserve">    </t>
    </r>
    <r>
      <rPr>
        <sz val="12"/>
        <rFont val="宋体"/>
        <charset val="134"/>
      </rPr>
      <t>期资产而收到的现金净额</t>
    </r>
    <phoneticPr fontId="2" type="noConversion"/>
  </si>
  <si>
    <r>
      <t xml:space="preserve">      </t>
    </r>
    <r>
      <rPr>
        <b/>
        <sz val="12"/>
        <rFont val="宋体"/>
        <charset val="134"/>
      </rPr>
      <t>现金流入小计</t>
    </r>
    <phoneticPr fontId="2" type="noConversion"/>
  </si>
  <si>
    <r>
      <t xml:space="preserve">    </t>
    </r>
    <r>
      <rPr>
        <sz val="12"/>
        <rFont val="宋体"/>
        <charset val="134"/>
      </rPr>
      <t>购建固定资产、无形资产和其他长</t>
    </r>
    <phoneticPr fontId="2" type="noConversion"/>
  </si>
  <si>
    <r>
      <t xml:space="preserve">    </t>
    </r>
    <r>
      <rPr>
        <sz val="12"/>
        <rFont val="宋体"/>
        <charset val="134"/>
      </rPr>
      <t>期资产所支付的现金</t>
    </r>
    <phoneticPr fontId="2" type="noConversion"/>
  </si>
  <si>
    <r>
      <t xml:space="preserve">    </t>
    </r>
    <r>
      <rPr>
        <sz val="12"/>
        <rFont val="宋体"/>
        <charset val="134"/>
      </rPr>
      <t>权益性投资所支付的现金</t>
    </r>
    <phoneticPr fontId="2" type="noConversion"/>
  </si>
  <si>
    <r>
      <t xml:space="preserve">    </t>
    </r>
    <r>
      <rPr>
        <sz val="12"/>
        <rFont val="宋体"/>
        <charset val="134"/>
      </rPr>
      <t>债权性投资所支付的现金</t>
    </r>
    <phoneticPr fontId="2" type="noConversion"/>
  </si>
  <si>
    <r>
      <t xml:space="preserve">    </t>
    </r>
    <r>
      <rPr>
        <sz val="12"/>
        <rFont val="宋体"/>
        <charset val="134"/>
      </rPr>
      <t>支付的其他与投资活动有关的现金</t>
    </r>
    <phoneticPr fontId="2" type="noConversion"/>
  </si>
  <si>
    <r>
      <t xml:space="preserve">        </t>
    </r>
    <r>
      <rPr>
        <b/>
        <sz val="12"/>
        <rFont val="宋体"/>
        <charset val="134"/>
      </rPr>
      <t>现金流出小计</t>
    </r>
    <phoneticPr fontId="2" type="noConversion"/>
  </si>
  <si>
    <t>投资活动产生的现金流量净额</t>
    <phoneticPr fontId="2" type="noConversion"/>
  </si>
  <si>
    <t>三、筹资活动产生的现金流量：</t>
    <phoneticPr fontId="2" type="noConversion"/>
  </si>
  <si>
    <r>
      <t xml:space="preserve">    </t>
    </r>
    <r>
      <rPr>
        <sz val="12"/>
        <rFont val="宋体"/>
        <charset val="134"/>
      </rPr>
      <t>吸收权益性投资所收到的现金</t>
    </r>
    <phoneticPr fontId="2" type="noConversion"/>
  </si>
  <si>
    <r>
      <t xml:space="preserve">    </t>
    </r>
    <r>
      <rPr>
        <sz val="12"/>
        <rFont val="宋体"/>
        <charset val="134"/>
      </rPr>
      <t>发行债券所收到的现金</t>
    </r>
    <phoneticPr fontId="2" type="noConversion"/>
  </si>
  <si>
    <r>
      <t xml:space="preserve">    </t>
    </r>
    <r>
      <rPr>
        <sz val="12"/>
        <rFont val="宋体"/>
        <charset val="134"/>
      </rPr>
      <t>借款所收到的现金</t>
    </r>
    <phoneticPr fontId="2" type="noConversion"/>
  </si>
  <si>
    <r>
      <t xml:space="preserve">    </t>
    </r>
    <r>
      <rPr>
        <sz val="12"/>
        <rFont val="宋体"/>
        <charset val="134"/>
      </rPr>
      <t>收到的其他与筹资活动有关的现金</t>
    </r>
    <phoneticPr fontId="2" type="noConversion"/>
  </si>
  <si>
    <r>
      <t xml:space="preserve">        </t>
    </r>
    <r>
      <rPr>
        <b/>
        <sz val="12"/>
        <rFont val="宋体"/>
        <charset val="134"/>
      </rPr>
      <t>现金流入小计</t>
    </r>
    <phoneticPr fontId="2" type="noConversion"/>
  </si>
  <si>
    <r>
      <t xml:space="preserve">    </t>
    </r>
    <r>
      <rPr>
        <sz val="12"/>
        <rFont val="宋体"/>
        <charset val="134"/>
      </rPr>
      <t>偿还债务所支付的现金</t>
    </r>
    <phoneticPr fontId="2" type="noConversion"/>
  </si>
  <si>
    <r>
      <t xml:space="preserve">    </t>
    </r>
    <r>
      <rPr>
        <sz val="12"/>
        <rFont val="宋体"/>
        <charset val="134"/>
      </rPr>
      <t>发生筹资费用所支付的现金</t>
    </r>
    <phoneticPr fontId="2" type="noConversion"/>
  </si>
  <si>
    <r>
      <t xml:space="preserve">    </t>
    </r>
    <r>
      <rPr>
        <sz val="12"/>
        <rFont val="宋体"/>
        <charset val="134"/>
      </rPr>
      <t>分配股利或利润所支付的现金</t>
    </r>
    <phoneticPr fontId="2" type="noConversion"/>
  </si>
  <si>
    <r>
      <t xml:space="preserve">    </t>
    </r>
    <r>
      <rPr>
        <sz val="12"/>
        <rFont val="宋体"/>
        <charset val="134"/>
      </rPr>
      <t>偿付利息所支付的现金</t>
    </r>
    <phoneticPr fontId="2" type="noConversion"/>
  </si>
  <si>
    <r>
      <t xml:space="preserve">    </t>
    </r>
    <r>
      <rPr>
        <sz val="12"/>
        <rFont val="宋体"/>
        <charset val="134"/>
      </rPr>
      <t>减少注册资本所支付的现金</t>
    </r>
    <phoneticPr fontId="2" type="noConversion"/>
  </si>
  <si>
    <r>
      <t xml:space="preserve">    </t>
    </r>
    <r>
      <rPr>
        <sz val="12"/>
        <rFont val="宋体"/>
        <charset val="134"/>
      </rPr>
      <t>支付的其他与筹资活动有关的现金</t>
    </r>
    <phoneticPr fontId="2" type="noConversion"/>
  </si>
  <si>
    <t>筹资活动产生的现金流量净额</t>
    <phoneticPr fontId="2" type="noConversion"/>
  </si>
  <si>
    <t>四、汇率变动对现金的影响额</t>
    <phoneticPr fontId="2" type="noConversion"/>
  </si>
  <si>
    <t>五、现金及现金等价物增加额</t>
    <phoneticPr fontId="2" type="noConversion"/>
  </si>
  <si>
    <r>
      <t xml:space="preserve">    </t>
    </r>
    <r>
      <rPr>
        <sz val="12"/>
        <rFont val="宋体"/>
        <charset val="134"/>
      </rPr>
      <t>融资租赁所支付的现金</t>
    </r>
    <phoneticPr fontId="2" type="noConversion"/>
  </si>
  <si>
    <r>
      <t xml:space="preserve">    </t>
    </r>
    <r>
      <rPr>
        <sz val="12"/>
        <rFont val="宋体"/>
        <charset val="134"/>
      </rPr>
      <t>收到的其它与投资活动有关的现金</t>
    </r>
    <phoneticPr fontId="2" type="noConversion"/>
  </si>
  <si>
    <r>
      <t xml:space="preserve">    </t>
    </r>
    <r>
      <rPr>
        <sz val="12"/>
        <rFont val="宋体"/>
        <charset val="134"/>
      </rPr>
      <t>分得股利或利润所收到的现金</t>
    </r>
    <phoneticPr fontId="2" type="noConversion"/>
  </si>
  <si>
    <r>
      <t>金额单位</t>
    </r>
    <r>
      <rPr>
        <sz val="12"/>
        <rFont val="Times New Roman"/>
        <family val="1"/>
      </rPr>
      <t>:</t>
    </r>
    <r>
      <rPr>
        <sz val="12"/>
        <rFont val="宋体"/>
        <charset val="134"/>
      </rPr>
      <t>万元</t>
    </r>
    <phoneticPr fontId="2" type="noConversion"/>
  </si>
  <si>
    <r>
      <t xml:space="preserve">         </t>
    </r>
    <r>
      <rPr>
        <sz val="12"/>
        <rFont val="宋体"/>
        <charset val="134"/>
      </rPr>
      <t>年</t>
    </r>
    <phoneticPr fontId="2" type="noConversion"/>
  </si>
  <si>
    <r>
      <t>预</t>
    </r>
    <r>
      <rPr>
        <sz val="12"/>
        <rFont val="Times New Roman"/>
        <family val="1"/>
      </rPr>
      <t xml:space="preserve">   </t>
    </r>
    <r>
      <rPr>
        <sz val="12"/>
        <rFont val="宋体"/>
        <charset val="134"/>
      </rPr>
      <t>测</t>
    </r>
    <r>
      <rPr>
        <sz val="12"/>
        <rFont val="Times New Roman"/>
        <family val="1"/>
      </rPr>
      <t xml:space="preserve">   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 xml:space="preserve">   </t>
    </r>
    <r>
      <rPr>
        <sz val="12"/>
        <rFont val="宋体"/>
        <charset val="134"/>
      </rPr>
      <t>份</t>
    </r>
    <phoneticPr fontId="2" type="noConversion"/>
  </si>
  <si>
    <r>
      <t>经营利润率</t>
    </r>
    <r>
      <rPr>
        <sz val="12"/>
        <rFont val="Times New Roman"/>
        <family val="1"/>
      </rPr>
      <t>(16/1)</t>
    </r>
    <phoneticPr fontId="2" type="noConversion"/>
  </si>
  <si>
    <r>
      <t>资本利润率</t>
    </r>
    <r>
      <rPr>
        <sz val="12"/>
        <rFont val="Times New Roman"/>
        <family val="1"/>
      </rPr>
      <t>(16/</t>
    </r>
    <r>
      <rPr>
        <sz val="12"/>
        <rFont val="宋体"/>
        <charset val="134"/>
      </rPr>
      <t>资本</t>
    </r>
    <r>
      <rPr>
        <sz val="12"/>
        <rFont val="Times New Roman"/>
        <family val="1"/>
      </rPr>
      <t>)</t>
    </r>
    <phoneticPr fontId="2" type="noConversion"/>
  </si>
  <si>
    <r>
      <t>3</t>
    </r>
    <r>
      <rPr>
        <sz val="12"/>
        <rFont val="宋体"/>
        <charset val="134"/>
      </rPr>
      <t>、其它流动资产包括：待处理流动资产净损失、一年内到期的长期债券投资、</t>
    </r>
    <phoneticPr fontId="2" type="noConversion"/>
  </si>
  <si>
    <r>
      <t xml:space="preserve">      </t>
    </r>
    <r>
      <rPr>
        <sz val="12"/>
        <rFont val="宋体"/>
        <charset val="134"/>
      </rPr>
      <t>其它流动资产、递延税款借款。</t>
    </r>
    <phoneticPr fontId="2" type="noConversion"/>
  </si>
  <si>
    <t>有关栏目具体内容说明</t>
    <phoneticPr fontId="2" type="noConversion"/>
  </si>
  <si>
    <t>资产总计</t>
    <phoneticPr fontId="2" type="noConversion"/>
  </si>
  <si>
    <r>
      <t>负债合计</t>
    </r>
    <r>
      <rPr>
        <sz val="12"/>
        <rFont val="Times New Roman"/>
        <family val="1"/>
      </rPr>
      <t/>
    </r>
    <phoneticPr fontId="2" type="noConversion"/>
  </si>
  <si>
    <t>负债和所有者权益总计</t>
    <phoneticPr fontId="2" type="noConversion"/>
  </si>
  <si>
    <r>
      <t>预</t>
    </r>
    <r>
      <rPr>
        <sz val="12"/>
        <rFont val="Times New Roman"/>
        <family val="1"/>
      </rPr>
      <t xml:space="preserve">      </t>
    </r>
    <r>
      <rPr>
        <sz val="12"/>
        <rFont val="宋体"/>
        <charset val="134"/>
      </rPr>
      <t>测</t>
    </r>
    <r>
      <rPr>
        <sz val="12"/>
        <rFont val="Times New Roman"/>
        <family val="1"/>
      </rPr>
      <t xml:space="preserve">      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 xml:space="preserve">      </t>
    </r>
    <r>
      <rPr>
        <sz val="12"/>
        <rFont val="宋体"/>
        <charset val="134"/>
      </rPr>
      <t>份</t>
    </r>
    <phoneticPr fontId="2" type="noConversion"/>
  </si>
  <si>
    <t>注：各科目包含内容见后附说明</t>
    <phoneticPr fontId="2" type="noConversion"/>
  </si>
  <si>
    <t>项目出租成本测算表</t>
    <phoneticPr fontId="2" type="noConversion"/>
  </si>
  <si>
    <r>
      <t>项目损益预测表</t>
    </r>
    <r>
      <rPr>
        <b/>
        <sz val="14"/>
        <rFont val="Times New Roman"/>
        <family val="1"/>
      </rPr>
      <t>(</t>
    </r>
    <r>
      <rPr>
        <b/>
        <sz val="14"/>
        <rFont val="宋体"/>
        <charset val="134"/>
      </rPr>
      <t>出租部分</t>
    </r>
    <r>
      <rPr>
        <b/>
        <sz val="14"/>
        <rFont val="Times New Roman"/>
        <family val="1"/>
      </rPr>
      <t>)</t>
    </r>
    <phoneticPr fontId="2" type="noConversion"/>
  </si>
  <si>
    <r>
      <t>项目损益预测表</t>
    </r>
    <r>
      <rPr>
        <b/>
        <sz val="14"/>
        <rFont val="Times New Roman"/>
        <family val="1"/>
      </rPr>
      <t>(</t>
    </r>
    <r>
      <rPr>
        <b/>
        <sz val="14"/>
        <rFont val="宋体"/>
        <charset val="134"/>
      </rPr>
      <t>出售部分</t>
    </r>
    <r>
      <rPr>
        <b/>
        <sz val="14"/>
        <rFont val="Times New Roman"/>
        <family val="1"/>
      </rPr>
      <t>)</t>
    </r>
    <phoneticPr fontId="2" type="noConversion"/>
  </si>
  <si>
    <t>行</t>
  </si>
  <si>
    <t>次</t>
  </si>
  <si>
    <t>年末</t>
  </si>
  <si>
    <t>年初</t>
  </si>
  <si>
    <t>损益及利润分配表</t>
  </si>
  <si>
    <t>序</t>
  </si>
  <si>
    <t>号</t>
  </si>
  <si>
    <t>2</t>
  </si>
  <si>
    <t>3</t>
  </si>
  <si>
    <t>4</t>
  </si>
  <si>
    <t>5</t>
  </si>
  <si>
    <t>6</t>
  </si>
  <si>
    <t>7</t>
  </si>
  <si>
    <t>8</t>
  </si>
  <si>
    <t>12</t>
  </si>
  <si>
    <t>三、营业利润</t>
  </si>
  <si>
    <t>13</t>
  </si>
  <si>
    <t>14</t>
  </si>
  <si>
    <t>15</t>
  </si>
  <si>
    <t>16</t>
  </si>
  <si>
    <t>17</t>
  </si>
  <si>
    <t>四、利润总额</t>
  </si>
  <si>
    <t>18</t>
  </si>
  <si>
    <t>19</t>
  </si>
  <si>
    <t>净利润</t>
  </si>
  <si>
    <t>20</t>
  </si>
  <si>
    <t>21</t>
  </si>
  <si>
    <t>22</t>
  </si>
  <si>
    <t>23</t>
  </si>
  <si>
    <t>五、可供分配利润</t>
  </si>
  <si>
    <t>24</t>
  </si>
  <si>
    <t>25</t>
  </si>
  <si>
    <t>26</t>
  </si>
  <si>
    <t>27</t>
  </si>
  <si>
    <t>28</t>
  </si>
  <si>
    <t>六、年末未分配利润</t>
  </si>
  <si>
    <t>29</t>
  </si>
  <si>
    <r>
      <t>经营成本</t>
    </r>
    <r>
      <rPr>
        <sz val="12"/>
        <rFont val="Times New Roman"/>
        <family val="1"/>
      </rPr>
      <t>(9-</t>
    </r>
    <r>
      <rPr>
        <sz val="12"/>
        <rFont val="宋体"/>
        <charset val="134"/>
      </rPr>
      <t>1-7</t>
    </r>
    <r>
      <rPr>
        <sz val="12"/>
        <rFont val="Times New Roman"/>
        <family val="1"/>
      </rPr>
      <t>)</t>
    </r>
    <phoneticPr fontId="2" type="noConversion"/>
  </si>
  <si>
    <r>
      <t xml:space="preserve">         </t>
    </r>
    <r>
      <rPr>
        <sz val="12"/>
        <rFont val="宋体"/>
        <charset val="134"/>
      </rPr>
      <t>项目合计得分</t>
    </r>
    <r>
      <rPr>
        <sz val="12"/>
        <rFont val="Times New Roman"/>
        <family val="1"/>
      </rPr>
      <t xml:space="preserve">            </t>
    </r>
    <r>
      <rPr>
        <sz val="12"/>
        <rFont val="宋体"/>
        <charset val="134"/>
      </rPr>
      <t>≥</t>
    </r>
    <r>
      <rPr>
        <sz val="12"/>
        <rFont val="Times New Roman"/>
        <family val="1"/>
      </rPr>
      <t xml:space="preserve">90        </t>
    </r>
    <r>
      <rPr>
        <sz val="12"/>
        <rFont val="宋体"/>
        <charset val="134"/>
      </rPr>
      <t>≥</t>
    </r>
    <r>
      <rPr>
        <sz val="12"/>
        <rFont val="Times New Roman"/>
        <family val="1"/>
      </rPr>
      <t xml:space="preserve">80       </t>
    </r>
    <r>
      <rPr>
        <sz val="12"/>
        <rFont val="宋体"/>
        <charset val="134"/>
      </rPr>
      <t>≥</t>
    </r>
    <r>
      <rPr>
        <sz val="12"/>
        <rFont val="Times New Roman"/>
        <family val="1"/>
      </rPr>
      <t xml:space="preserve">70       </t>
    </r>
    <r>
      <rPr>
        <sz val="12"/>
        <rFont val="宋体"/>
        <charset val="134"/>
      </rPr>
      <t>≥</t>
    </r>
    <r>
      <rPr>
        <sz val="12"/>
        <rFont val="Times New Roman"/>
        <family val="1"/>
      </rPr>
      <t xml:space="preserve">60        </t>
    </r>
    <r>
      <rPr>
        <sz val="12"/>
        <rFont val="宋体"/>
        <charset val="134"/>
      </rPr>
      <t>≥</t>
    </r>
    <r>
      <rPr>
        <sz val="12"/>
        <rFont val="Times New Roman"/>
        <family val="1"/>
      </rPr>
      <t>40</t>
    </r>
    <phoneticPr fontId="2" type="noConversion"/>
  </si>
  <si>
    <r>
      <t xml:space="preserve">         </t>
    </r>
    <r>
      <rPr>
        <sz val="12"/>
        <rFont val="宋体"/>
        <charset val="134"/>
      </rPr>
      <t>项目风险等级</t>
    </r>
    <r>
      <rPr>
        <sz val="12"/>
        <rFont val="Times New Roman"/>
        <family val="1"/>
      </rPr>
      <t xml:space="preserve">             AAA        AA          A          BBB            BB</t>
    </r>
    <phoneticPr fontId="2" type="noConversion"/>
  </si>
  <si>
    <r>
      <t xml:space="preserve">  A</t>
    </r>
    <r>
      <rPr>
        <sz val="12"/>
        <rFont val="宋体"/>
        <charset val="134"/>
      </rPr>
      <t>、项目风险等级系数</t>
    </r>
    <r>
      <rPr>
        <sz val="12"/>
        <rFont val="Times New Roman"/>
        <family val="1"/>
      </rPr>
      <t xml:space="preserve">       0.4          0.5          0.6         0.7             0.8</t>
    </r>
    <phoneticPr fontId="2" type="noConversion"/>
  </si>
  <si>
    <r>
      <t xml:space="preserve">         </t>
    </r>
    <r>
      <rPr>
        <sz val="12"/>
        <rFont val="宋体"/>
        <charset val="134"/>
      </rPr>
      <t>企业信用等级</t>
    </r>
    <r>
      <rPr>
        <sz val="12"/>
        <rFont val="Times New Roman"/>
        <family val="1"/>
      </rPr>
      <t xml:space="preserve">             AAA         AA          A         BBB            BB</t>
    </r>
    <phoneticPr fontId="2" type="noConversion"/>
  </si>
  <si>
    <r>
      <t xml:space="preserve">  B</t>
    </r>
    <r>
      <rPr>
        <sz val="12"/>
        <rFont val="宋体"/>
        <charset val="134"/>
      </rPr>
      <t>、企业信用等级系数</t>
    </r>
    <r>
      <rPr>
        <sz val="12"/>
        <rFont val="Times New Roman"/>
        <family val="1"/>
      </rPr>
      <t xml:space="preserve">       0.4           0.5          0.6        0.7             0.8</t>
    </r>
    <phoneticPr fontId="2" type="noConversion"/>
  </si>
  <si>
    <r>
      <t xml:space="preserve">         </t>
    </r>
    <r>
      <rPr>
        <sz val="12"/>
        <rFont val="宋体"/>
        <charset val="134"/>
      </rPr>
      <t>贷款方式</t>
    </r>
    <r>
      <rPr>
        <sz val="12"/>
        <rFont val="Times New Roman"/>
        <family val="1"/>
      </rPr>
      <t xml:space="preserve">                      </t>
    </r>
    <r>
      <rPr>
        <sz val="12"/>
        <rFont val="宋体"/>
        <charset val="134"/>
      </rPr>
      <t>担保抵押</t>
    </r>
    <r>
      <rPr>
        <sz val="12"/>
        <rFont val="Times New Roman"/>
        <family val="1"/>
      </rPr>
      <t xml:space="preserve">                        </t>
    </r>
    <r>
      <rPr>
        <sz val="12"/>
        <rFont val="宋体"/>
        <charset val="134"/>
      </rPr>
      <t>信用</t>
    </r>
    <phoneticPr fontId="2" type="noConversion"/>
  </si>
  <si>
    <r>
      <t xml:space="preserve">  C</t>
    </r>
    <r>
      <rPr>
        <sz val="12"/>
        <rFont val="宋体"/>
        <charset val="134"/>
      </rPr>
      <t>、贷款方式风险系数</t>
    </r>
    <r>
      <rPr>
        <sz val="12"/>
        <rFont val="Times New Roman"/>
        <family val="1"/>
      </rPr>
      <t xml:space="preserve">                0.5                          1.0 </t>
    </r>
    <phoneticPr fontId="2" type="noConversion"/>
  </si>
  <si>
    <r>
      <t xml:space="preserve">         </t>
    </r>
    <r>
      <rPr>
        <sz val="12"/>
        <rFont val="宋体"/>
        <charset val="134"/>
      </rPr>
      <t>综合系数＝项目总投资</t>
    </r>
    <r>
      <rPr>
        <sz val="12"/>
        <rFont val="Times New Roman"/>
        <family val="1"/>
      </rPr>
      <t>÷[</t>
    </r>
    <r>
      <rPr>
        <sz val="12"/>
        <rFont val="宋体"/>
        <charset val="134"/>
      </rPr>
      <t>企业净有形资产＋项目总投资</t>
    </r>
    <r>
      <rPr>
        <sz val="12"/>
        <rFont val="Times New Roman"/>
        <family val="1"/>
      </rPr>
      <t>]</t>
    </r>
    <phoneticPr fontId="2" type="noConversion"/>
  </si>
  <si>
    <r>
      <t xml:space="preserve">         </t>
    </r>
    <r>
      <rPr>
        <sz val="12"/>
        <rFont val="宋体"/>
        <charset val="134"/>
      </rPr>
      <t>贷款风险度＝</t>
    </r>
    <r>
      <rPr>
        <sz val="12"/>
        <rFont val="Times New Roman"/>
        <family val="1"/>
      </rPr>
      <t>C×[B(1-Y)+AY]</t>
    </r>
    <phoneticPr fontId="2" type="noConversion"/>
  </si>
  <si>
    <t>项目总投资</t>
    <phoneticPr fontId="2" type="noConversion"/>
  </si>
  <si>
    <r>
      <t>合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计</t>
    </r>
    <phoneticPr fontId="2" type="noConversion"/>
  </si>
  <si>
    <t>财务费用</t>
    <phoneticPr fontId="2" type="noConversion"/>
  </si>
  <si>
    <t>净现值</t>
    <phoneticPr fontId="2" type="noConversion"/>
  </si>
  <si>
    <t>出租总成本</t>
    <phoneticPr fontId="2" type="noConversion"/>
  </si>
  <si>
    <r>
      <t>利润总额</t>
    </r>
    <r>
      <rPr>
        <sz val="12"/>
        <rFont val="Times New Roman"/>
        <family val="1"/>
      </rPr>
      <t xml:space="preserve"> </t>
    </r>
    <phoneticPr fontId="2" type="noConversion"/>
  </si>
  <si>
    <r>
      <t xml:space="preserve">    </t>
    </r>
    <r>
      <rPr>
        <sz val="12"/>
        <rFont val="宋体"/>
        <charset val="134"/>
      </rPr>
      <t>减：提取公积金</t>
    </r>
    <phoneticPr fontId="2" type="noConversion"/>
  </si>
  <si>
    <r>
      <t xml:space="preserve">    </t>
    </r>
    <r>
      <rPr>
        <sz val="12"/>
        <rFont val="宋体"/>
        <charset val="134"/>
      </rPr>
      <t>减：应付利润</t>
    </r>
    <phoneticPr fontId="2" type="noConversion"/>
  </si>
  <si>
    <t>销售税金及附加</t>
    <phoneticPr fontId="2" type="noConversion"/>
  </si>
  <si>
    <t>减：所得税</t>
    <phoneticPr fontId="2" type="noConversion"/>
  </si>
  <si>
    <t>其中：建安工程费</t>
    <phoneticPr fontId="2" type="noConversion"/>
  </si>
  <si>
    <t>出资人基本情况</t>
    <phoneticPr fontId="2" type="noConversion"/>
  </si>
  <si>
    <r>
      <t xml:space="preserve">                      </t>
    </r>
    <r>
      <rPr>
        <sz val="12"/>
        <rFont val="宋体"/>
        <charset val="134"/>
      </rPr>
      <t>出资人</t>
    </r>
    <phoneticPr fontId="2" type="noConversion"/>
  </si>
  <si>
    <r>
      <t>项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目</t>
    </r>
    <phoneticPr fontId="2" type="noConversion"/>
  </si>
  <si>
    <t>出资额</t>
    <phoneticPr fontId="2" type="noConversion"/>
  </si>
  <si>
    <t>出资比例</t>
    <phoneticPr fontId="2" type="noConversion"/>
  </si>
  <si>
    <t>出资方式</t>
    <phoneticPr fontId="2" type="noConversion"/>
  </si>
  <si>
    <r>
      <t>资产负债率</t>
    </r>
    <r>
      <rPr>
        <sz val="12"/>
        <rFont val="Times New Roman"/>
        <family val="1"/>
      </rPr>
      <t>(%)</t>
    </r>
    <phoneticPr fontId="2" type="noConversion"/>
  </si>
  <si>
    <r>
      <t>流动比率</t>
    </r>
    <r>
      <rPr>
        <sz val="12"/>
        <rFont val="Times New Roman"/>
        <family val="1"/>
      </rPr>
      <t xml:space="preserve">    (%)</t>
    </r>
    <phoneticPr fontId="2" type="noConversion"/>
  </si>
  <si>
    <r>
      <t>销售收入</t>
    </r>
    <r>
      <rPr>
        <sz val="12"/>
        <rFont val="Times New Roman"/>
        <family val="1"/>
      </rPr>
      <t xml:space="preserve">   </t>
    </r>
    <phoneticPr fontId="2" type="noConversion"/>
  </si>
  <si>
    <r>
      <t>拟</t>
    </r>
    <r>
      <rPr>
        <sz val="12"/>
        <rFont val="宋体"/>
        <charset val="134"/>
      </rPr>
      <t>建项目主要情况</t>
    </r>
    <phoneticPr fontId="2" type="noConversion"/>
  </si>
  <si>
    <t>申请我行贷款金额</t>
    <phoneticPr fontId="2" type="noConversion"/>
  </si>
  <si>
    <r>
      <t>投资回收期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动态</t>
    </r>
    <r>
      <rPr>
        <sz val="12"/>
        <rFont val="Times New Roman"/>
        <family val="1"/>
      </rPr>
      <t>)</t>
    </r>
    <phoneticPr fontId="2" type="noConversion"/>
  </si>
  <si>
    <t>贷款风险度</t>
    <phoneticPr fontId="2" type="noConversion"/>
  </si>
  <si>
    <r>
      <t>备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注：</t>
    </r>
    <phoneticPr fontId="2" type="noConversion"/>
  </si>
  <si>
    <r>
      <t>注：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、本表适用于借款人为项目法人的</t>
    </r>
    <phoneticPr fontId="2" type="noConversion"/>
  </si>
  <si>
    <r>
      <t xml:space="preserve">        2</t>
    </r>
    <r>
      <rPr>
        <sz val="12"/>
        <rFont val="宋体"/>
        <charset val="134"/>
      </rPr>
      <t>、出资人资产负债和盈利状况取评估前一年</t>
    </r>
    <r>
      <rPr>
        <sz val="12"/>
        <rFont val="Times New Roman"/>
        <family val="1"/>
      </rPr>
      <t xml:space="preserve">( </t>
    </r>
    <r>
      <rPr>
        <sz val="12"/>
        <rFont val="宋体"/>
        <charset val="134"/>
      </rPr>
      <t>即</t>
    </r>
    <r>
      <rPr>
        <sz val="12"/>
        <rFont val="Times New Roman"/>
        <family val="1"/>
      </rPr>
      <t xml:space="preserve">              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)</t>
    </r>
    <r>
      <rPr>
        <sz val="12"/>
        <rFont val="宋体"/>
        <charset val="134"/>
      </rPr>
      <t>财务报表的数据</t>
    </r>
    <phoneticPr fontId="2" type="noConversion"/>
  </si>
  <si>
    <t>一、房地产经营收入</t>
    <phoneticPr fontId="5" type="noConversion"/>
  </si>
  <si>
    <t>二、房地产经营利润</t>
    <phoneticPr fontId="5" type="noConversion"/>
  </si>
  <si>
    <t>年初</t>
    <phoneticPr fontId="2" type="noConversion"/>
  </si>
  <si>
    <r>
      <t xml:space="preserve">                           </t>
    </r>
    <r>
      <rPr>
        <sz val="14"/>
        <rFont val="宋体"/>
        <charset val="134"/>
      </rPr>
      <t>近三年经济实力情况表</t>
    </r>
    <phoneticPr fontId="2" type="noConversion"/>
  </si>
  <si>
    <r>
      <t xml:space="preserve">    </t>
    </r>
    <r>
      <rPr>
        <sz val="12"/>
        <rFont val="宋体"/>
        <charset val="134"/>
      </rPr>
      <t>项</t>
    </r>
    <r>
      <rPr>
        <sz val="12"/>
        <rFont val="Times New Roman"/>
        <family val="1"/>
      </rPr>
      <t xml:space="preserve">            </t>
    </r>
    <r>
      <rPr>
        <sz val="12"/>
        <rFont val="宋体"/>
        <charset val="134"/>
      </rPr>
      <t>目</t>
    </r>
  </si>
  <si>
    <t>比基期增长</t>
    <phoneticPr fontId="2" type="noConversion"/>
  </si>
  <si>
    <t>总资产</t>
    <phoneticPr fontId="2" type="noConversion"/>
  </si>
  <si>
    <t>近三年资产负债简要情况表</t>
    <phoneticPr fontId="2" type="noConversion"/>
  </si>
  <si>
    <r>
      <t xml:space="preserve">    </t>
    </r>
    <r>
      <rPr>
        <sz val="12"/>
        <rFont val="宋体"/>
        <charset val="134"/>
      </rPr>
      <t>项</t>
    </r>
    <r>
      <rPr>
        <sz val="12"/>
        <rFont val="Times New Roman"/>
        <family val="1"/>
      </rPr>
      <t xml:space="preserve">            </t>
    </r>
    <r>
      <rPr>
        <sz val="12"/>
        <rFont val="宋体"/>
        <charset val="134"/>
      </rPr>
      <t>目</t>
    </r>
    <phoneticPr fontId="2" type="noConversion"/>
  </si>
  <si>
    <t>一、资产合计</t>
    <phoneticPr fontId="2" type="noConversion"/>
  </si>
  <si>
    <r>
      <t>1</t>
    </r>
    <r>
      <rPr>
        <sz val="12"/>
        <rFont val="宋体"/>
        <charset val="134"/>
      </rPr>
      <t>、流动资产</t>
    </r>
    <phoneticPr fontId="2" type="noConversion"/>
  </si>
  <si>
    <t>二、负债合计</t>
    <phoneticPr fontId="2" type="noConversion"/>
  </si>
  <si>
    <r>
      <t>1</t>
    </r>
    <r>
      <rPr>
        <sz val="12"/>
        <rFont val="宋体"/>
        <charset val="134"/>
      </rPr>
      <t>、流动负债</t>
    </r>
    <phoneticPr fontId="2" type="noConversion"/>
  </si>
  <si>
    <r>
      <t>2</t>
    </r>
    <r>
      <rPr>
        <sz val="12"/>
        <rFont val="宋体"/>
        <charset val="134"/>
      </rPr>
      <t>、长期负债</t>
    </r>
    <r>
      <rPr>
        <sz val="12"/>
        <rFont val="Times New Roman"/>
        <family val="1"/>
      </rPr>
      <t xml:space="preserve"> </t>
    </r>
    <phoneticPr fontId="2" type="noConversion"/>
  </si>
  <si>
    <t>三、所有者权益</t>
    <phoneticPr fontId="2" type="noConversion"/>
  </si>
  <si>
    <r>
      <t>四、资产负债率</t>
    </r>
    <r>
      <rPr>
        <sz val="12"/>
        <rFont val="Times New Roman"/>
        <family val="1"/>
      </rPr>
      <t xml:space="preserve">  %</t>
    </r>
    <phoneticPr fontId="2" type="noConversion"/>
  </si>
  <si>
    <r>
      <t>五、流动比率</t>
    </r>
    <r>
      <rPr>
        <sz val="12"/>
        <rFont val="Times New Roman"/>
        <family val="1"/>
      </rPr>
      <t xml:space="preserve">      %</t>
    </r>
    <phoneticPr fontId="2" type="noConversion"/>
  </si>
  <si>
    <r>
      <t>六、速动比率</t>
    </r>
    <r>
      <rPr>
        <sz val="12"/>
        <rFont val="Times New Roman"/>
        <family val="1"/>
      </rPr>
      <t xml:space="preserve">      %</t>
    </r>
    <phoneticPr fontId="2" type="noConversion"/>
  </si>
  <si>
    <t>七、长期负债率</t>
    <phoneticPr fontId="2" type="noConversion"/>
  </si>
  <si>
    <t>资产运用效率情况表</t>
    <phoneticPr fontId="2" type="noConversion"/>
  </si>
  <si>
    <t>比基期增加</t>
    <phoneticPr fontId="2" type="noConversion"/>
  </si>
  <si>
    <t>总资产周转率</t>
    <phoneticPr fontId="2" type="noConversion"/>
  </si>
  <si>
    <t>固定资产周转率</t>
    <phoneticPr fontId="2" type="noConversion"/>
  </si>
  <si>
    <t>存货周转率</t>
    <phoneticPr fontId="2" type="noConversion"/>
  </si>
  <si>
    <t>应收帐款周转率</t>
    <phoneticPr fontId="2" type="noConversion"/>
  </si>
  <si>
    <t>近三年经营情况分析表</t>
    <phoneticPr fontId="2" type="noConversion"/>
  </si>
  <si>
    <t>销售成本及费用</t>
    <phoneticPr fontId="2" type="noConversion"/>
  </si>
  <si>
    <t>销售利润</t>
    <phoneticPr fontId="2" type="noConversion"/>
  </si>
  <si>
    <t>营业利润</t>
    <phoneticPr fontId="2" type="noConversion"/>
  </si>
  <si>
    <t>投资收益</t>
    <phoneticPr fontId="2" type="noConversion"/>
  </si>
  <si>
    <r>
      <t>销售成本占收入</t>
    </r>
    <r>
      <rPr>
        <sz val="12"/>
        <rFont val="Times New Roman"/>
        <family val="1"/>
      </rPr>
      <t>%</t>
    </r>
  </si>
  <si>
    <r>
      <t>销售费用占收入</t>
    </r>
    <r>
      <rPr>
        <sz val="12"/>
        <rFont val="Times New Roman"/>
        <family val="1"/>
      </rPr>
      <t>%</t>
    </r>
  </si>
  <si>
    <r>
      <t>税金附加占收入</t>
    </r>
    <r>
      <rPr>
        <sz val="12"/>
        <rFont val="Times New Roman"/>
        <family val="1"/>
      </rPr>
      <t>%</t>
    </r>
  </si>
  <si>
    <r>
      <t>管理费用占收入</t>
    </r>
    <r>
      <rPr>
        <sz val="12"/>
        <rFont val="Times New Roman"/>
        <family val="1"/>
      </rPr>
      <t>%</t>
    </r>
  </si>
  <si>
    <t>3-5%</t>
    <phoneticPr fontId="2" type="noConversion"/>
  </si>
  <si>
    <t>1-3%</t>
    <phoneticPr fontId="2" type="noConversion"/>
  </si>
  <si>
    <r>
      <t xml:space="preserve">            </t>
    </r>
    <r>
      <rPr>
        <sz val="12"/>
        <rFont val="宋体"/>
        <charset val="134"/>
      </rPr>
      <t>其中：公益金</t>
    </r>
    <phoneticPr fontId="2" type="noConversion"/>
  </si>
  <si>
    <t>其它</t>
    <phoneticPr fontId="2" type="noConversion"/>
  </si>
  <si>
    <t>合计</t>
    <phoneticPr fontId="2" type="noConversion"/>
  </si>
  <si>
    <r>
      <t>2001</t>
    </r>
    <r>
      <rPr>
        <sz val="12"/>
        <rFont val="宋体"/>
        <charset val="134"/>
      </rPr>
      <t>年</t>
    </r>
    <phoneticPr fontId="2" type="noConversion"/>
  </si>
  <si>
    <r>
      <t>2002</t>
    </r>
    <r>
      <rPr>
        <sz val="12"/>
        <rFont val="宋体"/>
        <charset val="134"/>
      </rPr>
      <t>年</t>
    </r>
    <phoneticPr fontId="2" type="noConversion"/>
  </si>
  <si>
    <r>
      <t>2003</t>
    </r>
    <r>
      <rPr>
        <sz val="12"/>
        <rFont val="宋体"/>
        <charset val="134"/>
      </rPr>
      <t>年</t>
    </r>
    <phoneticPr fontId="2" type="noConversion"/>
  </si>
  <si>
    <r>
      <t>2004</t>
    </r>
    <r>
      <rPr>
        <sz val="12"/>
        <rFont val="宋体"/>
        <charset val="134"/>
      </rPr>
      <t>年</t>
    </r>
    <phoneticPr fontId="2" type="noConversion"/>
  </si>
  <si>
    <t>项目敏感性分析表</t>
  </si>
  <si>
    <t>敏感性变化因素</t>
  </si>
  <si>
    <t>变化因素</t>
  </si>
  <si>
    <t>变化幅度</t>
  </si>
  <si>
    <t>财务净现值</t>
  </si>
  <si>
    <t>财务内部收益率</t>
  </si>
  <si>
    <t>动态投资回收期</t>
  </si>
  <si>
    <t>基本方案</t>
  </si>
  <si>
    <t>盈亏平衡分析</t>
  </si>
  <si>
    <r>
      <t>2000</t>
    </r>
    <r>
      <rPr>
        <sz val="12"/>
        <rFont val="宋体"/>
        <charset val="134"/>
      </rPr>
      <t>年</t>
    </r>
    <phoneticPr fontId="2" type="noConversion"/>
  </si>
  <si>
    <r>
      <t>2005</t>
    </r>
    <r>
      <rPr>
        <sz val="12"/>
        <rFont val="宋体"/>
        <charset val="134"/>
      </rPr>
      <t>年</t>
    </r>
    <phoneticPr fontId="2" type="noConversion"/>
  </si>
  <si>
    <t>销售费用</t>
    <phoneticPr fontId="2" type="noConversion"/>
  </si>
  <si>
    <t>序号</t>
  </si>
  <si>
    <t>汇率</t>
  </si>
  <si>
    <t>贷款年限</t>
  </si>
  <si>
    <t>信用等级</t>
    <phoneticPr fontId="2" type="noConversion"/>
  </si>
  <si>
    <t>贷款方式</t>
    <phoneticPr fontId="2" type="noConversion"/>
  </si>
  <si>
    <t>项目建设起始年份</t>
    <phoneticPr fontId="2" type="noConversion"/>
  </si>
  <si>
    <t>填是或否</t>
    <phoneticPr fontId="2" type="noConversion"/>
  </si>
  <si>
    <t>存货平均周转期</t>
    <phoneticPr fontId="4" type="noConversion"/>
  </si>
  <si>
    <t>一、经营活动产生的现金流量</t>
    <phoneticPr fontId="2" type="noConversion"/>
  </si>
  <si>
    <t>二、投资活动产生的现金流量</t>
    <phoneticPr fontId="2" type="noConversion"/>
  </si>
  <si>
    <r>
      <t>现金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收入小计</t>
    </r>
    <phoneticPr fontId="2" type="noConversion"/>
  </si>
  <si>
    <t>现金支出小计</t>
    <phoneticPr fontId="2" type="noConversion"/>
  </si>
  <si>
    <t>三、筹资活动产生的现金流量</t>
    <phoneticPr fontId="2" type="noConversion"/>
  </si>
  <si>
    <t>现金收入小计</t>
    <phoneticPr fontId="2" type="noConversion"/>
  </si>
  <si>
    <t>五、现金及现金等价物净增加额</t>
    <phoneticPr fontId="2" type="noConversion"/>
  </si>
  <si>
    <t>现金流量表</t>
    <phoneticPr fontId="2" type="noConversion"/>
  </si>
  <si>
    <r>
      <t xml:space="preserve">        </t>
    </r>
    <r>
      <rPr>
        <sz val="12"/>
        <rFont val="宋体"/>
        <charset val="134"/>
      </rPr>
      <t>销售商品、提供劳务收到的现金</t>
    </r>
    <phoneticPr fontId="2" type="noConversion"/>
  </si>
  <si>
    <r>
      <t xml:space="preserve">        </t>
    </r>
    <r>
      <rPr>
        <sz val="12"/>
        <rFont val="宋体"/>
        <charset val="134"/>
      </rPr>
      <t>收到的租金</t>
    </r>
    <phoneticPr fontId="2" type="noConversion"/>
  </si>
  <si>
    <r>
      <t xml:space="preserve">        </t>
    </r>
    <r>
      <rPr>
        <sz val="12"/>
        <rFont val="宋体"/>
        <charset val="134"/>
      </rPr>
      <t>收到的税费返回</t>
    </r>
    <phoneticPr fontId="2" type="noConversion"/>
  </si>
  <si>
    <r>
      <t xml:space="preserve">        </t>
    </r>
    <r>
      <rPr>
        <sz val="12"/>
        <rFont val="宋体"/>
        <charset val="134"/>
      </rPr>
      <t>收到的其他与经营活动有关的现金</t>
    </r>
    <phoneticPr fontId="2" type="noConversion"/>
  </si>
  <si>
    <r>
      <t xml:space="preserve">        </t>
    </r>
    <r>
      <rPr>
        <sz val="12"/>
        <rFont val="宋体"/>
        <charset val="134"/>
      </rPr>
      <t>购买商品、接受劳务支付的现金</t>
    </r>
    <phoneticPr fontId="2" type="noConversion"/>
  </si>
  <si>
    <r>
      <t xml:space="preserve">        </t>
    </r>
    <r>
      <rPr>
        <sz val="12"/>
        <rFont val="宋体"/>
        <charset val="134"/>
      </rPr>
      <t>支付给职工以及为职工支付的现金</t>
    </r>
    <phoneticPr fontId="2" type="noConversion"/>
  </si>
  <si>
    <r>
      <t xml:space="preserve">        </t>
    </r>
    <r>
      <rPr>
        <sz val="12"/>
        <rFont val="宋体"/>
        <charset val="134"/>
      </rPr>
      <t>支付的增值税款</t>
    </r>
    <phoneticPr fontId="2" type="noConversion"/>
  </si>
  <si>
    <r>
      <t xml:space="preserve">        </t>
    </r>
    <r>
      <rPr>
        <sz val="12"/>
        <rFont val="宋体"/>
        <charset val="134"/>
      </rPr>
      <t>支付的所得税款</t>
    </r>
    <phoneticPr fontId="2" type="noConversion"/>
  </si>
  <si>
    <r>
      <t xml:space="preserve">        </t>
    </r>
    <r>
      <rPr>
        <sz val="12"/>
        <rFont val="宋体"/>
        <charset val="134"/>
      </rPr>
      <t>支付的其他与经营活动有关的现金</t>
    </r>
    <phoneticPr fontId="2" type="noConversion"/>
  </si>
  <si>
    <r>
      <t xml:space="preserve">            </t>
    </r>
    <r>
      <rPr>
        <sz val="12"/>
        <rFont val="宋体"/>
        <charset val="134"/>
      </rPr>
      <t>经营活动产生的现金流量净额</t>
    </r>
    <phoneticPr fontId="2" type="noConversion"/>
  </si>
  <si>
    <r>
      <t xml:space="preserve">        </t>
    </r>
    <r>
      <rPr>
        <sz val="12"/>
        <rFont val="宋体"/>
        <charset val="134"/>
      </rPr>
      <t>借款所收到的现金</t>
    </r>
    <phoneticPr fontId="2" type="noConversion"/>
  </si>
  <si>
    <r>
      <t xml:space="preserve">        </t>
    </r>
    <r>
      <rPr>
        <sz val="12"/>
        <rFont val="宋体"/>
        <charset val="134"/>
      </rPr>
      <t>处置固定资产而收回的现金净额</t>
    </r>
    <phoneticPr fontId="2" type="noConversion"/>
  </si>
  <si>
    <r>
      <t xml:space="preserve">        </t>
    </r>
    <r>
      <rPr>
        <sz val="12"/>
        <rFont val="宋体"/>
        <charset val="134"/>
      </rPr>
      <t>购建固定资产所支付的现金</t>
    </r>
    <phoneticPr fontId="2" type="noConversion"/>
  </si>
  <si>
    <r>
      <t xml:space="preserve">       </t>
    </r>
    <r>
      <rPr>
        <sz val="12"/>
        <rFont val="宋体"/>
        <charset val="134"/>
      </rPr>
      <t>支付的其他与投资活动有关的现金</t>
    </r>
    <phoneticPr fontId="2" type="noConversion"/>
  </si>
  <si>
    <r>
      <t xml:space="preserve">                </t>
    </r>
    <r>
      <rPr>
        <sz val="12"/>
        <rFont val="宋体"/>
        <charset val="134"/>
      </rPr>
      <t>投资活动产生的现金流量净额</t>
    </r>
    <phoneticPr fontId="2" type="noConversion"/>
  </si>
  <si>
    <r>
      <t xml:space="preserve">        </t>
    </r>
    <r>
      <rPr>
        <sz val="12"/>
        <rFont val="宋体"/>
        <charset val="134"/>
      </rPr>
      <t>偿还债务所支付的现金</t>
    </r>
    <phoneticPr fontId="2" type="noConversion"/>
  </si>
  <si>
    <r>
      <t xml:space="preserve">               </t>
    </r>
    <r>
      <rPr>
        <sz val="12"/>
        <rFont val="宋体"/>
        <charset val="134"/>
      </rPr>
      <t>筹资活动产生的现金流量净额</t>
    </r>
    <phoneticPr fontId="2" type="noConversion"/>
  </si>
  <si>
    <t>前三项之和</t>
    <phoneticPr fontId="2" type="noConversion"/>
  </si>
  <si>
    <t>是否普通住宅</t>
    <phoneticPr fontId="2" type="noConversion"/>
  </si>
  <si>
    <r>
      <t>项</t>
    </r>
    <r>
      <rPr>
        <sz val="12"/>
        <rFont val="Times New Roman"/>
        <family val="1"/>
      </rPr>
      <t xml:space="preserve">      </t>
    </r>
    <r>
      <rPr>
        <sz val="12"/>
        <rFont val="宋体"/>
        <charset val="134"/>
      </rPr>
      <t>目</t>
    </r>
    <phoneticPr fontId="2" type="noConversion"/>
  </si>
  <si>
    <t>提取公积金比率</t>
    <phoneticPr fontId="7" type="noConversion"/>
  </si>
  <si>
    <t>公益金比率</t>
    <phoneticPr fontId="7" type="noConversion"/>
  </si>
  <si>
    <t>销售量</t>
    <phoneticPr fontId="2" type="noConversion"/>
  </si>
  <si>
    <t>万元</t>
    <phoneticPr fontId="2" type="noConversion"/>
  </si>
  <si>
    <t>年</t>
    <phoneticPr fontId="2" type="noConversion"/>
  </si>
  <si>
    <r>
      <t>按建安工程费的</t>
    </r>
    <r>
      <rPr>
        <sz val="12"/>
        <rFont val="Times New Roman"/>
        <family val="1"/>
      </rPr>
      <t>5%</t>
    </r>
    <r>
      <rPr>
        <sz val="12"/>
        <rFont val="宋体"/>
        <charset val="134"/>
      </rPr>
      <t>计</t>
    </r>
    <phoneticPr fontId="2" type="noConversion"/>
  </si>
  <si>
    <r>
      <t>在容积率小于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的情况按</t>
    </r>
    <r>
      <rPr>
        <sz val="12"/>
        <rFont val="Times New Roman"/>
        <family val="1"/>
      </rPr>
      <t>100</t>
    </r>
    <r>
      <rPr>
        <sz val="12"/>
        <rFont val="宋体"/>
        <charset val="134"/>
      </rPr>
      <t>元</t>
    </r>
    <r>
      <rPr>
        <sz val="12"/>
        <rFont val="Times New Roman"/>
        <family val="1"/>
      </rPr>
      <t>/</t>
    </r>
    <r>
      <rPr>
        <sz val="12"/>
        <rFont val="宋体"/>
        <charset val="134"/>
      </rPr>
      <t>平方米（建筑面积）计</t>
    </r>
    <phoneticPr fontId="2" type="noConversion"/>
  </si>
  <si>
    <r>
      <t>按房屋开发费的</t>
    </r>
    <r>
      <rPr>
        <sz val="12"/>
        <rFont val="Times New Roman"/>
        <family val="1"/>
      </rPr>
      <t>1—2%</t>
    </r>
    <r>
      <rPr>
        <sz val="12"/>
        <rFont val="宋体"/>
        <charset val="134"/>
      </rPr>
      <t>计算</t>
    </r>
    <phoneticPr fontId="2" type="noConversion"/>
  </si>
  <si>
    <r>
      <t>按销售收入的</t>
    </r>
    <r>
      <rPr>
        <sz val="12"/>
        <rFont val="Times New Roman"/>
        <family val="1"/>
      </rPr>
      <t>1—3%</t>
    </r>
    <r>
      <rPr>
        <sz val="12"/>
        <rFont val="宋体"/>
        <charset val="134"/>
      </rPr>
      <t>计算</t>
    </r>
    <phoneticPr fontId="2" type="noConversion"/>
  </si>
  <si>
    <r>
      <t>按房屋开发费的</t>
    </r>
    <r>
      <rPr>
        <sz val="12"/>
        <rFont val="Times New Roman"/>
        <family val="1"/>
      </rPr>
      <t>5</t>
    </r>
    <r>
      <rPr>
        <sz val="12"/>
        <rFont val="宋体"/>
        <charset val="134"/>
      </rPr>
      <t>%计算</t>
    </r>
    <phoneticPr fontId="2" type="noConversion"/>
  </si>
  <si>
    <t>按贷款利率计算</t>
    <phoneticPr fontId="2" type="noConversion"/>
  </si>
  <si>
    <t>按房屋开发费的5%计算</t>
    <phoneticPr fontId="2" type="noConversion"/>
  </si>
  <si>
    <r>
      <t>电贴费按</t>
    </r>
    <r>
      <rPr>
        <sz val="12"/>
        <rFont val="Times New Roman"/>
        <family val="1"/>
      </rPr>
      <t>50W/</t>
    </r>
    <r>
      <rPr>
        <sz val="12"/>
        <rFont val="宋体"/>
        <charset val="134"/>
      </rPr>
      <t>平方米计算，变压器容量按</t>
    </r>
    <r>
      <rPr>
        <sz val="12"/>
        <rFont val="Times New Roman"/>
        <family val="1"/>
      </rPr>
      <t>900</t>
    </r>
    <r>
      <rPr>
        <sz val="12"/>
        <rFont val="宋体"/>
        <charset val="134"/>
      </rPr>
      <t>元</t>
    </r>
    <r>
      <rPr>
        <sz val="12"/>
        <rFont val="Times New Roman"/>
        <family val="1"/>
      </rPr>
      <t>/KVA</t>
    </r>
    <phoneticPr fontId="2" type="noConversion"/>
  </si>
  <si>
    <t>房地产贷款项目风险等级评定表</t>
    <phoneticPr fontId="2" type="noConversion"/>
  </si>
  <si>
    <r>
      <t>项</t>
    </r>
    <r>
      <rPr>
        <sz val="9"/>
        <rFont val="Times New Roman"/>
        <family val="1"/>
      </rPr>
      <t xml:space="preserve">      </t>
    </r>
    <r>
      <rPr>
        <sz val="9"/>
        <rFont val="宋体"/>
        <charset val="134"/>
      </rPr>
      <t>目</t>
    </r>
  </si>
  <si>
    <t>分值</t>
  </si>
  <si>
    <t>内容及计算公式</t>
  </si>
  <si>
    <t>分数段及取值</t>
  </si>
  <si>
    <t>一</t>
  </si>
  <si>
    <t>建设条件</t>
  </si>
  <si>
    <t>四证落实情况</t>
  </si>
  <si>
    <t>四证指土地使用证、建设用地规划许可证、建设工程规划许可证和开工证。</t>
  </si>
  <si>
    <t>“四证”齐全得10分；缺土地使用证扣2分，缺开工证扣1分，缺其它证不得分。</t>
  </si>
  <si>
    <t>自有资金占总投资比率</t>
  </si>
  <si>
    <t>≥60%得6分，≥40%得5分，≥30%得4分，&lt;30%得0分。</t>
  </si>
  <si>
    <t>资金落实情况</t>
  </si>
  <si>
    <t>自有资金和其他资金落实情况</t>
  </si>
  <si>
    <t>落实得好得8分，一般得4分，没落实得0分。</t>
  </si>
  <si>
    <t>施工单位资质等级</t>
  </si>
  <si>
    <t>资质为一级得4分，为二级得3分，为三级得2分。</t>
  </si>
  <si>
    <t>基础设施落实情况</t>
  </si>
  <si>
    <t>指项目的上下水、电力、煤气、热力、通讯、交通等情况。</t>
  </si>
  <si>
    <t>齐全得10分，不齐全酌情扣分。</t>
  </si>
  <si>
    <t>建设项目投保情况</t>
  </si>
  <si>
    <t>指建设项目是否按形象进度参加了保险。</t>
  </si>
  <si>
    <t>参加保险得2分，没投保得0分。</t>
  </si>
  <si>
    <t>二</t>
  </si>
  <si>
    <t>前景预测</t>
  </si>
  <si>
    <t>周边环境</t>
  </si>
  <si>
    <t>地区配套设施是否良好。</t>
  </si>
  <si>
    <t>好得4分，一般得2分，差得0分。</t>
  </si>
  <si>
    <t>小区环境</t>
  </si>
  <si>
    <t>公共配套设施是否良好。</t>
  </si>
  <si>
    <t>良好得4分，一般得2分，差得0分。</t>
  </si>
  <si>
    <t>户型</t>
  </si>
  <si>
    <t>户型是否合理、符合人们使用要求。</t>
  </si>
  <si>
    <t>合理得4分，一般得2分，差得0分。</t>
  </si>
  <si>
    <t>销售预测</t>
  </si>
  <si>
    <t>销售前景预测</t>
  </si>
  <si>
    <t>前景好得8分，一般得4分，差得0分。</t>
  </si>
  <si>
    <t>三</t>
  </si>
  <si>
    <t>财务评价</t>
  </si>
  <si>
    <t>内部收益率</t>
  </si>
  <si>
    <t>内部收益率≥9.36%得8分，=12%得18分，此后每增加一个百分点加1分，最高加到30分。</t>
  </si>
  <si>
    <t>贷款债还期</t>
  </si>
  <si>
    <t>货款偿还期在三年以内得5分，四年以内得3分，五年以内得1分，五年以上得0分。</t>
  </si>
  <si>
    <t>敏感性评价</t>
  </si>
  <si>
    <t>投资成本增加5%：内部收益率≥12%，得5分；内部收益率≥9.36%，得3分；内部收益率&lt;9.36%，得0分。</t>
  </si>
  <si>
    <t>总    分</t>
  </si>
  <si>
    <t>≥90为AAA级，≥80为AA级，≥70为A级，≥60为BBB级，≥40为BB级，&lt;40为B级。</t>
    <phoneticPr fontId="2" type="noConversion"/>
  </si>
  <si>
    <r>
      <t>1</t>
    </r>
    <r>
      <rPr>
        <sz val="12"/>
        <rFont val="宋体"/>
        <charset val="134"/>
      </rPr>
      <t>、基准折现率</t>
    </r>
    <r>
      <rPr>
        <sz val="12"/>
        <rFont val="Times New Roman"/>
        <family val="1"/>
      </rPr>
      <t xml:space="preserve">       </t>
    </r>
    <phoneticPr fontId="2" type="noConversion"/>
  </si>
  <si>
    <r>
      <t>3</t>
    </r>
    <r>
      <rPr>
        <sz val="12"/>
        <rFont val="宋体"/>
        <charset val="134"/>
      </rPr>
      <t>、财务内部收益率</t>
    </r>
    <r>
      <rPr>
        <sz val="12"/>
        <rFont val="Times New Roman"/>
        <family val="1"/>
      </rPr>
      <t xml:space="preserve">(FIRR)      </t>
    </r>
    <phoneticPr fontId="2" type="noConversion"/>
  </si>
  <si>
    <r>
      <t>2</t>
    </r>
    <r>
      <rPr>
        <sz val="12"/>
        <rFont val="宋体"/>
        <charset val="134"/>
      </rPr>
      <t>、财务净现值</t>
    </r>
    <r>
      <rPr>
        <sz val="12"/>
        <rFont val="Times New Roman"/>
        <family val="1"/>
      </rPr>
      <t xml:space="preserve">(FNPV)    </t>
    </r>
    <phoneticPr fontId="2" type="noConversion"/>
  </si>
  <si>
    <r>
      <t>4</t>
    </r>
    <r>
      <rPr>
        <sz val="12"/>
        <rFont val="宋体"/>
        <charset val="134"/>
      </rPr>
      <t>、财务投资回收期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动态</t>
    </r>
    <r>
      <rPr>
        <sz val="12"/>
        <rFont val="Times New Roman"/>
        <family val="1"/>
      </rPr>
      <t xml:space="preserve">)     </t>
    </r>
    <phoneticPr fontId="2" type="noConversion"/>
  </si>
  <si>
    <r>
      <t xml:space="preserve">    </t>
    </r>
    <r>
      <rPr>
        <sz val="12"/>
        <rFont val="宋体"/>
        <charset val="134"/>
      </rPr>
      <t>固定资产原值</t>
    </r>
    <phoneticPr fontId="2" type="noConversion"/>
  </si>
  <si>
    <r>
      <t xml:space="preserve">    </t>
    </r>
    <r>
      <rPr>
        <sz val="12"/>
        <rFont val="宋体"/>
        <charset val="134"/>
      </rPr>
      <t>货币资金</t>
    </r>
    <phoneticPr fontId="2" type="noConversion"/>
  </si>
  <si>
    <r>
      <t xml:space="preserve">    </t>
    </r>
    <r>
      <rPr>
        <sz val="12"/>
        <rFont val="宋体"/>
        <charset val="134"/>
      </rPr>
      <t>应收及预付帐款</t>
    </r>
    <phoneticPr fontId="2" type="noConversion"/>
  </si>
  <si>
    <r>
      <t xml:space="preserve">    </t>
    </r>
    <r>
      <rPr>
        <sz val="12"/>
        <rFont val="宋体"/>
        <charset val="134"/>
      </rPr>
      <t>存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货</t>
    </r>
    <phoneticPr fontId="2" type="noConversion"/>
  </si>
  <si>
    <r>
      <t xml:space="preserve">    </t>
    </r>
    <r>
      <rPr>
        <sz val="12"/>
        <rFont val="宋体"/>
        <charset val="134"/>
      </rPr>
      <t>其它流动资产</t>
    </r>
    <phoneticPr fontId="2" type="noConversion"/>
  </si>
  <si>
    <r>
      <t xml:space="preserve">    </t>
    </r>
    <r>
      <rPr>
        <sz val="12"/>
        <rFont val="宋体"/>
        <charset val="134"/>
      </rPr>
      <t>减：累计折旧</t>
    </r>
    <phoneticPr fontId="2" type="noConversion"/>
  </si>
  <si>
    <r>
      <t xml:space="preserve">    </t>
    </r>
    <r>
      <rPr>
        <sz val="12"/>
        <rFont val="宋体"/>
        <charset val="134"/>
      </rPr>
      <t>固定资产净值</t>
    </r>
    <phoneticPr fontId="2" type="noConversion"/>
  </si>
  <si>
    <r>
      <t xml:space="preserve">    </t>
    </r>
    <r>
      <rPr>
        <sz val="12"/>
        <rFont val="宋体"/>
        <charset val="134"/>
      </rPr>
      <t>固定资产购建支出</t>
    </r>
    <phoneticPr fontId="2" type="noConversion"/>
  </si>
  <si>
    <r>
      <t xml:space="preserve">    </t>
    </r>
    <r>
      <rPr>
        <sz val="12"/>
        <rFont val="宋体"/>
        <charset val="134"/>
      </rPr>
      <t>其它固定资产</t>
    </r>
    <phoneticPr fontId="2" type="noConversion"/>
  </si>
  <si>
    <r>
      <t xml:space="preserve">    </t>
    </r>
    <r>
      <rPr>
        <sz val="12"/>
        <rFont val="宋体"/>
        <charset val="134"/>
      </rPr>
      <t>短期借款</t>
    </r>
    <phoneticPr fontId="2" type="noConversion"/>
  </si>
  <si>
    <r>
      <t xml:space="preserve">    </t>
    </r>
    <r>
      <rPr>
        <sz val="12"/>
        <rFont val="宋体"/>
        <charset val="134"/>
      </rPr>
      <t>应付及预收帐款</t>
    </r>
    <phoneticPr fontId="2" type="noConversion"/>
  </si>
  <si>
    <r>
      <t xml:space="preserve">    </t>
    </r>
    <r>
      <rPr>
        <sz val="12"/>
        <rFont val="宋体"/>
        <charset val="134"/>
      </rPr>
      <t>其它流动负债</t>
    </r>
    <phoneticPr fontId="2" type="noConversion"/>
  </si>
  <si>
    <r>
      <t xml:space="preserve">    </t>
    </r>
    <r>
      <rPr>
        <sz val="12"/>
        <rFont val="宋体"/>
        <charset val="134"/>
      </rPr>
      <t>长期借款</t>
    </r>
    <phoneticPr fontId="2" type="noConversion"/>
  </si>
  <si>
    <r>
      <t xml:space="preserve">    </t>
    </r>
    <r>
      <rPr>
        <sz val="12"/>
        <rFont val="宋体"/>
        <charset val="134"/>
      </rPr>
      <t>其它长期负债</t>
    </r>
    <phoneticPr fontId="2" type="noConversion"/>
  </si>
  <si>
    <r>
      <t xml:space="preserve">                </t>
    </r>
    <r>
      <rPr>
        <sz val="12"/>
        <rFont val="宋体"/>
        <charset val="134"/>
      </rPr>
      <t>其中：公益金</t>
    </r>
    <phoneticPr fontId="2" type="noConversion"/>
  </si>
  <si>
    <t>企业名称</t>
    <phoneticPr fontId="7" type="noConversion"/>
  </si>
  <si>
    <t>资产负债预测表</t>
    <phoneticPr fontId="2" type="noConversion"/>
  </si>
  <si>
    <t>投资额</t>
  </si>
  <si>
    <t>项目投资比例构成</t>
    <phoneticPr fontId="2" type="noConversion"/>
  </si>
  <si>
    <r>
      <t>主表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－</t>
    </r>
    <r>
      <rPr>
        <sz val="12"/>
        <rFont val="Times New Roman"/>
        <family val="1"/>
      </rPr>
      <t>2</t>
    </r>
    <phoneticPr fontId="2" type="noConversion"/>
  </si>
  <si>
    <r>
      <t>底表</t>
    </r>
    <r>
      <rPr>
        <sz val="12"/>
        <rFont val="Times New Roman"/>
        <family val="1"/>
      </rPr>
      <t>6(</t>
    </r>
    <r>
      <rPr>
        <sz val="12"/>
        <rFont val="宋体"/>
        <charset val="134"/>
      </rPr>
      <t>续</t>
    </r>
    <r>
      <rPr>
        <sz val="12"/>
        <rFont val="Times New Roman"/>
        <family val="1"/>
      </rPr>
      <t>)</t>
    </r>
    <phoneticPr fontId="2" type="noConversion"/>
  </si>
  <si>
    <r>
      <t>底表</t>
    </r>
    <r>
      <rPr>
        <sz val="12"/>
        <rFont val="Times New Roman"/>
        <family val="1"/>
      </rPr>
      <t>6</t>
    </r>
    <phoneticPr fontId="2" type="noConversion"/>
  </si>
  <si>
    <r>
      <t>底表</t>
    </r>
    <r>
      <rPr>
        <sz val="12"/>
        <rFont val="Times New Roman"/>
        <family val="1"/>
      </rPr>
      <t>3</t>
    </r>
    <phoneticPr fontId="2" type="noConversion"/>
  </si>
  <si>
    <r>
      <t>底表</t>
    </r>
    <r>
      <rPr>
        <sz val="12"/>
        <rFont val="Times New Roman"/>
        <family val="1"/>
      </rPr>
      <t>2</t>
    </r>
    <phoneticPr fontId="2" type="noConversion"/>
  </si>
  <si>
    <r>
      <t>主表4</t>
    </r>
    <r>
      <rPr>
        <sz val="12"/>
        <rFont val="Times New Roman"/>
        <family val="1"/>
      </rPr>
      <t>-2</t>
    </r>
    <phoneticPr fontId="2" type="noConversion"/>
  </si>
  <si>
    <r>
      <t>底表</t>
    </r>
    <r>
      <rPr>
        <sz val="12"/>
        <rFont val="Times New Roman"/>
        <family val="1"/>
      </rPr>
      <t>5</t>
    </r>
    <phoneticPr fontId="2" type="noConversion"/>
  </si>
  <si>
    <r>
      <t>底表</t>
    </r>
    <r>
      <rPr>
        <sz val="12"/>
        <rFont val="Times New Roman"/>
        <family val="1"/>
      </rPr>
      <t>4</t>
    </r>
    <phoneticPr fontId="2" type="noConversion"/>
  </si>
  <si>
    <t>项目建筑面积</t>
    <phoneticPr fontId="2" type="noConversion"/>
  </si>
  <si>
    <t>项目占地面积</t>
    <phoneticPr fontId="7" type="noConversion"/>
  </si>
  <si>
    <t>基础数据表</t>
    <phoneticPr fontId="7" type="noConversion"/>
  </si>
  <si>
    <t>项目经营成本</t>
    <phoneticPr fontId="2" type="noConversion"/>
  </si>
  <si>
    <t>增值比率</t>
    <phoneticPr fontId="2" type="noConversion"/>
  </si>
  <si>
    <t>项目销售收入、销售税金及附加测算表</t>
    <phoneticPr fontId="2" type="noConversion"/>
  </si>
  <si>
    <t>销售单价单位：元</t>
    <phoneticPr fontId="2" type="noConversion"/>
  </si>
  <si>
    <t>销售收入单位：万元</t>
    <phoneticPr fontId="2" type="noConversion"/>
  </si>
  <si>
    <t>单位</t>
    <phoneticPr fontId="2" type="noConversion"/>
  </si>
  <si>
    <t>单价</t>
    <phoneticPr fontId="2" type="noConversion"/>
  </si>
  <si>
    <t>平方米</t>
    <phoneticPr fontId="2" type="noConversion"/>
  </si>
  <si>
    <t>各年度销售比：</t>
    <phoneticPr fontId="2" type="noConversion"/>
  </si>
  <si>
    <t>项目长短期借款一览表</t>
    <phoneticPr fontId="2" type="noConversion"/>
  </si>
  <si>
    <t>贷款单位</t>
    <phoneticPr fontId="2" type="noConversion"/>
  </si>
  <si>
    <t>贷款余额</t>
    <phoneticPr fontId="2" type="noConversion"/>
  </si>
  <si>
    <t>贷款到期日</t>
    <phoneticPr fontId="2" type="noConversion"/>
  </si>
  <si>
    <t>项目风险评定表</t>
    <phoneticPr fontId="2" type="noConversion"/>
  </si>
  <si>
    <t>一</t>
    <phoneticPr fontId="2" type="noConversion"/>
  </si>
  <si>
    <t>四证落实情况</t>
    <phoneticPr fontId="2" type="noConversion"/>
  </si>
  <si>
    <t>自有资金占总投资比例</t>
    <phoneticPr fontId="2" type="noConversion"/>
  </si>
  <si>
    <t>资金落实情况</t>
    <phoneticPr fontId="2" type="noConversion"/>
  </si>
  <si>
    <t>施工单位资质等级</t>
    <phoneticPr fontId="2" type="noConversion"/>
  </si>
  <si>
    <t>基础设施落实情况</t>
    <phoneticPr fontId="2" type="noConversion"/>
  </si>
  <si>
    <t>建设项目投保情况</t>
    <phoneticPr fontId="2" type="noConversion"/>
  </si>
  <si>
    <t>二</t>
    <phoneticPr fontId="2" type="noConversion"/>
  </si>
  <si>
    <t>周边环境</t>
    <phoneticPr fontId="2" type="noConversion"/>
  </si>
  <si>
    <t>小区环境</t>
    <phoneticPr fontId="2" type="noConversion"/>
  </si>
  <si>
    <t>户型</t>
    <phoneticPr fontId="2" type="noConversion"/>
  </si>
  <si>
    <t>销售预测</t>
    <phoneticPr fontId="2" type="noConversion"/>
  </si>
  <si>
    <t>三</t>
    <phoneticPr fontId="2" type="noConversion"/>
  </si>
  <si>
    <t>内部收益率</t>
    <phoneticPr fontId="2" type="noConversion"/>
  </si>
  <si>
    <t>贷款偿还期</t>
    <phoneticPr fontId="2" type="noConversion"/>
  </si>
  <si>
    <t>敏感性评价</t>
    <phoneticPr fontId="2" type="noConversion"/>
  </si>
  <si>
    <t>项目风险等级</t>
    <phoneticPr fontId="2" type="noConversion"/>
  </si>
  <si>
    <r>
      <t xml:space="preserve">           </t>
    </r>
    <r>
      <rPr>
        <sz val="12"/>
        <rFont val="宋体"/>
        <charset val="134"/>
      </rPr>
      <t>预收帐款</t>
    </r>
    <phoneticPr fontId="4" type="noConversion"/>
  </si>
  <si>
    <t>应收帐款平均收现期</t>
    <phoneticPr fontId="4" type="noConversion"/>
  </si>
  <si>
    <t>土地费用</t>
    <phoneticPr fontId="2" type="noConversion"/>
  </si>
  <si>
    <t>前期工程费</t>
    <phoneticPr fontId="2" type="noConversion"/>
  </si>
  <si>
    <t>房屋开发费</t>
    <phoneticPr fontId="2" type="noConversion"/>
  </si>
  <si>
    <t>管理费用</t>
    <phoneticPr fontId="2" type="noConversion"/>
  </si>
  <si>
    <t>不可预见费</t>
    <phoneticPr fontId="2" type="noConversion"/>
  </si>
  <si>
    <t>占项目总投资比例</t>
    <phoneticPr fontId="2" type="noConversion"/>
  </si>
  <si>
    <t>所有者权益</t>
    <phoneticPr fontId="2" type="noConversion"/>
  </si>
  <si>
    <r>
      <t>环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增</t>
    </r>
    <phoneticPr fontId="4" type="noConversion"/>
  </si>
  <si>
    <r>
      <t>2</t>
    </r>
    <r>
      <rPr>
        <sz val="12"/>
        <rFont val="宋体"/>
        <charset val="134"/>
      </rPr>
      <t>、长期投资</t>
    </r>
    <phoneticPr fontId="4" type="noConversion"/>
  </si>
  <si>
    <r>
      <t>3</t>
    </r>
    <r>
      <rPr>
        <sz val="12"/>
        <rFont val="宋体"/>
        <charset val="134"/>
      </rPr>
      <t>、固定资产</t>
    </r>
    <r>
      <rPr>
        <sz val="12"/>
        <rFont val="Times New Roman"/>
        <family val="1"/>
      </rPr>
      <t xml:space="preserve"> </t>
    </r>
    <phoneticPr fontId="2" type="noConversion"/>
  </si>
  <si>
    <r>
      <t>4</t>
    </r>
    <r>
      <rPr>
        <sz val="12"/>
        <rFont val="宋体"/>
        <charset val="134"/>
      </rPr>
      <t>、无形资产</t>
    </r>
    <phoneticPr fontId="4" type="noConversion"/>
  </si>
  <si>
    <r>
      <t>5</t>
    </r>
    <r>
      <rPr>
        <sz val="12"/>
        <rFont val="宋体"/>
        <charset val="134"/>
      </rPr>
      <t>、递延资产</t>
    </r>
    <phoneticPr fontId="4" type="noConversion"/>
  </si>
  <si>
    <r>
      <t xml:space="preserve">           </t>
    </r>
    <r>
      <rPr>
        <sz val="12"/>
        <rFont val="宋体"/>
        <charset val="134"/>
      </rPr>
      <t>应付账款</t>
    </r>
    <phoneticPr fontId="2" type="noConversion"/>
  </si>
  <si>
    <r>
      <t xml:space="preserve">           </t>
    </r>
    <r>
      <rPr>
        <sz val="12"/>
        <rFont val="宋体"/>
        <charset val="134"/>
      </rPr>
      <t>短期借款</t>
    </r>
    <phoneticPr fontId="2" type="noConversion"/>
  </si>
  <si>
    <r>
      <t xml:space="preserve">          </t>
    </r>
    <r>
      <rPr>
        <sz val="12"/>
        <rFont val="宋体"/>
        <charset val="134"/>
      </rPr>
      <t>货币资金</t>
    </r>
    <phoneticPr fontId="2" type="noConversion"/>
  </si>
  <si>
    <r>
      <t xml:space="preserve">          </t>
    </r>
    <r>
      <rPr>
        <sz val="12"/>
        <rFont val="宋体"/>
        <charset val="134"/>
      </rPr>
      <t>应收帐款净额</t>
    </r>
    <phoneticPr fontId="4" type="noConversion"/>
  </si>
  <si>
    <r>
      <t xml:space="preserve">          </t>
    </r>
    <r>
      <rPr>
        <sz val="12"/>
        <rFont val="宋体"/>
        <charset val="134"/>
      </rPr>
      <t>预付帐款</t>
    </r>
    <phoneticPr fontId="4" type="noConversion"/>
  </si>
  <si>
    <r>
      <t xml:space="preserve">          </t>
    </r>
    <r>
      <rPr>
        <sz val="12"/>
        <rFont val="宋体"/>
        <charset val="134"/>
      </rPr>
      <t>其他应收款</t>
    </r>
    <phoneticPr fontId="4" type="noConversion"/>
  </si>
  <si>
    <r>
      <t xml:space="preserve">          </t>
    </r>
    <r>
      <rPr>
        <sz val="12"/>
        <rFont val="宋体"/>
        <charset val="134"/>
      </rPr>
      <t>固定资产净值</t>
    </r>
    <phoneticPr fontId="2" type="noConversion"/>
  </si>
  <si>
    <r>
      <t xml:space="preserve">          </t>
    </r>
    <r>
      <rPr>
        <sz val="12"/>
        <rFont val="宋体"/>
        <charset val="134"/>
      </rPr>
      <t>在建工程</t>
    </r>
    <phoneticPr fontId="2" type="noConversion"/>
  </si>
  <si>
    <r>
      <t xml:space="preserve">          </t>
    </r>
    <r>
      <rPr>
        <sz val="12"/>
        <rFont val="宋体"/>
        <charset val="134"/>
      </rPr>
      <t>存货</t>
    </r>
    <phoneticPr fontId="2" type="noConversion"/>
  </si>
  <si>
    <r>
      <t xml:space="preserve">          </t>
    </r>
    <r>
      <rPr>
        <sz val="12"/>
        <rFont val="宋体"/>
        <charset val="134"/>
      </rPr>
      <t>其中：在建开发产品</t>
    </r>
    <phoneticPr fontId="4" type="noConversion"/>
  </si>
  <si>
    <r>
      <t xml:space="preserve">          </t>
    </r>
    <r>
      <rPr>
        <sz val="12"/>
        <rFont val="宋体"/>
        <charset val="134"/>
      </rPr>
      <t>长期借款</t>
    </r>
    <phoneticPr fontId="2" type="noConversion"/>
  </si>
  <si>
    <r>
      <t xml:space="preserve">           </t>
    </r>
    <r>
      <rPr>
        <sz val="12"/>
        <rFont val="宋体"/>
        <charset val="134"/>
      </rPr>
      <t>其他应付款</t>
    </r>
    <phoneticPr fontId="4" type="noConversion"/>
  </si>
  <si>
    <r>
      <t xml:space="preserve">            </t>
    </r>
    <r>
      <rPr>
        <sz val="12"/>
        <rFont val="宋体"/>
        <charset val="134"/>
      </rPr>
      <t>实收资本</t>
    </r>
    <phoneticPr fontId="4" type="noConversion"/>
  </si>
  <si>
    <r>
      <t xml:space="preserve">            </t>
    </r>
    <r>
      <rPr>
        <sz val="12"/>
        <rFont val="宋体"/>
        <charset val="134"/>
      </rPr>
      <t>资本公积</t>
    </r>
    <phoneticPr fontId="4" type="noConversion"/>
  </si>
  <si>
    <r>
      <t xml:space="preserve">            </t>
    </r>
    <r>
      <rPr>
        <sz val="12"/>
        <rFont val="宋体"/>
        <charset val="134"/>
      </rPr>
      <t>未分配利润</t>
    </r>
    <phoneticPr fontId="4" type="noConversion"/>
  </si>
  <si>
    <r>
      <t>均周转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天</t>
    </r>
    <r>
      <rPr>
        <sz val="12"/>
        <rFont val="Times New Roman"/>
        <family val="1"/>
      </rPr>
      <t>)</t>
    </r>
    <phoneticPr fontId="4" type="noConversion"/>
  </si>
  <si>
    <r>
      <t xml:space="preserve">        </t>
    </r>
    <r>
      <rPr>
        <sz val="12"/>
        <rFont val="宋体"/>
        <charset val="134"/>
      </rPr>
      <t>收回投资所收到的现金</t>
    </r>
    <phoneticPr fontId="2" type="noConversion"/>
  </si>
  <si>
    <r>
      <t xml:space="preserve">        </t>
    </r>
    <r>
      <rPr>
        <sz val="12"/>
        <rFont val="宋体"/>
        <charset val="134"/>
      </rPr>
      <t>收到的其他与投资活动有关的现金</t>
    </r>
    <phoneticPr fontId="2" type="noConversion"/>
  </si>
  <si>
    <t>工商银行贷款</t>
    <phoneticPr fontId="2" type="noConversion"/>
  </si>
  <si>
    <t>他行贷款</t>
    <phoneticPr fontId="2" type="noConversion"/>
  </si>
  <si>
    <t>其它负债</t>
    <phoneticPr fontId="2" type="noConversion"/>
  </si>
  <si>
    <t>流动负债</t>
    <phoneticPr fontId="2" type="noConversion"/>
  </si>
  <si>
    <t>信用</t>
    <phoneticPr fontId="2" type="noConversion"/>
  </si>
  <si>
    <t>项目</t>
    <phoneticPr fontId="2" type="noConversion"/>
  </si>
  <si>
    <t>单位：</t>
    <phoneticPr fontId="2" type="noConversion"/>
  </si>
  <si>
    <r>
      <t>商业用房租金收入</t>
    </r>
    <r>
      <rPr>
        <b/>
        <sz val="11"/>
        <rFont val="Times New Roman"/>
        <family val="1"/>
      </rPr>
      <t>(</t>
    </r>
    <r>
      <rPr>
        <b/>
        <sz val="11"/>
        <rFont val="宋体"/>
        <charset val="134"/>
      </rPr>
      <t>万元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年</t>
    </r>
    <r>
      <rPr>
        <b/>
        <sz val="11"/>
        <rFont val="Times New Roman"/>
        <family val="1"/>
      </rPr>
      <t>)</t>
    </r>
    <phoneticPr fontId="2" type="noConversion"/>
  </si>
  <si>
    <r>
      <t>写字间租金收入</t>
    </r>
    <r>
      <rPr>
        <b/>
        <sz val="11"/>
        <rFont val="Times New Roman"/>
        <family val="1"/>
      </rPr>
      <t xml:space="preserve">    (</t>
    </r>
    <r>
      <rPr>
        <b/>
        <sz val="11"/>
        <rFont val="宋体"/>
        <charset val="134"/>
      </rPr>
      <t>万元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年</t>
    </r>
    <r>
      <rPr>
        <b/>
        <sz val="11"/>
        <rFont val="Times New Roman"/>
        <family val="1"/>
      </rPr>
      <t>)</t>
    </r>
    <phoneticPr fontId="2" type="noConversion"/>
  </si>
  <si>
    <r>
      <t>其它租金收入（万元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年）</t>
    </r>
    <phoneticPr fontId="2" type="noConversion"/>
  </si>
  <si>
    <t>公寓租金收入 (万元/年)</t>
    <phoneticPr fontId="2" type="noConversion"/>
  </si>
  <si>
    <r>
      <t>租金收入合计</t>
    </r>
    <r>
      <rPr>
        <b/>
        <sz val="11"/>
        <rFont val="Times New Roman"/>
        <family val="1"/>
      </rPr>
      <t xml:space="preserve">  (</t>
    </r>
    <r>
      <rPr>
        <b/>
        <sz val="11"/>
        <rFont val="宋体"/>
        <charset val="134"/>
      </rPr>
      <t>万元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年</t>
    </r>
    <r>
      <rPr>
        <b/>
        <sz val="11"/>
        <rFont val="Times New Roman"/>
        <family val="1"/>
      </rPr>
      <t>)</t>
    </r>
    <phoneticPr fontId="2" type="noConversion"/>
  </si>
  <si>
    <t>开发成本</t>
    <phoneticPr fontId="2" type="noConversion"/>
  </si>
  <si>
    <r>
      <t>利润总额</t>
    </r>
    <r>
      <rPr>
        <sz val="12"/>
        <rFont val="Times New Roman"/>
        <family val="1"/>
      </rPr>
      <t>(1-2-3-4-5-6-7-8)</t>
    </r>
    <phoneticPr fontId="2" type="noConversion"/>
  </si>
  <si>
    <t>流动比率</t>
    <phoneticPr fontId="2" type="noConversion"/>
  </si>
  <si>
    <t>授信</t>
    <phoneticPr fontId="2" type="noConversion"/>
  </si>
  <si>
    <t>承诺授信额</t>
    <phoneticPr fontId="2" type="noConversion"/>
  </si>
  <si>
    <t>其中：中长期授信额</t>
    <phoneticPr fontId="2" type="noConversion"/>
  </si>
  <si>
    <t>等级</t>
    <phoneticPr fontId="2" type="noConversion"/>
  </si>
  <si>
    <t>总额</t>
    <phoneticPr fontId="2" type="noConversion"/>
  </si>
  <si>
    <t>最近三年</t>
    <phoneticPr fontId="2" type="noConversion"/>
  </si>
  <si>
    <t>流动资产</t>
    <phoneticPr fontId="2" type="noConversion"/>
  </si>
  <si>
    <t>固定资产原值</t>
    <phoneticPr fontId="2" type="noConversion"/>
  </si>
  <si>
    <t>长期负债</t>
    <phoneticPr fontId="2" type="noConversion"/>
  </si>
  <si>
    <t>当期占总资产比</t>
    <phoneticPr fontId="4" type="noConversion"/>
  </si>
  <si>
    <t>保本量</t>
    <phoneticPr fontId="2" type="noConversion"/>
  </si>
  <si>
    <t>余额</t>
    <phoneticPr fontId="2" type="noConversion"/>
  </si>
  <si>
    <r>
      <t>序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号</t>
    </r>
    <phoneticPr fontId="2" type="noConversion"/>
  </si>
  <si>
    <r>
      <t>项</t>
    </r>
    <r>
      <rPr>
        <sz val="10"/>
        <rFont val="Times New Roman"/>
        <family val="1"/>
      </rPr>
      <t xml:space="preserve">        </t>
    </r>
    <r>
      <rPr>
        <sz val="10"/>
        <rFont val="宋体"/>
        <charset val="134"/>
      </rPr>
      <t>目</t>
    </r>
  </si>
  <si>
    <r>
      <t>合</t>
    </r>
    <r>
      <rPr>
        <sz val="10"/>
        <rFont val="Times New Roman"/>
        <family val="1"/>
      </rPr>
      <t xml:space="preserve">         </t>
    </r>
    <r>
      <rPr>
        <sz val="10"/>
        <rFont val="宋体"/>
        <charset val="134"/>
      </rPr>
      <t>计</t>
    </r>
    <phoneticPr fontId="2" type="noConversion"/>
  </si>
  <si>
    <t>项目分年度投资销售比例</t>
    <phoneticPr fontId="2" type="noConversion"/>
  </si>
  <si>
    <t>投资占比</t>
    <phoneticPr fontId="2" type="noConversion"/>
  </si>
  <si>
    <t>销售占比</t>
    <phoneticPr fontId="2" type="noConversion"/>
  </si>
  <si>
    <t>项目各来源占总投资比例</t>
    <phoneticPr fontId="2" type="noConversion"/>
  </si>
  <si>
    <t>预收租售收入</t>
    <phoneticPr fontId="2" type="noConversion"/>
  </si>
  <si>
    <t>自有资金</t>
    <phoneticPr fontId="2" type="noConversion"/>
  </si>
  <si>
    <t>保本价格</t>
    <phoneticPr fontId="2" type="noConversion"/>
  </si>
  <si>
    <r>
      <t xml:space="preserve">                          </t>
    </r>
    <r>
      <rPr>
        <sz val="10"/>
        <rFont val="宋体"/>
        <charset val="134"/>
      </rPr>
      <t>日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期</t>
    </r>
  </si>
  <si>
    <r>
      <t xml:space="preserve">      </t>
    </r>
    <r>
      <rPr>
        <sz val="10"/>
        <rFont val="宋体"/>
        <charset val="134"/>
      </rPr>
      <t>项</t>
    </r>
    <r>
      <rPr>
        <sz val="10"/>
        <rFont val="Times New Roman"/>
        <family val="1"/>
      </rPr>
      <t xml:space="preserve">     </t>
    </r>
    <r>
      <rPr>
        <sz val="10"/>
        <rFont val="宋体"/>
        <charset val="134"/>
      </rPr>
      <t>目</t>
    </r>
  </si>
  <si>
    <r>
      <t>流动资产</t>
    </r>
    <r>
      <rPr>
        <sz val="10"/>
        <rFont val="Times New Roman"/>
        <family val="1"/>
      </rPr>
      <t>:</t>
    </r>
  </si>
  <si>
    <r>
      <t>流动负债</t>
    </r>
    <r>
      <rPr>
        <sz val="10"/>
        <rFont val="Times New Roman"/>
        <family val="1"/>
      </rPr>
      <t>:</t>
    </r>
  </si>
  <si>
    <r>
      <t xml:space="preserve">    </t>
    </r>
    <r>
      <rPr>
        <sz val="10"/>
        <rFont val="宋体"/>
        <charset val="134"/>
      </rPr>
      <t>货币资金</t>
    </r>
  </si>
  <si>
    <r>
      <t xml:space="preserve">    </t>
    </r>
    <r>
      <rPr>
        <sz val="10"/>
        <rFont val="宋体"/>
        <charset val="134"/>
      </rPr>
      <t>短期借款</t>
    </r>
  </si>
  <si>
    <r>
      <t xml:space="preserve">    </t>
    </r>
    <r>
      <rPr>
        <sz val="10"/>
        <rFont val="宋体"/>
        <charset val="134"/>
      </rPr>
      <t>短期投资</t>
    </r>
  </si>
  <si>
    <r>
      <t xml:space="preserve">    </t>
    </r>
    <r>
      <rPr>
        <sz val="10"/>
        <rFont val="宋体"/>
        <charset val="134"/>
      </rPr>
      <t>应付票据</t>
    </r>
  </si>
  <si>
    <r>
      <t xml:space="preserve">    </t>
    </r>
    <r>
      <rPr>
        <sz val="10"/>
        <rFont val="宋体"/>
        <charset val="134"/>
      </rPr>
      <t>应收票据</t>
    </r>
  </si>
  <si>
    <r>
      <t xml:space="preserve">    </t>
    </r>
    <r>
      <rPr>
        <sz val="10"/>
        <rFont val="宋体"/>
        <charset val="134"/>
      </rPr>
      <t>应收帐款</t>
    </r>
  </si>
  <si>
    <r>
      <t xml:space="preserve">        </t>
    </r>
    <r>
      <rPr>
        <sz val="10"/>
        <rFont val="宋体"/>
        <charset val="134"/>
      </rPr>
      <t>减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坏帐准备</t>
    </r>
  </si>
  <si>
    <r>
      <t xml:space="preserve">    </t>
    </r>
    <r>
      <rPr>
        <sz val="10"/>
        <rFont val="宋体"/>
        <charset val="134"/>
      </rPr>
      <t>其他应付款</t>
    </r>
  </si>
  <si>
    <r>
      <t xml:space="preserve">    </t>
    </r>
    <r>
      <rPr>
        <sz val="10"/>
        <rFont val="宋体"/>
        <charset val="134"/>
      </rPr>
      <t>应收帐款净额</t>
    </r>
  </si>
  <si>
    <r>
      <t xml:space="preserve">    </t>
    </r>
    <r>
      <rPr>
        <sz val="10"/>
        <rFont val="宋体"/>
        <charset val="134"/>
      </rPr>
      <t>预付帐款</t>
    </r>
  </si>
  <si>
    <r>
      <t xml:space="preserve">    </t>
    </r>
    <r>
      <rPr>
        <sz val="10"/>
        <rFont val="宋体"/>
        <charset val="134"/>
      </rPr>
      <t>应付福利费</t>
    </r>
  </si>
  <si>
    <r>
      <t xml:space="preserve">    </t>
    </r>
    <r>
      <rPr>
        <sz val="10"/>
        <rFont val="宋体"/>
        <charset val="134"/>
      </rPr>
      <t>其他应收款</t>
    </r>
  </si>
  <si>
    <r>
      <t xml:space="preserve">    </t>
    </r>
    <r>
      <rPr>
        <sz val="10"/>
        <rFont val="宋体"/>
        <charset val="134"/>
      </rPr>
      <t>存货</t>
    </r>
  </si>
  <si>
    <r>
      <t xml:space="preserve">    </t>
    </r>
    <r>
      <rPr>
        <sz val="10"/>
        <rFont val="宋体"/>
        <charset val="134"/>
      </rPr>
      <t>未付利润</t>
    </r>
  </si>
  <si>
    <r>
      <t xml:space="preserve">    </t>
    </r>
    <r>
      <rPr>
        <sz val="10"/>
        <rFont val="宋体"/>
        <charset val="134"/>
      </rPr>
      <t>预提费用</t>
    </r>
  </si>
  <si>
    <r>
      <t xml:space="preserve">                 </t>
    </r>
    <r>
      <rPr>
        <sz val="10"/>
        <rFont val="宋体"/>
        <charset val="134"/>
      </rPr>
      <t>产成品</t>
    </r>
  </si>
  <si>
    <r>
      <t xml:space="preserve">    </t>
    </r>
    <r>
      <rPr>
        <sz val="10"/>
        <rFont val="宋体"/>
        <charset val="134"/>
      </rPr>
      <t>待扣税金</t>
    </r>
  </si>
  <si>
    <r>
      <t xml:space="preserve">    </t>
    </r>
    <r>
      <rPr>
        <sz val="10"/>
        <rFont val="宋体"/>
        <charset val="134"/>
      </rPr>
      <t>待摊费用</t>
    </r>
  </si>
  <si>
    <r>
      <t xml:space="preserve">    </t>
    </r>
    <r>
      <rPr>
        <sz val="10"/>
        <rFont val="宋体"/>
        <charset val="134"/>
      </rPr>
      <t>一年内到期的长期负债</t>
    </r>
  </si>
  <si>
    <r>
      <t xml:space="preserve">    </t>
    </r>
    <r>
      <rPr>
        <sz val="10"/>
        <rFont val="宋体"/>
        <charset val="134"/>
      </rPr>
      <t>待处理流动资产净损失</t>
    </r>
  </si>
  <si>
    <r>
      <t xml:space="preserve">    </t>
    </r>
    <r>
      <rPr>
        <sz val="10"/>
        <rFont val="宋体"/>
        <charset val="134"/>
      </rPr>
      <t>其它流动资产</t>
    </r>
  </si>
  <si>
    <r>
      <t xml:space="preserve">        </t>
    </r>
    <r>
      <rPr>
        <sz val="10"/>
        <rFont val="宋体"/>
        <charset val="134"/>
      </rPr>
      <t>流动负债合计</t>
    </r>
  </si>
  <si>
    <r>
      <t>长期负债</t>
    </r>
    <r>
      <rPr>
        <sz val="10"/>
        <rFont val="Times New Roman"/>
        <family val="1"/>
      </rPr>
      <t>:</t>
    </r>
  </si>
  <si>
    <r>
      <t xml:space="preserve">    </t>
    </r>
    <r>
      <rPr>
        <sz val="10"/>
        <rFont val="宋体"/>
        <charset val="134"/>
      </rPr>
      <t>长期借款</t>
    </r>
  </si>
  <si>
    <r>
      <t xml:space="preserve">    </t>
    </r>
    <r>
      <rPr>
        <sz val="10"/>
        <rFont val="宋体"/>
        <charset val="134"/>
      </rPr>
      <t>应付债券</t>
    </r>
  </si>
  <si>
    <r>
      <t xml:space="preserve">    </t>
    </r>
    <r>
      <rPr>
        <sz val="10"/>
        <rFont val="宋体"/>
        <charset val="134"/>
      </rPr>
      <t>长期应付款</t>
    </r>
  </si>
  <si>
    <r>
      <t xml:space="preserve">    </t>
    </r>
    <r>
      <rPr>
        <sz val="10"/>
        <rFont val="宋体"/>
        <charset val="134"/>
      </rPr>
      <t>其它长期负债</t>
    </r>
  </si>
  <si>
    <r>
      <t xml:space="preserve">        </t>
    </r>
    <r>
      <rPr>
        <sz val="10"/>
        <rFont val="宋体"/>
        <charset val="134"/>
      </rPr>
      <t>长期负债合计</t>
    </r>
  </si>
  <si>
    <r>
      <t xml:space="preserve">        </t>
    </r>
    <r>
      <rPr>
        <sz val="10"/>
        <rFont val="宋体"/>
        <charset val="134"/>
      </rPr>
      <t>负债合计</t>
    </r>
  </si>
  <si>
    <r>
      <t>所有者权益</t>
    </r>
    <r>
      <rPr>
        <sz val="10"/>
        <rFont val="Times New Roman"/>
        <family val="1"/>
      </rPr>
      <t>:</t>
    </r>
  </si>
  <si>
    <r>
      <t xml:space="preserve">    </t>
    </r>
    <r>
      <rPr>
        <sz val="10"/>
        <rFont val="宋体"/>
        <charset val="134"/>
      </rPr>
      <t>实收资本</t>
    </r>
  </si>
  <si>
    <r>
      <t xml:space="preserve">    </t>
    </r>
    <r>
      <rPr>
        <sz val="10"/>
        <rFont val="宋体"/>
        <charset val="134"/>
      </rPr>
      <t>资本公积</t>
    </r>
  </si>
  <si>
    <r>
      <t xml:space="preserve">    </t>
    </r>
    <r>
      <rPr>
        <sz val="10"/>
        <rFont val="宋体"/>
        <charset val="134"/>
      </rPr>
      <t>盈余公积</t>
    </r>
  </si>
  <si>
    <r>
      <t xml:space="preserve">    </t>
    </r>
    <r>
      <rPr>
        <sz val="10"/>
        <rFont val="宋体"/>
        <charset val="134"/>
      </rPr>
      <t>未分配利润</t>
    </r>
  </si>
  <si>
    <r>
      <t xml:space="preserve">        </t>
    </r>
    <r>
      <rPr>
        <sz val="10"/>
        <rFont val="宋体"/>
        <charset val="134"/>
      </rPr>
      <t>所有者权益合计</t>
    </r>
  </si>
  <si>
    <r>
      <t xml:space="preserve">        </t>
    </r>
    <r>
      <rPr>
        <sz val="10"/>
        <rFont val="宋体"/>
        <charset val="134"/>
      </rPr>
      <t>资产总计</t>
    </r>
  </si>
  <si>
    <r>
      <t xml:space="preserve">      </t>
    </r>
    <r>
      <rPr>
        <sz val="10"/>
        <rFont val="宋体"/>
        <charset val="134"/>
      </rPr>
      <t>负债及所有者权益总计</t>
    </r>
  </si>
  <si>
    <r>
      <t>主表</t>
    </r>
    <r>
      <rPr>
        <sz val="10"/>
        <rFont val="Times New Roman"/>
        <family val="1"/>
      </rPr>
      <t>1—1</t>
    </r>
    <phoneticPr fontId="2" type="noConversion"/>
  </si>
  <si>
    <t>速动比率</t>
    <phoneticPr fontId="2" type="noConversion"/>
  </si>
  <si>
    <t>现金净增加额</t>
    <phoneticPr fontId="2" type="noConversion"/>
  </si>
  <si>
    <t>资产负债率</t>
    <phoneticPr fontId="2" type="noConversion"/>
  </si>
  <si>
    <t>长期负债率</t>
    <phoneticPr fontId="2" type="noConversion"/>
  </si>
  <si>
    <t>或有负债</t>
    <phoneticPr fontId="2" type="noConversion"/>
  </si>
  <si>
    <t>其中：</t>
    <phoneticPr fontId="2" type="noConversion"/>
  </si>
  <si>
    <t>逾期借款</t>
    <phoneticPr fontId="2" type="noConversion"/>
  </si>
  <si>
    <t>呆滞贷款</t>
    <phoneticPr fontId="2" type="noConversion"/>
  </si>
  <si>
    <t>呆帐贷款</t>
    <phoneticPr fontId="2" type="noConversion"/>
  </si>
  <si>
    <t>长期</t>
    <phoneticPr fontId="2" type="noConversion"/>
  </si>
  <si>
    <t>项目资金来源情况</t>
    <phoneticPr fontId="2" type="noConversion"/>
  </si>
  <si>
    <t>总投资</t>
    <phoneticPr fontId="2" type="noConversion"/>
  </si>
  <si>
    <t>（一）土地费用</t>
    <phoneticPr fontId="2" type="noConversion"/>
  </si>
  <si>
    <t>（二）前期工程费用</t>
    <phoneticPr fontId="2" type="noConversion"/>
  </si>
  <si>
    <t>（三）房屋开发费</t>
    <phoneticPr fontId="2" type="noConversion"/>
  </si>
  <si>
    <t>其中：建安工程费用</t>
    <phoneticPr fontId="2" type="noConversion"/>
  </si>
  <si>
    <t>可销售量</t>
    <phoneticPr fontId="2" type="noConversion"/>
  </si>
  <si>
    <r>
      <t xml:space="preserve">        </t>
    </r>
    <r>
      <rPr>
        <sz val="10"/>
        <color indexed="8"/>
        <rFont val="宋体"/>
        <charset val="134"/>
      </rPr>
      <t>流动资产合计</t>
    </r>
  </si>
  <si>
    <r>
      <t>长期投资</t>
    </r>
    <r>
      <rPr>
        <sz val="10"/>
        <color indexed="8"/>
        <rFont val="Times New Roman"/>
        <family val="1"/>
      </rPr>
      <t>:</t>
    </r>
  </si>
  <si>
    <r>
      <t xml:space="preserve">    </t>
    </r>
    <r>
      <rPr>
        <sz val="10"/>
        <color indexed="8"/>
        <rFont val="宋体"/>
        <charset val="134"/>
      </rPr>
      <t>长期投资</t>
    </r>
  </si>
  <si>
    <r>
      <t>固定资产</t>
    </r>
    <r>
      <rPr>
        <sz val="10"/>
        <color indexed="8"/>
        <rFont val="Times New Roman"/>
        <family val="1"/>
      </rPr>
      <t>:</t>
    </r>
  </si>
  <si>
    <r>
      <t xml:space="preserve">   </t>
    </r>
    <r>
      <rPr>
        <sz val="10"/>
        <color indexed="8"/>
        <rFont val="宋体"/>
        <charset val="134"/>
      </rPr>
      <t>固定资产原值</t>
    </r>
  </si>
  <si>
    <r>
      <t xml:space="preserve">       </t>
    </r>
    <r>
      <rPr>
        <sz val="10"/>
        <color indexed="8"/>
        <rFont val="宋体"/>
        <charset val="134"/>
      </rPr>
      <t>减：累计折旧</t>
    </r>
  </si>
  <si>
    <r>
      <t xml:space="preserve">   </t>
    </r>
    <r>
      <rPr>
        <sz val="10"/>
        <color indexed="8"/>
        <rFont val="宋体"/>
        <charset val="134"/>
      </rPr>
      <t>固定资产净值</t>
    </r>
    <phoneticPr fontId="2" type="noConversion"/>
  </si>
  <si>
    <r>
      <t xml:space="preserve">   </t>
    </r>
    <r>
      <rPr>
        <sz val="10"/>
        <color indexed="8"/>
        <rFont val="宋体"/>
        <charset val="134"/>
      </rPr>
      <t>固定资产清理</t>
    </r>
  </si>
  <si>
    <r>
      <t xml:space="preserve">   </t>
    </r>
    <r>
      <rPr>
        <sz val="10"/>
        <color indexed="8"/>
        <rFont val="宋体"/>
        <charset val="134"/>
      </rPr>
      <t>待处理固定资产净损失</t>
    </r>
  </si>
  <si>
    <r>
      <t xml:space="preserve">      </t>
    </r>
    <r>
      <rPr>
        <sz val="10"/>
        <color indexed="8"/>
        <rFont val="宋体"/>
        <charset val="134"/>
      </rPr>
      <t>固定资产合计</t>
    </r>
  </si>
  <si>
    <r>
      <t>无形及递延资产</t>
    </r>
    <r>
      <rPr>
        <sz val="10"/>
        <color indexed="8"/>
        <rFont val="Times New Roman"/>
        <family val="1"/>
      </rPr>
      <t>:</t>
    </r>
  </si>
  <si>
    <r>
      <t xml:space="preserve">    </t>
    </r>
    <r>
      <rPr>
        <sz val="10"/>
        <color indexed="8"/>
        <rFont val="宋体"/>
        <charset val="134"/>
      </rPr>
      <t>无形资产</t>
    </r>
  </si>
  <si>
    <r>
      <t xml:space="preserve">    </t>
    </r>
    <r>
      <rPr>
        <sz val="10"/>
        <color indexed="8"/>
        <rFont val="宋体"/>
        <charset val="134"/>
      </rPr>
      <t>递延资产</t>
    </r>
  </si>
  <si>
    <r>
      <t xml:space="preserve">    </t>
    </r>
    <r>
      <rPr>
        <sz val="10"/>
        <color indexed="8"/>
        <rFont val="宋体"/>
        <charset val="134"/>
      </rPr>
      <t>无形及递延资产合计</t>
    </r>
  </si>
  <si>
    <r>
      <t>其它资产</t>
    </r>
    <r>
      <rPr>
        <sz val="10"/>
        <color indexed="8"/>
        <rFont val="Times New Roman"/>
        <family val="1"/>
      </rPr>
      <t>:</t>
    </r>
  </si>
  <si>
    <t>环增</t>
    <phoneticPr fontId="4" type="noConversion"/>
  </si>
  <si>
    <t xml:space="preserve">          三通一平费用</t>
    <phoneticPr fontId="2" type="noConversion"/>
  </si>
  <si>
    <t xml:space="preserve">         其他费用</t>
    <phoneticPr fontId="2" type="noConversion"/>
  </si>
  <si>
    <r>
      <t xml:space="preserve">         </t>
    </r>
    <r>
      <rPr>
        <sz val="10"/>
        <rFont val="宋体"/>
        <charset val="134"/>
      </rPr>
      <t>其中：规划勘察设计费用</t>
    </r>
    <phoneticPr fontId="2" type="noConversion"/>
  </si>
  <si>
    <r>
      <t xml:space="preserve">                      </t>
    </r>
    <r>
      <rPr>
        <sz val="10"/>
        <rFont val="宋体"/>
        <charset val="134"/>
      </rPr>
      <t>可行性研究费用</t>
    </r>
    <phoneticPr fontId="2" type="noConversion"/>
  </si>
  <si>
    <t>项目名称</t>
    <phoneticPr fontId="2" type="noConversion"/>
  </si>
  <si>
    <t>备注</t>
    <phoneticPr fontId="2" type="noConversion"/>
  </si>
  <si>
    <t>相关系数或面积</t>
    <phoneticPr fontId="2" type="noConversion"/>
  </si>
  <si>
    <t>利息备付率</t>
    <phoneticPr fontId="2" type="noConversion"/>
  </si>
  <si>
    <r>
      <t>至少应大于</t>
    </r>
    <r>
      <rPr>
        <sz val="12"/>
        <color indexed="9"/>
        <rFont val="Times New Roman"/>
        <family val="1"/>
      </rPr>
      <t>2</t>
    </r>
    <phoneticPr fontId="2" type="noConversion"/>
  </si>
  <si>
    <t>总销售量</t>
    <phoneticPr fontId="2" type="noConversion"/>
  </si>
  <si>
    <t>30</t>
  </si>
  <si>
    <t>投资活动</t>
    <phoneticPr fontId="2" type="noConversion"/>
  </si>
  <si>
    <t>筹资活动</t>
    <phoneticPr fontId="2" type="noConversion"/>
  </si>
  <si>
    <t>元、万元</t>
    <phoneticPr fontId="2" type="noConversion"/>
  </si>
  <si>
    <r>
      <t xml:space="preserve">        </t>
    </r>
    <r>
      <rPr>
        <sz val="12"/>
        <rFont val="宋体"/>
        <charset val="134"/>
      </rPr>
      <t>支付的其他与筹资活动有关的现金</t>
    </r>
    <phoneticPr fontId="2" type="noConversion"/>
  </si>
  <si>
    <t>金额单位：元</t>
    <phoneticPr fontId="5" type="noConversion"/>
  </si>
  <si>
    <t>经营活动</t>
    <phoneticPr fontId="2" type="noConversion"/>
  </si>
  <si>
    <t>小计</t>
    <phoneticPr fontId="2" type="noConversion"/>
  </si>
  <si>
    <t>年度</t>
    <phoneticPr fontId="2" type="noConversion"/>
  </si>
  <si>
    <t xml:space="preserve"> 金额  （万元）</t>
    <phoneticPr fontId="2" type="noConversion"/>
  </si>
  <si>
    <t>结构比及流入流出比例</t>
    <phoneticPr fontId="2" type="noConversion"/>
  </si>
  <si>
    <t>现金流量净额</t>
    <phoneticPr fontId="2" type="noConversion"/>
  </si>
  <si>
    <t>汇率影响</t>
    <phoneticPr fontId="2" type="noConversion"/>
  </si>
  <si>
    <t>其中：规划勘察设计招标费</t>
    <phoneticPr fontId="2" type="noConversion"/>
  </si>
  <si>
    <t xml:space="preserve">    支付的各项税费</t>
    <phoneticPr fontId="2" type="noConversion"/>
  </si>
  <si>
    <t>单位:元</t>
    <phoneticPr fontId="5" type="noConversion"/>
  </si>
  <si>
    <t>递延税款借项</t>
    <phoneticPr fontId="5" type="noConversion"/>
  </si>
  <si>
    <r>
      <t xml:space="preserve">    </t>
    </r>
    <r>
      <rPr>
        <sz val="10"/>
        <rFont val="宋体"/>
        <charset val="134"/>
      </rPr>
      <t>预收帐款</t>
    </r>
    <phoneticPr fontId="5" type="noConversion"/>
  </si>
  <si>
    <t>单位:万元</t>
  </si>
  <si>
    <r>
      <t xml:space="preserve">    </t>
    </r>
    <r>
      <rPr>
        <sz val="10"/>
        <rFont val="宋体"/>
        <charset val="134"/>
      </rPr>
      <t>应付帐款</t>
    </r>
    <r>
      <rPr>
        <sz val="10"/>
        <rFont val="Times New Roman"/>
        <family val="1"/>
      </rPr>
      <t xml:space="preserve"> </t>
    </r>
    <phoneticPr fontId="5" type="noConversion"/>
  </si>
  <si>
    <r>
      <t xml:space="preserve">    </t>
    </r>
    <r>
      <rPr>
        <sz val="10"/>
        <rFont val="宋体"/>
        <charset val="134"/>
      </rPr>
      <t>本年利润</t>
    </r>
    <phoneticPr fontId="5" type="noConversion"/>
  </si>
  <si>
    <t>年    末</t>
  </si>
  <si>
    <r>
      <t xml:space="preserve">                             </t>
    </r>
    <r>
      <rPr>
        <sz val="14"/>
        <rFont val="宋体"/>
        <charset val="134"/>
      </rPr>
      <t>日</t>
    </r>
    <r>
      <rPr>
        <sz val="14"/>
        <rFont val="Times New Roman"/>
        <family val="1"/>
      </rPr>
      <t xml:space="preserve">    </t>
    </r>
    <r>
      <rPr>
        <sz val="14"/>
        <rFont val="宋体"/>
        <charset val="134"/>
      </rPr>
      <t>期</t>
    </r>
  </si>
  <si>
    <r>
      <t xml:space="preserve">      </t>
    </r>
    <r>
      <rPr>
        <sz val="14"/>
        <rFont val="宋体"/>
        <charset val="134"/>
      </rPr>
      <t>项</t>
    </r>
    <r>
      <rPr>
        <sz val="14"/>
        <rFont val="Times New Roman"/>
        <family val="1"/>
      </rPr>
      <t xml:space="preserve">     </t>
    </r>
    <r>
      <rPr>
        <sz val="14"/>
        <rFont val="宋体"/>
        <charset val="134"/>
      </rPr>
      <t>目</t>
    </r>
  </si>
  <si>
    <r>
      <t>年</t>
    </r>
    <r>
      <rPr>
        <sz val="14"/>
        <rFont val="Times New Roman"/>
        <family val="1"/>
      </rPr>
      <t xml:space="preserve">   </t>
    </r>
    <r>
      <rPr>
        <sz val="14"/>
        <rFont val="宋体"/>
        <charset val="134"/>
      </rPr>
      <t>初</t>
    </r>
  </si>
  <si>
    <r>
      <t xml:space="preserve">    </t>
    </r>
    <r>
      <rPr>
        <sz val="14"/>
        <rFont val="宋体"/>
        <charset val="134"/>
      </rPr>
      <t>减：经营成本</t>
    </r>
    <phoneticPr fontId="5" type="noConversion"/>
  </si>
  <si>
    <r>
      <t xml:space="preserve">            </t>
    </r>
    <r>
      <rPr>
        <sz val="14"/>
        <rFont val="宋体"/>
        <charset val="134"/>
      </rPr>
      <t>销售费用</t>
    </r>
    <phoneticPr fontId="5" type="noConversion"/>
  </si>
  <si>
    <r>
      <t xml:space="preserve">            </t>
    </r>
    <r>
      <rPr>
        <sz val="14"/>
        <rFont val="宋体"/>
        <charset val="134"/>
      </rPr>
      <t>经营税金及附加</t>
    </r>
    <phoneticPr fontId="5" type="noConversion"/>
  </si>
  <si>
    <r>
      <t xml:space="preserve">    </t>
    </r>
    <r>
      <rPr>
        <sz val="14"/>
        <rFont val="宋体"/>
        <charset val="134"/>
      </rPr>
      <t>加：其它业务利润</t>
    </r>
  </si>
  <si>
    <r>
      <t xml:space="preserve">    </t>
    </r>
    <r>
      <rPr>
        <sz val="14"/>
        <rFont val="宋体"/>
        <charset val="134"/>
      </rPr>
      <t>减：管理费用</t>
    </r>
  </si>
  <si>
    <r>
      <t xml:space="preserve">             </t>
    </r>
    <r>
      <rPr>
        <sz val="14"/>
        <rFont val="宋体"/>
        <charset val="134"/>
      </rPr>
      <t>营业费用</t>
    </r>
    <phoneticPr fontId="5" type="noConversion"/>
  </si>
  <si>
    <r>
      <t xml:space="preserve">             </t>
    </r>
    <r>
      <rPr>
        <sz val="14"/>
        <rFont val="宋体"/>
        <charset val="134"/>
      </rPr>
      <t>财务费用</t>
    </r>
    <phoneticPr fontId="5" type="noConversion"/>
  </si>
  <si>
    <r>
      <t xml:space="preserve">    </t>
    </r>
    <r>
      <rPr>
        <sz val="14"/>
        <rFont val="宋体"/>
        <charset val="134"/>
      </rPr>
      <t>加：投资收益</t>
    </r>
  </si>
  <si>
    <r>
      <t xml:space="preserve">           </t>
    </r>
    <r>
      <rPr>
        <sz val="14"/>
        <rFont val="宋体"/>
        <charset val="134"/>
      </rPr>
      <t>补贴收入</t>
    </r>
    <phoneticPr fontId="5" type="noConversion"/>
  </si>
  <si>
    <r>
      <t xml:space="preserve">            </t>
    </r>
    <r>
      <rPr>
        <sz val="14"/>
        <rFont val="宋体"/>
        <charset val="134"/>
      </rPr>
      <t>营业外收入</t>
    </r>
  </si>
  <si>
    <r>
      <t xml:space="preserve">    </t>
    </r>
    <r>
      <rPr>
        <sz val="14"/>
        <rFont val="宋体"/>
        <charset val="134"/>
      </rPr>
      <t>减</t>
    </r>
    <r>
      <rPr>
        <sz val="14"/>
        <rFont val="Times New Roman"/>
        <family val="1"/>
      </rPr>
      <t xml:space="preserve">:   </t>
    </r>
    <r>
      <rPr>
        <sz val="14"/>
        <rFont val="宋体"/>
        <charset val="134"/>
      </rPr>
      <t>营业外支出</t>
    </r>
  </si>
  <si>
    <r>
      <t xml:space="preserve">    </t>
    </r>
    <r>
      <rPr>
        <sz val="14"/>
        <rFont val="宋体"/>
        <charset val="134"/>
      </rPr>
      <t>加：以前年度损益调整</t>
    </r>
    <phoneticPr fontId="2" type="noConversion"/>
  </si>
  <si>
    <r>
      <t xml:space="preserve">    </t>
    </r>
    <r>
      <rPr>
        <sz val="14"/>
        <rFont val="宋体"/>
        <charset val="134"/>
      </rPr>
      <t>减：所得税</t>
    </r>
  </si>
  <si>
    <r>
      <t xml:space="preserve">    </t>
    </r>
    <r>
      <rPr>
        <sz val="14"/>
        <rFont val="宋体"/>
        <charset val="134"/>
      </rPr>
      <t>加：年初未分配利润</t>
    </r>
  </si>
  <si>
    <r>
      <t xml:space="preserve">            </t>
    </r>
    <r>
      <rPr>
        <sz val="14"/>
        <rFont val="宋体"/>
        <charset val="134"/>
      </rPr>
      <t>上年利润调整</t>
    </r>
  </si>
  <si>
    <r>
      <t xml:space="preserve">    </t>
    </r>
    <r>
      <rPr>
        <sz val="14"/>
        <rFont val="宋体"/>
        <charset val="134"/>
      </rPr>
      <t>减：上年所得税调整</t>
    </r>
  </si>
  <si>
    <r>
      <t xml:space="preserve">    </t>
    </r>
    <r>
      <rPr>
        <sz val="14"/>
        <rFont val="宋体"/>
        <charset val="134"/>
      </rPr>
      <t>加：赢余公积补亏</t>
    </r>
  </si>
  <si>
    <r>
      <t xml:space="preserve">    </t>
    </r>
    <r>
      <rPr>
        <sz val="14"/>
        <rFont val="宋体"/>
        <charset val="134"/>
      </rPr>
      <t>减：提取盈余公积</t>
    </r>
  </si>
  <si>
    <r>
      <t xml:space="preserve">                </t>
    </r>
    <r>
      <rPr>
        <sz val="14"/>
        <rFont val="宋体"/>
        <charset val="134"/>
      </rPr>
      <t>其中：公益金</t>
    </r>
  </si>
  <si>
    <r>
      <t xml:space="preserve">            </t>
    </r>
    <r>
      <rPr>
        <sz val="14"/>
        <rFont val="宋体"/>
        <charset val="134"/>
      </rPr>
      <t>应付利润</t>
    </r>
  </si>
  <si>
    <r>
      <t>销售利润率（</t>
    </r>
    <r>
      <rPr>
        <sz val="14"/>
        <rFont val="Times New Roman"/>
        <family val="1"/>
      </rPr>
      <t>16/1</t>
    </r>
    <r>
      <rPr>
        <sz val="14"/>
        <rFont val="宋体"/>
        <charset val="134"/>
      </rPr>
      <t>）</t>
    </r>
  </si>
  <si>
    <t>所有者权益</t>
    <phoneticPr fontId="5" type="noConversion"/>
  </si>
  <si>
    <t>项目</t>
    <phoneticPr fontId="5" type="noConversion"/>
  </si>
  <si>
    <t>负债总额</t>
    <phoneticPr fontId="5" type="noConversion"/>
  </si>
  <si>
    <r>
      <t>简化的比较百分比资产负债表（</t>
    </r>
    <r>
      <rPr>
        <sz val="10"/>
        <rFont val="Times New Roman"/>
        <family val="1"/>
      </rPr>
      <t>%</t>
    </r>
    <r>
      <rPr>
        <sz val="10"/>
        <rFont val="宋体"/>
        <charset val="134"/>
      </rPr>
      <t>）</t>
    </r>
    <phoneticPr fontId="5" type="noConversion"/>
  </si>
  <si>
    <t>资产负债分析</t>
    <phoneticPr fontId="5" type="noConversion"/>
  </si>
  <si>
    <t>资产负债率</t>
    <phoneticPr fontId="5" type="noConversion"/>
  </si>
  <si>
    <t>流动比率</t>
    <phoneticPr fontId="5" type="noConversion"/>
  </si>
  <si>
    <t>速动比率</t>
    <phoneticPr fontId="5" type="noConversion"/>
  </si>
  <si>
    <t>抵（质）押物名称</t>
    <phoneticPr fontId="2" type="noConversion"/>
  </si>
  <si>
    <r>
      <t xml:space="preserve">        </t>
    </r>
    <r>
      <rPr>
        <sz val="10"/>
        <rFont val="宋体"/>
        <charset val="134"/>
      </rPr>
      <t>其中：公益金</t>
    </r>
    <phoneticPr fontId="5" type="noConversion"/>
  </si>
  <si>
    <t>调整后年初未分配利润</t>
    <phoneticPr fontId="5" type="noConversion"/>
  </si>
  <si>
    <t>担保；抵押；信用</t>
    <phoneticPr fontId="7" type="noConversion"/>
  </si>
  <si>
    <t>长期待摊费用</t>
    <phoneticPr fontId="5" type="noConversion"/>
  </si>
  <si>
    <t>开发间接费用</t>
    <phoneticPr fontId="5" type="noConversion"/>
  </si>
  <si>
    <r>
      <t xml:space="preserve">    </t>
    </r>
    <r>
      <rPr>
        <sz val="10"/>
        <rFont val="宋体"/>
        <charset val="134"/>
      </rPr>
      <t>应交税金</t>
    </r>
    <phoneticPr fontId="5" type="noConversion"/>
  </si>
  <si>
    <r>
      <t xml:space="preserve">    </t>
    </r>
    <r>
      <rPr>
        <sz val="10"/>
        <rFont val="宋体"/>
        <charset val="134"/>
      </rPr>
      <t>其它应交款</t>
    </r>
    <phoneticPr fontId="5" type="noConversion"/>
  </si>
  <si>
    <r>
      <t xml:space="preserve">        </t>
    </r>
    <r>
      <rPr>
        <sz val="12"/>
        <rFont val="宋体"/>
        <charset val="134"/>
      </rPr>
      <t>吸收投资所收到的现金</t>
    </r>
    <phoneticPr fontId="2" type="noConversion"/>
  </si>
  <si>
    <t xml:space="preserve"> 金额         （万元）</t>
    <phoneticPr fontId="2" type="noConversion"/>
  </si>
  <si>
    <t>住宅</t>
    <phoneticPr fontId="2" type="noConversion"/>
  </si>
  <si>
    <t>商业</t>
    <phoneticPr fontId="2" type="noConversion"/>
  </si>
  <si>
    <t>地下车库</t>
    <phoneticPr fontId="2" type="noConversion"/>
  </si>
  <si>
    <r>
      <t>2008</t>
    </r>
    <r>
      <rPr>
        <sz val="12"/>
        <rFont val="宋体"/>
        <charset val="134"/>
      </rPr>
      <t>年</t>
    </r>
    <phoneticPr fontId="2" type="noConversion"/>
  </si>
  <si>
    <r>
      <t>2004</t>
    </r>
    <r>
      <rPr>
        <sz val="12"/>
        <rFont val="宋体"/>
        <charset val="134"/>
      </rPr>
      <t>占总资产比</t>
    </r>
    <phoneticPr fontId="4" type="noConversion"/>
  </si>
  <si>
    <r>
      <t xml:space="preserve">   </t>
    </r>
    <r>
      <rPr>
        <sz val="10"/>
        <color indexed="8"/>
        <rFont val="宋体"/>
        <charset val="134"/>
      </rPr>
      <t>在建工程</t>
    </r>
    <phoneticPr fontId="5" type="noConversion"/>
  </si>
  <si>
    <r>
      <t xml:space="preserve">        </t>
    </r>
    <r>
      <rPr>
        <sz val="12"/>
        <rFont val="宋体"/>
        <charset val="134"/>
      </rPr>
      <t>收到的其他与筹资活动有关的现金</t>
    </r>
    <phoneticPr fontId="2" type="noConversion"/>
  </si>
  <si>
    <r>
      <t xml:space="preserve">        </t>
    </r>
    <r>
      <rPr>
        <sz val="12"/>
        <rFont val="宋体"/>
        <charset val="134"/>
      </rPr>
      <t>分配股利或利润和偿付利息所支付的现金</t>
    </r>
    <phoneticPr fontId="2" type="noConversion"/>
  </si>
  <si>
    <t>短期</t>
    <phoneticPr fontId="2" type="noConversion"/>
  </si>
  <si>
    <t>配套商业</t>
    <phoneticPr fontId="2" type="noConversion"/>
  </si>
  <si>
    <t>借款人         基本情况</t>
    <phoneticPr fontId="2" type="noConversion"/>
  </si>
  <si>
    <t xml:space="preserve">    存货</t>
    <phoneticPr fontId="2" type="noConversion"/>
  </si>
  <si>
    <t xml:space="preserve">    短期借款</t>
    <phoneticPr fontId="2" type="noConversion"/>
  </si>
  <si>
    <t xml:space="preserve">    应收账款</t>
    <phoneticPr fontId="2" type="noConversion"/>
  </si>
  <si>
    <t xml:space="preserve">    应付账款</t>
    <phoneticPr fontId="2" type="noConversion"/>
  </si>
  <si>
    <t xml:space="preserve">    其他应收款</t>
    <phoneticPr fontId="2" type="noConversion"/>
  </si>
  <si>
    <t xml:space="preserve">    其他应付款</t>
    <phoneticPr fontId="2" type="noConversion"/>
  </si>
  <si>
    <t xml:space="preserve">    长期借款</t>
    <phoneticPr fontId="2" type="noConversion"/>
  </si>
  <si>
    <t xml:space="preserve">    实收资本</t>
    <phoneticPr fontId="2" type="noConversion"/>
  </si>
  <si>
    <t xml:space="preserve">    经营活动</t>
    <phoneticPr fontId="2" type="noConversion"/>
  </si>
  <si>
    <t xml:space="preserve">    投资活动</t>
    <phoneticPr fontId="2" type="noConversion"/>
  </si>
  <si>
    <t xml:space="preserve">    筹资活动</t>
    <phoneticPr fontId="2" type="noConversion"/>
  </si>
  <si>
    <t>项目主要指标</t>
    <phoneticPr fontId="2" type="noConversion"/>
  </si>
  <si>
    <t>基准折现率</t>
    <phoneticPr fontId="2" type="noConversion"/>
  </si>
  <si>
    <t>综合筹资成本</t>
    <phoneticPr fontId="2" type="noConversion"/>
  </si>
  <si>
    <t>动态投资回收期</t>
    <phoneticPr fontId="2" type="noConversion"/>
  </si>
  <si>
    <t>借款期限(年)</t>
    <phoneticPr fontId="2" type="noConversion"/>
  </si>
  <si>
    <t>担保方式</t>
    <phoneticPr fontId="2" type="noConversion"/>
  </si>
  <si>
    <t>保证人</t>
    <phoneticPr fontId="2" type="noConversion"/>
  </si>
  <si>
    <t>净资产</t>
    <phoneticPr fontId="2" type="noConversion"/>
  </si>
  <si>
    <r>
      <t xml:space="preserve">        </t>
    </r>
    <r>
      <rPr>
        <sz val="10"/>
        <rFont val="宋体"/>
        <charset val="134"/>
      </rPr>
      <t>其中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在建开发产品</t>
    </r>
    <phoneticPr fontId="5" type="noConversion"/>
  </si>
  <si>
    <t>项            目</t>
    <phoneticPr fontId="2" type="noConversion"/>
  </si>
  <si>
    <t xml:space="preserve">    其中：销（预）售收入</t>
    <phoneticPr fontId="2" type="noConversion"/>
  </si>
  <si>
    <t xml:space="preserve">                出租收入</t>
    <phoneticPr fontId="2" type="noConversion"/>
  </si>
  <si>
    <t xml:space="preserve">                其它</t>
    <phoneticPr fontId="2" type="noConversion"/>
  </si>
  <si>
    <t xml:space="preserve">经营期经营成本 </t>
    <phoneticPr fontId="2" type="noConversion"/>
  </si>
  <si>
    <t xml:space="preserve">敏感性分析结果 </t>
  </si>
  <si>
    <t>底表1</t>
    <phoneticPr fontId="2" type="noConversion"/>
  </si>
  <si>
    <t>项        目</t>
    <phoneticPr fontId="2" type="noConversion"/>
  </si>
  <si>
    <t>合   计</t>
    <phoneticPr fontId="2" type="noConversion"/>
  </si>
  <si>
    <t>项目总投资来源及支出预测表</t>
    <phoneticPr fontId="2" type="noConversion"/>
  </si>
  <si>
    <t>一、总投资来源合计</t>
    <phoneticPr fontId="2" type="noConversion"/>
  </si>
  <si>
    <t>二、总投资支出合计</t>
    <phoneticPr fontId="2" type="noConversion"/>
  </si>
  <si>
    <t>资产运用效率分析</t>
    <phoneticPr fontId="5" type="noConversion"/>
  </si>
  <si>
    <t>总资产周转率</t>
    <phoneticPr fontId="5" type="noConversion"/>
  </si>
  <si>
    <t>存货周转率</t>
    <phoneticPr fontId="5" type="noConversion"/>
  </si>
  <si>
    <t>评估结论表</t>
    <phoneticPr fontId="2" type="noConversion"/>
  </si>
  <si>
    <t>总资产</t>
    <phoneticPr fontId="5" type="noConversion"/>
  </si>
  <si>
    <t>流动资产</t>
    <phoneticPr fontId="5" type="noConversion"/>
  </si>
  <si>
    <t>存货</t>
    <phoneticPr fontId="5" type="noConversion"/>
  </si>
  <si>
    <t>2002年-2004年主要财务数据</t>
    <phoneticPr fontId="5" type="noConversion"/>
  </si>
  <si>
    <t>环比增长</t>
    <phoneticPr fontId="5" type="noConversion"/>
  </si>
  <si>
    <t>2004-2003</t>
    <phoneticPr fontId="5" type="noConversion"/>
  </si>
  <si>
    <t>2005-2004</t>
    <phoneticPr fontId="5" type="noConversion"/>
  </si>
  <si>
    <t>总负债</t>
    <phoneticPr fontId="5" type="noConversion"/>
  </si>
  <si>
    <t>实收资本</t>
    <phoneticPr fontId="5" type="noConversion"/>
  </si>
  <si>
    <t>流动负债</t>
    <phoneticPr fontId="5" type="noConversion"/>
  </si>
  <si>
    <t>当期占总资产比</t>
    <phoneticPr fontId="5" type="noConversion"/>
  </si>
  <si>
    <t>一、资产合计</t>
    <phoneticPr fontId="5" type="noConversion"/>
  </si>
  <si>
    <t>1、流动资产</t>
    <phoneticPr fontId="5" type="noConversion"/>
  </si>
  <si>
    <t>货币资金</t>
    <phoneticPr fontId="5" type="noConversion"/>
  </si>
  <si>
    <t>预付帐款</t>
    <phoneticPr fontId="5" type="noConversion"/>
  </si>
  <si>
    <t>其他应收款</t>
    <phoneticPr fontId="5" type="noConversion"/>
  </si>
  <si>
    <t>2、长期投资</t>
    <phoneticPr fontId="5" type="noConversion"/>
  </si>
  <si>
    <t>长期股权投资</t>
    <phoneticPr fontId="5" type="noConversion"/>
  </si>
  <si>
    <t>3、固定资产</t>
    <phoneticPr fontId="5" type="noConversion"/>
  </si>
  <si>
    <t>固定资产净值</t>
    <phoneticPr fontId="5" type="noConversion"/>
  </si>
  <si>
    <t>二、负债合计</t>
    <phoneticPr fontId="5" type="noConversion"/>
  </si>
  <si>
    <t>1、流动负债</t>
    <phoneticPr fontId="5" type="noConversion"/>
  </si>
  <si>
    <t>预收帐款</t>
    <phoneticPr fontId="5" type="noConversion"/>
  </si>
  <si>
    <t>其他应付款</t>
    <phoneticPr fontId="5" type="noConversion"/>
  </si>
  <si>
    <t>2、长期负债</t>
    <phoneticPr fontId="5" type="noConversion"/>
  </si>
  <si>
    <t>长期借款</t>
    <phoneticPr fontId="5" type="noConversion"/>
  </si>
  <si>
    <t>三、所有者权益</t>
    <phoneticPr fontId="5" type="noConversion"/>
  </si>
  <si>
    <t>资本公积</t>
    <phoneticPr fontId="5" type="noConversion"/>
  </si>
  <si>
    <t>盈余公积</t>
    <phoneticPr fontId="5" type="noConversion"/>
  </si>
  <si>
    <t>未分配利润</t>
    <phoneticPr fontId="5" type="noConversion"/>
  </si>
  <si>
    <t>本年利润</t>
    <phoneticPr fontId="5" type="noConversion"/>
  </si>
  <si>
    <t>可销售面积单方造价</t>
    <phoneticPr fontId="2" type="noConversion"/>
  </si>
  <si>
    <t>建筑面积单方造价</t>
    <phoneticPr fontId="2" type="noConversion"/>
  </si>
  <si>
    <t>其他流动负债</t>
    <phoneticPr fontId="5" type="noConversion"/>
  </si>
  <si>
    <r>
      <t xml:space="preserve">       </t>
    </r>
    <r>
      <rPr>
        <sz val="12"/>
        <rFont val="宋体"/>
        <charset val="134"/>
      </rPr>
      <t>投资所支付的现金</t>
    </r>
    <phoneticPr fontId="2" type="noConversion"/>
  </si>
  <si>
    <t>酒店式公寓</t>
    <phoneticPr fontId="2" type="noConversion"/>
  </si>
  <si>
    <t>项目名称：</t>
    <phoneticPr fontId="7" type="noConversion"/>
  </si>
  <si>
    <t xml:space="preserve">    项            目</t>
    <phoneticPr fontId="2" type="noConversion"/>
  </si>
  <si>
    <t>已投</t>
    <phoneticPr fontId="5" type="noConversion"/>
  </si>
  <si>
    <t xml:space="preserve">1、基准折现率       </t>
    <phoneticPr fontId="2" type="noConversion"/>
  </si>
  <si>
    <t xml:space="preserve">2、财务净现值(FNPV)    </t>
    <phoneticPr fontId="2" type="noConversion"/>
  </si>
  <si>
    <t xml:space="preserve">3、财务内部收益率(FIRR)      </t>
    <phoneticPr fontId="2" type="noConversion"/>
  </si>
  <si>
    <t xml:space="preserve">   教育费附加</t>
    <phoneticPr fontId="2" type="noConversion"/>
  </si>
  <si>
    <t xml:space="preserve">   城市维护建设税</t>
    <phoneticPr fontId="2" type="noConversion"/>
  </si>
  <si>
    <t>项目损益预测表(出售部分)</t>
    <phoneticPr fontId="2" type="noConversion"/>
  </si>
  <si>
    <t>主表4-1</t>
    <phoneticPr fontId="2" type="noConversion"/>
  </si>
  <si>
    <t>合    计</t>
    <phoneticPr fontId="2" type="noConversion"/>
  </si>
  <si>
    <t>利润总额(1-2-3-4-5-6-7-8)</t>
    <phoneticPr fontId="2" type="noConversion"/>
  </si>
  <si>
    <t xml:space="preserve">    加：年初未分配利润</t>
    <phoneticPr fontId="2" type="noConversion"/>
  </si>
  <si>
    <t xml:space="preserve">    减：提取公积金</t>
    <phoneticPr fontId="2" type="noConversion"/>
  </si>
  <si>
    <t xml:space="preserve">            其中：公益金</t>
    <phoneticPr fontId="2" type="noConversion"/>
  </si>
  <si>
    <t xml:space="preserve">    减：应付利润</t>
    <phoneticPr fontId="2" type="noConversion"/>
  </si>
  <si>
    <t>资金来源与运用表</t>
    <phoneticPr fontId="2" type="noConversion"/>
  </si>
  <si>
    <t>主表5</t>
    <phoneticPr fontId="2" type="noConversion"/>
  </si>
  <si>
    <t>项目负债偿还预测表</t>
    <phoneticPr fontId="2" type="noConversion"/>
  </si>
  <si>
    <t>主表6</t>
    <phoneticPr fontId="2" type="noConversion"/>
  </si>
  <si>
    <t>资金来源</t>
    <phoneticPr fontId="2" type="noConversion"/>
  </si>
  <si>
    <t xml:space="preserve">         盈余资金</t>
    <phoneticPr fontId="2" type="noConversion"/>
  </si>
  <si>
    <t xml:space="preserve">         年初还贷资金结余</t>
    <phoneticPr fontId="2" type="noConversion"/>
  </si>
  <si>
    <t>主表7</t>
    <phoneticPr fontId="2" type="noConversion"/>
  </si>
  <si>
    <t>租售价格</t>
    <phoneticPr fontId="2" type="noConversion"/>
  </si>
  <si>
    <t>销售期延后一年</t>
    <phoneticPr fontId="2" type="noConversion"/>
  </si>
  <si>
    <t>盈亏平衡点：</t>
    <phoneticPr fontId="2" type="noConversion"/>
  </si>
  <si>
    <t>主表2</t>
    <phoneticPr fontId="2" type="noConversion"/>
  </si>
  <si>
    <t>(二)前期工程费</t>
    <phoneticPr fontId="2" type="noConversion"/>
  </si>
  <si>
    <t>(三)房屋开发费</t>
    <phoneticPr fontId="2" type="noConversion"/>
  </si>
  <si>
    <t>项目经营成本(7-26)</t>
    <phoneticPr fontId="2" type="noConversion"/>
  </si>
  <si>
    <t>项目贷款风险度测算表</t>
    <phoneticPr fontId="2" type="noConversion"/>
  </si>
  <si>
    <r>
      <t>主表</t>
    </r>
    <r>
      <rPr>
        <sz val="10"/>
        <rFont val="Times New Roman"/>
        <family val="1"/>
      </rPr>
      <t>8</t>
    </r>
    <phoneticPr fontId="2" type="noConversion"/>
  </si>
  <si>
    <r>
      <t>项</t>
    </r>
    <r>
      <rPr>
        <sz val="10"/>
        <rFont val="Times New Roman"/>
        <family val="1"/>
      </rPr>
      <t xml:space="preserve">                    </t>
    </r>
    <r>
      <rPr>
        <sz val="10"/>
        <rFont val="宋体"/>
        <charset val="134"/>
      </rPr>
      <t>目</t>
    </r>
    <phoneticPr fontId="2" type="noConversion"/>
  </si>
  <si>
    <r>
      <t>预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测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值</t>
    </r>
    <phoneticPr fontId="2" type="noConversion"/>
  </si>
  <si>
    <t>贷款方式风险系数</t>
    <phoneticPr fontId="2" type="noConversion"/>
  </si>
  <si>
    <t>企业信用等级系数</t>
    <phoneticPr fontId="2" type="noConversion"/>
  </si>
  <si>
    <t>项目风险等级系数</t>
    <phoneticPr fontId="2" type="noConversion"/>
  </si>
  <si>
    <r>
      <t>综合系数</t>
    </r>
    <r>
      <rPr>
        <sz val="10"/>
        <rFont val="Times New Roman"/>
        <family val="1"/>
      </rPr>
      <t>Y</t>
    </r>
    <phoneticPr fontId="2" type="noConversion"/>
  </si>
  <si>
    <r>
      <t>底表</t>
    </r>
    <r>
      <rPr>
        <sz val="10"/>
        <rFont val="Times New Roman"/>
        <family val="1"/>
      </rPr>
      <t>8</t>
    </r>
    <phoneticPr fontId="2" type="noConversion"/>
  </si>
  <si>
    <r>
      <t>项</t>
    </r>
    <r>
      <rPr>
        <sz val="10"/>
        <rFont val="Times New Roman"/>
        <family val="1"/>
      </rPr>
      <t xml:space="preserve">            </t>
    </r>
    <r>
      <rPr>
        <sz val="10"/>
        <rFont val="宋体"/>
        <charset val="134"/>
      </rPr>
      <t>目</t>
    </r>
    <phoneticPr fontId="2" type="noConversion"/>
  </si>
  <si>
    <r>
      <t>得分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值</t>
    </r>
    <phoneticPr fontId="2" type="noConversion"/>
  </si>
  <si>
    <r>
      <t>合计得分</t>
    </r>
    <r>
      <rPr>
        <b/>
        <sz val="10"/>
        <rFont val="Times New Roman"/>
        <family val="1"/>
      </rPr>
      <t>(</t>
    </r>
    <r>
      <rPr>
        <b/>
        <sz val="10"/>
        <rFont val="宋体"/>
        <charset val="134"/>
      </rPr>
      <t>一＋二＋三</t>
    </r>
    <r>
      <rPr>
        <b/>
        <sz val="10"/>
        <rFont val="Times New Roman"/>
        <family val="1"/>
      </rPr>
      <t>)</t>
    </r>
    <phoneticPr fontId="2" type="noConversion"/>
  </si>
  <si>
    <r>
      <t>底表</t>
    </r>
    <r>
      <rPr>
        <sz val="11"/>
        <rFont val="Times New Roman"/>
        <family val="1"/>
      </rPr>
      <t>7</t>
    </r>
    <phoneticPr fontId="2" type="noConversion"/>
  </si>
  <si>
    <r>
      <t>还</t>
    </r>
    <r>
      <rPr>
        <sz val="11"/>
        <rFont val="Times New Roman"/>
        <family val="1"/>
      </rPr>
      <t xml:space="preserve">    </t>
    </r>
    <r>
      <rPr>
        <sz val="11"/>
        <rFont val="宋体"/>
        <charset val="134"/>
      </rPr>
      <t>款</t>
    </r>
    <r>
      <rPr>
        <sz val="11"/>
        <rFont val="Times New Roman"/>
        <family val="1"/>
      </rPr>
      <t xml:space="preserve">    </t>
    </r>
    <r>
      <rPr>
        <sz val="11"/>
        <rFont val="宋体"/>
        <charset val="134"/>
      </rPr>
      <t>计</t>
    </r>
    <r>
      <rPr>
        <sz val="11"/>
        <rFont val="Times New Roman"/>
        <family val="1"/>
      </rPr>
      <t xml:space="preserve">    </t>
    </r>
    <r>
      <rPr>
        <sz val="11"/>
        <rFont val="宋体"/>
        <charset val="134"/>
      </rPr>
      <t>划</t>
    </r>
    <phoneticPr fontId="2" type="noConversion"/>
  </si>
  <si>
    <r>
      <t>合</t>
    </r>
    <r>
      <rPr>
        <sz val="11"/>
        <rFont val="Times New Roman"/>
        <family val="1"/>
      </rPr>
      <t xml:space="preserve">      </t>
    </r>
    <r>
      <rPr>
        <sz val="11"/>
        <rFont val="宋体"/>
        <charset val="134"/>
      </rPr>
      <t>计</t>
    </r>
    <phoneticPr fontId="2" type="noConversion"/>
  </si>
  <si>
    <t xml:space="preserve">     可行性研究费用</t>
    <phoneticPr fontId="2" type="noConversion"/>
  </si>
  <si>
    <t xml:space="preserve">     三通一平费</t>
    <phoneticPr fontId="2" type="noConversion"/>
  </si>
  <si>
    <t xml:space="preserve">     其他</t>
    <phoneticPr fontId="2" type="noConversion"/>
  </si>
  <si>
    <t xml:space="preserve">      附属工程费</t>
    <phoneticPr fontId="2" type="noConversion"/>
  </si>
  <si>
    <t xml:space="preserve">     室外工程费</t>
    <phoneticPr fontId="2" type="noConversion"/>
  </si>
  <si>
    <t>A</t>
    <phoneticPr fontId="7" type="noConversion"/>
  </si>
  <si>
    <t>(一)土地费用</t>
    <phoneticPr fontId="2" type="noConversion"/>
  </si>
  <si>
    <r>
      <t>主表</t>
    </r>
    <r>
      <rPr>
        <sz val="10"/>
        <rFont val="Times New Roman"/>
        <family val="1"/>
      </rPr>
      <t>3</t>
    </r>
    <phoneticPr fontId="2" type="noConversion"/>
  </si>
  <si>
    <r>
      <t xml:space="preserve"> </t>
    </r>
    <r>
      <rPr>
        <sz val="10"/>
        <rFont val="宋体"/>
        <charset val="134"/>
      </rPr>
      <t xml:space="preserve">4、财务投资回收期(动态)     </t>
    </r>
    <phoneticPr fontId="2" type="noConversion"/>
  </si>
  <si>
    <t>城市基础设施建设费</t>
  </si>
  <si>
    <t>成本</t>
    <phoneticPr fontId="2" type="noConversion"/>
  </si>
  <si>
    <t>收入</t>
    <phoneticPr fontId="2" type="noConversion"/>
  </si>
  <si>
    <t>其中：政府土地收益</t>
    <phoneticPr fontId="2" type="noConversion"/>
  </si>
  <si>
    <t>土地开发补偿费</t>
    <phoneticPr fontId="2" type="noConversion"/>
  </si>
  <si>
    <t>出让合同</t>
    <phoneticPr fontId="2" type="noConversion"/>
  </si>
  <si>
    <r>
      <t>项目开发成本（1</t>
    </r>
    <r>
      <rPr>
        <sz val="12"/>
        <rFont val="宋体"/>
        <charset val="134"/>
      </rPr>
      <t>+2+3+4+5+6+10+11</t>
    </r>
    <r>
      <rPr>
        <sz val="12"/>
        <rFont val="宋体"/>
        <charset val="134"/>
      </rPr>
      <t>）</t>
    </r>
    <phoneticPr fontId="2" type="noConversion"/>
  </si>
  <si>
    <r>
      <t>期间费用(</t>
    </r>
    <r>
      <rPr>
        <sz val="12"/>
        <rFont val="宋体"/>
        <charset val="134"/>
      </rPr>
      <t>7+8+9</t>
    </r>
    <r>
      <rPr>
        <sz val="12"/>
        <rFont val="宋体"/>
        <charset val="134"/>
      </rPr>
      <t>)</t>
    </r>
    <phoneticPr fontId="2" type="noConversion"/>
  </si>
  <si>
    <t>交行、建行</t>
    <phoneticPr fontId="2" type="noConversion"/>
  </si>
  <si>
    <t xml:space="preserve"> 补交政府土地收益及契税</t>
    <phoneticPr fontId="2" type="noConversion"/>
  </si>
  <si>
    <t>合计</t>
  </si>
  <si>
    <t>项目</t>
  </si>
  <si>
    <t>计划投</t>
  </si>
  <si>
    <t>资额</t>
  </si>
  <si>
    <t>已经投入</t>
  </si>
  <si>
    <t>（截至2012-03-31）</t>
  </si>
  <si>
    <t>资金缺口</t>
  </si>
  <si>
    <t>土地费用</t>
  </si>
  <si>
    <t>土地出让金</t>
  </si>
  <si>
    <t>拆迁补偿金</t>
  </si>
  <si>
    <t>土地契税</t>
  </si>
  <si>
    <t>前期工程费</t>
  </si>
  <si>
    <t>房屋开发费</t>
  </si>
  <si>
    <t>建安工程费</t>
  </si>
  <si>
    <t>开发间接费</t>
  </si>
  <si>
    <t>其它费用</t>
  </si>
  <si>
    <t>绿色技术和精装修</t>
  </si>
  <si>
    <t>环境景观建设费</t>
  </si>
  <si>
    <t>销售费用</t>
  </si>
  <si>
    <t>管理费用</t>
  </si>
  <si>
    <t>财务费用</t>
  </si>
  <si>
    <t>不可预见费</t>
  </si>
  <si>
    <r>
      <t xml:space="preserve">     B53、B54、B57地块总投已投明细表</t>
    </r>
    <r>
      <rPr>
        <sz val="10.5"/>
        <rFont val="仿宋_GB2312"/>
        <family val="3"/>
        <charset val="134"/>
      </rPr>
      <t>（单位：万元）</t>
    </r>
  </si>
  <si>
    <r>
      <t>7</t>
    </r>
    <r>
      <rPr>
        <sz val="10"/>
        <rFont val="宋体"/>
        <charset val="134"/>
      </rPr>
      <t>月份房款</t>
    </r>
    <phoneticPr fontId="2" type="noConversion"/>
  </si>
  <si>
    <t>政府土地收益</t>
    <phoneticPr fontId="2" type="noConversion"/>
  </si>
  <si>
    <t>面积</t>
    <phoneticPr fontId="2" type="noConversion"/>
  </si>
  <si>
    <t>——</t>
    <phoneticPr fontId="2" type="noConversion"/>
  </si>
  <si>
    <r>
      <t xml:space="preserve">    </t>
    </r>
    <r>
      <rPr>
        <sz val="10"/>
        <rFont val="宋体"/>
        <charset val="134"/>
      </rPr>
      <t>应付工资（应付利息）</t>
    </r>
    <phoneticPr fontId="5" type="noConversion"/>
  </si>
  <si>
    <t>（五）销售费用</t>
    <phoneticPr fontId="2" type="noConversion"/>
  </si>
  <si>
    <t>（六）管理费用</t>
    <phoneticPr fontId="2" type="noConversion"/>
  </si>
  <si>
    <t>（七）财务费用</t>
    <phoneticPr fontId="2" type="noConversion"/>
  </si>
  <si>
    <t>（八）不可预见费用</t>
    <phoneticPr fontId="2" type="noConversion"/>
  </si>
  <si>
    <t>（九）相关税费</t>
    <phoneticPr fontId="2" type="noConversion"/>
  </si>
  <si>
    <t>应付利息</t>
    <phoneticPr fontId="5" type="noConversion"/>
  </si>
  <si>
    <t>购地税费</t>
    <phoneticPr fontId="2" type="noConversion"/>
  </si>
  <si>
    <t>地方教育费附加</t>
    <phoneticPr fontId="2" type="noConversion"/>
  </si>
  <si>
    <t>年初项目借款余额</t>
    <phoneticPr fontId="2" type="noConversion"/>
  </si>
  <si>
    <t>本年增加额</t>
    <phoneticPr fontId="2" type="noConversion"/>
  </si>
  <si>
    <t>本年还本额</t>
    <phoneticPr fontId="2" type="noConversion"/>
  </si>
  <si>
    <t>年末项目借款余额</t>
    <phoneticPr fontId="2" type="noConversion"/>
  </si>
  <si>
    <t>当年偿债保证比</t>
    <phoneticPr fontId="2" type="noConversion"/>
  </si>
  <si>
    <t>年末还贷资金结余</t>
    <phoneticPr fontId="2" type="noConversion"/>
  </si>
  <si>
    <t>地方教育费附加%</t>
    <phoneticPr fontId="7" type="noConversion"/>
  </si>
  <si>
    <t>33000\35000</t>
    <phoneticPr fontId="2" type="noConversion"/>
  </si>
  <si>
    <t>精装修</t>
    <phoneticPr fontId="2" type="noConversion"/>
  </si>
  <si>
    <t>农行借款</t>
    <phoneticPr fontId="2" type="noConversion"/>
  </si>
  <si>
    <t>拖欠农行利息</t>
    <phoneticPr fontId="2" type="noConversion"/>
  </si>
  <si>
    <t>出让合同编号</t>
    <phoneticPr fontId="2" type="noConversion"/>
  </si>
  <si>
    <t>总土地面积</t>
    <phoneticPr fontId="2" type="noConversion"/>
  </si>
  <si>
    <t>出让宗地面积</t>
    <phoneticPr fontId="2" type="noConversion"/>
  </si>
  <si>
    <t>总建筑面积</t>
    <phoneticPr fontId="2" type="noConversion"/>
  </si>
  <si>
    <t>土地出让价款</t>
    <phoneticPr fontId="2" type="noConversion"/>
  </si>
  <si>
    <t>不含城市基础设施建设费</t>
    <phoneticPr fontId="2" type="noConversion"/>
  </si>
  <si>
    <t>土地开发建设补偿费</t>
    <phoneticPr fontId="2" type="noConversion"/>
  </si>
  <si>
    <t>开工时间</t>
    <phoneticPr fontId="2" type="noConversion"/>
  </si>
  <si>
    <t>工期</t>
    <phoneticPr fontId="2" type="noConversion"/>
  </si>
  <si>
    <t>竣工日期预计</t>
    <phoneticPr fontId="2" type="noConversion"/>
  </si>
  <si>
    <t>开盘时间</t>
    <phoneticPr fontId="2" type="noConversion"/>
  </si>
  <si>
    <t>预计竣工时间</t>
    <phoneticPr fontId="2" type="noConversion"/>
  </si>
  <si>
    <t>融资主体</t>
    <phoneticPr fontId="2" type="noConversion"/>
  </si>
  <si>
    <t>类型</t>
    <phoneticPr fontId="2" type="noConversion"/>
  </si>
  <si>
    <t>金额</t>
    <phoneticPr fontId="2" type="noConversion"/>
  </si>
  <si>
    <t>利率</t>
    <phoneticPr fontId="2" type="noConversion"/>
  </si>
  <si>
    <t>年限</t>
    <phoneticPr fontId="2" type="noConversion"/>
  </si>
  <si>
    <t>企业提供资料</t>
    <phoneticPr fontId="2" type="noConversion"/>
  </si>
  <si>
    <t>红线外市政</t>
    <phoneticPr fontId="2" type="noConversion"/>
  </si>
  <si>
    <t xml:space="preserve"> 其中：高层住宅</t>
    <phoneticPr fontId="2" type="noConversion"/>
  </si>
  <si>
    <t>华侨城</t>
    <phoneticPr fontId="2" type="noConversion"/>
  </si>
  <si>
    <t>股东借款</t>
    <phoneticPr fontId="2" type="noConversion"/>
  </si>
  <si>
    <t>央企施工方</t>
    <phoneticPr fontId="2" type="noConversion"/>
  </si>
  <si>
    <t>设定投入时间</t>
    <phoneticPr fontId="2" type="noConversion"/>
  </si>
  <si>
    <t>贷款利息</t>
    <phoneticPr fontId="2" type="noConversion"/>
  </si>
  <si>
    <t xml:space="preserve">   其中：增值税</t>
    <phoneticPr fontId="2" type="noConversion"/>
  </si>
  <si>
    <t>销售收入回款</t>
    <phoneticPr fontId="2" type="noConversion"/>
  </si>
  <si>
    <t>股东借款财务费用</t>
    <phoneticPr fontId="2" type="noConversion"/>
  </si>
  <si>
    <t>其他财务费用</t>
    <phoneticPr fontId="2" type="noConversion"/>
  </si>
  <si>
    <t>财务费用合计</t>
    <phoneticPr fontId="2" type="noConversion"/>
  </si>
  <si>
    <t>股东借款占比</t>
    <phoneticPr fontId="2" type="noConversion"/>
  </si>
  <si>
    <t>渤海银行</t>
    <phoneticPr fontId="2" type="noConversion"/>
  </si>
  <si>
    <t>其他来源</t>
    <phoneticPr fontId="2" type="noConversion"/>
  </si>
  <si>
    <t>2015年</t>
    <phoneticPr fontId="5" type="noConversion"/>
  </si>
  <si>
    <t>2014年</t>
    <phoneticPr fontId="5" type="noConversion"/>
  </si>
  <si>
    <r>
      <t>2013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 xml:space="preserve"> </t>
    </r>
    <phoneticPr fontId="5" type="noConversion"/>
  </si>
  <si>
    <t>规划建筑面积（平方米）</t>
    <phoneticPr fontId="2" type="noConversion"/>
  </si>
  <si>
    <t xml:space="preserve">          其中：华侨城股东借款</t>
  </si>
  <si>
    <t>渤海银行股东借款</t>
  </si>
  <si>
    <t>央企股东借款</t>
  </si>
  <si>
    <t>超额股东借款</t>
  </si>
  <si>
    <t>渤海银行开发贷款</t>
  </si>
  <si>
    <t>项        目</t>
  </si>
  <si>
    <t>2015年</t>
  </si>
  <si>
    <t>2016年</t>
  </si>
  <si>
    <t>2017年</t>
  </si>
  <si>
    <t>2018年</t>
  </si>
  <si>
    <t>2019年</t>
  </si>
  <si>
    <t>本年还本额合计</t>
    <phoneticPr fontId="2" type="noConversion"/>
  </si>
  <si>
    <t>现有借款情况   2016年6月</t>
    <phoneticPr fontId="2" type="noConversion"/>
  </si>
  <si>
    <r>
      <t>担保情况      201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</t>
    </r>
    <phoneticPr fontId="2" type="noConversion"/>
  </si>
  <si>
    <t>资金来源合计（2＋6）</t>
    <phoneticPr fontId="2" type="noConversion"/>
  </si>
  <si>
    <r>
      <t>资金运用合计（1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~ </t>
    </r>
    <r>
      <rPr>
        <b/>
        <sz val="12"/>
        <rFont val="宋体"/>
        <charset val="134"/>
      </rPr>
      <t>24</t>
    </r>
    <r>
      <rPr>
        <b/>
        <sz val="12"/>
        <rFont val="宋体"/>
        <charset val="134"/>
      </rPr>
      <t>）</t>
    </r>
    <phoneticPr fontId="2" type="noConversion"/>
  </si>
  <si>
    <r>
      <t>盈余资金（1－</t>
    </r>
    <r>
      <rPr>
        <b/>
        <sz val="12"/>
        <rFont val="宋体"/>
        <charset val="134"/>
      </rPr>
      <t>14</t>
    </r>
    <r>
      <rPr>
        <b/>
        <sz val="12"/>
        <rFont val="宋体"/>
        <charset val="134"/>
      </rPr>
      <t>）</t>
    </r>
    <phoneticPr fontId="2" type="noConversion"/>
  </si>
  <si>
    <t>芜湖县梁硕置业有限公司</t>
    <phoneticPr fontId="7" type="noConversion"/>
  </si>
  <si>
    <t>安徽省芜湖市芜湖县荆江路以北 芜湖中路以东 世纪大道以西</t>
    <phoneticPr fontId="7" type="noConversion"/>
  </si>
  <si>
    <t>指标名称</t>
  </si>
  <si>
    <t>指标值</t>
  </si>
  <si>
    <t>单位</t>
  </si>
  <si>
    <t>指标值（㎡）</t>
  </si>
  <si>
    <t>总建筑面积</t>
  </si>
  <si>
    <t>㎡</t>
  </si>
  <si>
    <t>总可售面积</t>
  </si>
  <si>
    <t>批量精装套内面积</t>
  </si>
  <si>
    <t>地上总建筑面积</t>
  </si>
  <si>
    <t>地上总可售面积</t>
  </si>
  <si>
    <t>地下单车位面积（36㎡/车标准）</t>
  </si>
  <si>
    <t>地下总建筑面积</t>
  </si>
  <si>
    <t>地下总可售面积</t>
  </si>
  <si>
    <t>可扣减地下面积</t>
  </si>
  <si>
    <t>可售比</t>
  </si>
  <si>
    <t>%</t>
  </si>
  <si>
    <t>总赠送面积</t>
  </si>
  <si>
    <t>面积计算基础</t>
  </si>
  <si>
    <t>总计容面积</t>
  </si>
  <si>
    <t>地上赠送面积</t>
  </si>
  <si>
    <r>
      <rPr>
        <sz val="10"/>
        <color indexed="63"/>
        <rFont val="微软雅黑"/>
        <family val="2"/>
        <charset val="134"/>
      </rPr>
      <t>单车位面积</t>
    </r>
    <r>
      <rPr>
        <sz val="8"/>
        <color indexed="63"/>
        <rFont val="微软雅黑"/>
        <family val="2"/>
        <charset val="134"/>
      </rPr>
      <t>（㎡/车）</t>
    </r>
  </si>
  <si>
    <t>总持有面积</t>
  </si>
  <si>
    <t>地下赠送面积</t>
  </si>
  <si>
    <t>备注：地下赠送面积产生高溢价才可剔除</t>
  </si>
  <si>
    <t>运营分期/销售分批及业态</t>
  </si>
  <si>
    <t>总建筑面积（㎡）</t>
  </si>
  <si>
    <t>地上建筑面积（㎡）</t>
  </si>
  <si>
    <t>地下建筑面积（㎡）</t>
  </si>
  <si>
    <t>可售/持有面积（㎡）</t>
  </si>
  <si>
    <t>户数/套数</t>
  </si>
  <si>
    <t>毛坯/精装（自销）</t>
  </si>
  <si>
    <t>运营分期/销售分批</t>
  </si>
  <si>
    <t>住宅</t>
  </si>
  <si>
    <t>必填项</t>
  </si>
  <si>
    <t>高层</t>
  </si>
  <si>
    <t>毛坯</t>
  </si>
  <si>
    <t>小高层</t>
  </si>
  <si>
    <t>叠拼别墅</t>
  </si>
  <si>
    <t>商业&amp;办公</t>
  </si>
  <si>
    <t>-</t>
  </si>
  <si>
    <t>商业</t>
  </si>
  <si>
    <t>LOFT</t>
  </si>
  <si>
    <t>公建配套（地上）</t>
  </si>
  <si>
    <t>其他说明</t>
  </si>
  <si>
    <t>配套</t>
  </si>
  <si>
    <r>
      <rPr>
        <b/>
        <sz val="10"/>
        <color indexed="63"/>
        <rFont val="微软雅黑"/>
        <family val="2"/>
        <charset val="134"/>
      </rPr>
      <t>地下面积</t>
    </r>
    <r>
      <rPr>
        <b/>
        <sz val="6"/>
        <color indexed="63"/>
        <rFont val="微软雅黑"/>
        <family val="2"/>
        <charset val="134"/>
      </rPr>
      <t>（车库+其他）</t>
    </r>
  </si>
  <si>
    <t>总车位（个）</t>
  </si>
  <si>
    <t>总可售车位（个）</t>
  </si>
  <si>
    <t>销售储藏间</t>
  </si>
  <si>
    <t>地下非人防地库面积</t>
  </si>
  <si>
    <t>地下普通车位</t>
  </si>
  <si>
    <t>非人防可售车位</t>
  </si>
  <si>
    <t>地下人防地库面积</t>
  </si>
  <si>
    <t>地下机械车位</t>
  </si>
  <si>
    <t>人防可售车位</t>
  </si>
  <si>
    <t>个</t>
  </si>
  <si>
    <t>地下其他面积</t>
  </si>
  <si>
    <t>地上车位</t>
  </si>
  <si>
    <t>其他可售车位</t>
  </si>
  <si>
    <t>计可售面积（㎡）</t>
  </si>
  <si>
    <t>1、项目用地基本指标</t>
  </si>
  <si>
    <t>其他规划条件说明</t>
  </si>
  <si>
    <t>总用地面积</t>
  </si>
  <si>
    <t>建筑密度</t>
  </si>
  <si>
    <t>建设用地面积</t>
  </si>
  <si>
    <t>绿化率</t>
  </si>
  <si>
    <t>代征用地面积</t>
  </si>
  <si>
    <t>建筑限高</t>
  </si>
  <si>
    <t>m</t>
  </si>
  <si>
    <t>用地性质</t>
  </si>
  <si>
    <t>住宅&amp;商业</t>
  </si>
  <si>
    <t>容积率</t>
  </si>
  <si>
    <t>2、技术经济指标</t>
  </si>
  <si>
    <t>AAA；AA；A；BBB；BB</t>
    <phoneticPr fontId="7" type="noConversion"/>
  </si>
  <si>
    <t>按当年净利润的15~20%计</t>
    <phoneticPr fontId="7" type="noConversion"/>
  </si>
  <si>
    <t>按当年净利润的5%计</t>
    <phoneticPr fontId="7" type="noConversion"/>
  </si>
  <si>
    <t>项              目</t>
  </si>
  <si>
    <t>数    据</t>
  </si>
  <si>
    <t>备    注</t>
  </si>
  <si>
    <t>投资方向调节税%</t>
  </si>
  <si>
    <t>教育费附加%</t>
  </si>
  <si>
    <t>城市维护建设税%</t>
  </si>
  <si>
    <t>所得税%</t>
  </si>
  <si>
    <t>项目建设期(年)</t>
    <phoneticPr fontId="2" type="noConversion"/>
  </si>
  <si>
    <t>项目计算期(年)</t>
    <phoneticPr fontId="2" type="noConversion"/>
  </si>
  <si>
    <t>贷款利率%</t>
    <phoneticPr fontId="2" type="noConversion"/>
  </si>
  <si>
    <r>
      <t>基准折现率</t>
    </r>
    <r>
      <rPr>
        <sz val="12"/>
        <rFont val="Times New Roman"/>
        <family val="1"/>
      </rPr>
      <t/>
    </r>
    <phoneticPr fontId="2" type="noConversion"/>
  </si>
  <si>
    <t>增值税率%</t>
    <phoneticPr fontId="7" type="noConversion"/>
  </si>
  <si>
    <t>不可预见费%</t>
    <phoneticPr fontId="2" type="noConversion"/>
  </si>
  <si>
    <t>建安费单方造价元/平方米</t>
    <phoneticPr fontId="2" type="noConversion"/>
  </si>
  <si>
    <t>销售面积为建面的%</t>
    <phoneticPr fontId="7" type="noConversion"/>
  </si>
  <si>
    <t>维修费为折旧的%</t>
    <phoneticPr fontId="2" type="noConversion"/>
  </si>
  <si>
    <t>管理费率%</t>
    <phoneticPr fontId="2" type="noConversion"/>
  </si>
  <si>
    <t>销售费率%</t>
    <phoneticPr fontId="2" type="noConversion"/>
  </si>
  <si>
    <r>
      <t>201</t>
    </r>
    <r>
      <rPr>
        <sz val="12"/>
        <rFont val="宋体"/>
        <charset val="134"/>
      </rPr>
      <t>8</t>
    </r>
    <r>
      <rPr>
        <sz val="12"/>
        <rFont val="宋体"/>
        <charset val="134"/>
      </rPr>
      <t>年末</t>
    </r>
    <phoneticPr fontId="2" type="noConversion"/>
  </si>
  <si>
    <t>2年</t>
    <phoneticPr fontId="2" type="noConversion"/>
  </si>
  <si>
    <r>
      <t>201</t>
    </r>
    <r>
      <rPr>
        <sz val="12"/>
        <rFont val="宋体"/>
        <charset val="134"/>
      </rPr>
      <t>8</t>
    </r>
    <r>
      <rPr>
        <sz val="12"/>
        <rFont val="宋体"/>
        <charset val="134"/>
      </rPr>
      <t>.</t>
    </r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2</t>
    </r>
    <r>
      <rPr>
        <sz val="12"/>
        <rFont val="宋体"/>
        <charset val="134"/>
      </rPr>
      <t>签订</t>
    </r>
    <phoneticPr fontId="2" type="noConversion"/>
  </si>
  <si>
    <t>国有建设用地使用权出让合同[电子监管号：3402212018B00261]</t>
    <phoneticPr fontId="2" type="noConversion"/>
  </si>
  <si>
    <t xml:space="preserve">      附属工程费用</t>
    <phoneticPr fontId="86" type="noConversion"/>
  </si>
  <si>
    <r>
      <t xml:space="preserve">             </t>
    </r>
    <r>
      <rPr>
        <b/>
        <sz val="10"/>
        <rFont val="宋体"/>
        <charset val="134"/>
      </rPr>
      <t>室外工程费用</t>
    </r>
    <phoneticPr fontId="86" type="noConversion"/>
  </si>
  <si>
    <t>五矿信托</t>
    <phoneticPr fontId="2" type="noConversion"/>
  </si>
  <si>
    <t>缴纳信托业保障基金和闲置资金运用</t>
    <phoneticPr fontId="2" type="noConversion"/>
  </si>
  <si>
    <t>权益性出资</t>
    <phoneticPr fontId="2" type="noConversion"/>
  </si>
  <si>
    <t>已投土地保证金</t>
    <phoneticPr fontId="2" type="noConversion"/>
  </si>
  <si>
    <t>南京梁鼎</t>
    <phoneticPr fontId="2" type="noConversion"/>
  </si>
  <si>
    <r>
      <t>2</t>
    </r>
    <r>
      <rPr>
        <sz val="12"/>
        <rFont val="宋体"/>
        <charset val="134"/>
      </rPr>
      <t>018年2季度-2019年2季度</t>
    </r>
    <phoneticPr fontId="2" type="noConversion"/>
  </si>
  <si>
    <t>个</t>
    <phoneticPr fontId="2" type="noConversion"/>
  </si>
  <si>
    <t>增值税总额</t>
    <phoneticPr fontId="2" type="noConversion"/>
  </si>
  <si>
    <t>（四）开发间接费用</t>
    <phoneticPr fontId="2" type="noConversion"/>
  </si>
  <si>
    <t>是</t>
    <phoneticPr fontId="7" type="noConversion"/>
  </si>
  <si>
    <t xml:space="preserve">          其中：五矿信托</t>
    <phoneticPr fontId="2" type="noConversion"/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</si>
  <si>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</si>
  <si>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</si>
  <si>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</si>
  <si>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</si>
  <si>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</si>
  <si>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</si>
  <si>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</si>
  <si>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</si>
  <si>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</si>
  <si>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</si>
  <si>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</si>
  <si>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</si>
  <si>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</si>
  <si>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</si>
  <si>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</si>
  <si>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</si>
  <si>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价值时点/估价期日</t>
  </si>
  <si>
    <t>价值类型</t>
  </si>
  <si>
    <t>总价（万元）</t>
  </si>
  <si>
    <t>楼面单价（元/平方米）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</si>
  <si>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</si>
  <si>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</si>
  <si>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</si>
  <si>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</si>
  <si>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</si>
  <si>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</si>
  <si>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92" type="noConversion"/>
  </si>
  <si>
    <t>项目名称</t>
    <phoneticPr fontId="92" type="noConversion"/>
  </si>
  <si>
    <t>楼面单价（元/平方米）</t>
    <phoneticPr fontId="92" type="noConversion"/>
  </si>
  <si>
    <t>估价对象1（本表）</t>
    <phoneticPr fontId="9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</si>
</sst>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&quot;￥&quot;* #,##0_ ;_ &quot;￥&quot;* \-#,##0_ ;_ &quot;￥&quot;* &quot;-&quot;_ ;_ @_ "/>
    <numFmt numFmtId="165" formatCode="_ * #,##0_ ;_ * \-#,##0_ ;_ * &quot;-&quot;_ ;_ @_ "/>
    <numFmt numFmtId="166" formatCode="_ * #,##0.00_ ;_ * \-#,##0.00_ ;_ * &quot;-&quot;??_ ;_ @_ "/>
    <numFmt numFmtId="167" formatCode="0.00_);[Red]\(0.00\)"/>
    <numFmt numFmtId="168" formatCode="0.0%"/>
    <numFmt numFmtId="169" formatCode="0_ "/>
    <numFmt numFmtId="170" formatCode="0.00_ "/>
    <numFmt numFmtId="171" formatCode="0.000%"/>
    <numFmt numFmtId="172" formatCode="0_);[Red]\(0\)"/>
    <numFmt numFmtId="173" formatCode="0.0_ "/>
    <numFmt numFmtId="174" formatCode="#,##0_ "/>
    <numFmt numFmtId="175" formatCode="0.00_);\(0.00\)"/>
    <numFmt numFmtId="176" formatCode="0.000_);[Red]\(0.000\)"/>
    <numFmt numFmtId="177" formatCode="#,##0.00_ "/>
    <numFmt numFmtId="178" formatCode="_ * #,##0_ ;_ * \-#,##0_ ;_ * &quot;-&quot;??_ ;_ @_ "/>
  </numFmts>
  <fonts count="104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b/>
      <sz val="14"/>
      <name val="宋体"/>
      <charset val="134"/>
    </font>
    <font>
      <b/>
      <sz val="14"/>
      <name val="Times New Roman"/>
      <family val="1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宋体"/>
      <charset val="134"/>
    </font>
    <font>
      <b/>
      <sz val="18"/>
      <name val="宋体"/>
      <charset val="134"/>
    </font>
    <font>
      <sz val="10"/>
      <name val="Times New Roman"/>
      <family val="1"/>
    </font>
    <font>
      <sz val="14"/>
      <name val="宋体"/>
      <charset val="134"/>
    </font>
    <font>
      <sz val="14"/>
      <name val="Times New Roman"/>
      <family val="1"/>
    </font>
    <font>
      <sz val="16"/>
      <name val="宋体"/>
      <charset val="134"/>
    </font>
    <font>
      <sz val="9"/>
      <name val="Times New Roman"/>
      <family val="1"/>
    </font>
    <font>
      <b/>
      <sz val="11"/>
      <name val="宋体"/>
      <charset val="134"/>
    </font>
    <font>
      <b/>
      <sz val="11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宋体"/>
      <charset val="134"/>
    </font>
    <font>
      <sz val="9"/>
      <color indexed="81"/>
      <name val="宋体"/>
      <charset val="134"/>
    </font>
    <font>
      <sz val="9"/>
      <color indexed="81"/>
      <name val="Times New Roman"/>
      <family val="1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b/>
      <sz val="9"/>
      <name val="宋体"/>
      <charset val="134"/>
    </font>
    <font>
      <sz val="12"/>
      <color indexed="9"/>
      <name val="宋体"/>
      <charset val="134"/>
    </font>
    <font>
      <sz val="12"/>
      <color indexed="9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宋体"/>
      <charset val="134"/>
    </font>
    <font>
      <b/>
      <sz val="12"/>
      <color indexed="8"/>
      <name val="Times New Roman"/>
      <family val="1"/>
    </font>
    <font>
      <b/>
      <sz val="10"/>
      <color indexed="8"/>
      <name val="宋体"/>
      <charset val="134"/>
    </font>
    <font>
      <b/>
      <u/>
      <sz val="10"/>
      <name val="宋体"/>
      <charset val="134"/>
    </font>
    <font>
      <sz val="12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color indexed="10"/>
      <name val="Times New Roman"/>
      <family val="1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仿宋_GB2312"/>
      <family val="3"/>
      <charset val="134"/>
    </font>
    <font>
      <sz val="10.5"/>
      <name val="仿宋_GB2312"/>
      <family val="3"/>
      <charset val="134"/>
    </font>
    <font>
      <sz val="10.5"/>
      <name val="楷体_GB2312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color indexed="63"/>
      <name val="微软雅黑"/>
      <family val="2"/>
      <charset val="134"/>
    </font>
    <font>
      <sz val="10"/>
      <color indexed="63"/>
      <name val="微软雅黑"/>
      <family val="2"/>
      <charset val="134"/>
    </font>
    <font>
      <sz val="8"/>
      <color indexed="63"/>
      <name val="微软雅黑"/>
      <family val="2"/>
      <charset val="134"/>
    </font>
    <font>
      <b/>
      <sz val="6"/>
      <color indexed="63"/>
      <name val="微软雅黑"/>
      <family val="2"/>
      <charset val="134"/>
    </font>
    <font>
      <sz val="10"/>
      <name val="宋体"/>
      <charset val="134"/>
    </font>
    <font>
      <sz val="10"/>
      <name val="华文细黑"/>
      <charset val="134"/>
    </font>
    <font>
      <sz val="10"/>
      <color indexed="8"/>
      <name val="华文细黑"/>
      <charset val="134"/>
    </font>
    <font>
      <b/>
      <sz val="10"/>
      <name val="华文细黑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华文细黑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 tint="0.14996795556505021"/>
      <name val="微软雅黑"/>
      <family val="2"/>
      <charset val="134"/>
    </font>
    <font>
      <sz val="10"/>
      <color theme="1" tint="0.14996795556505021"/>
      <name val="微软雅黑"/>
      <family val="2"/>
      <charset val="134"/>
    </font>
    <font>
      <sz val="10"/>
      <color theme="1" tint="0.14996795556505021"/>
      <name val="Arial"/>
      <family val="2"/>
    </font>
    <font>
      <b/>
      <sz val="10"/>
      <color theme="1" tint="0.14996795556505021"/>
      <name val="Arial"/>
      <family val="2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b/>
      <sz val="11"/>
      <color theme="1" tint="0.14996795556505021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0"/>
      <color rgb="FFFF0000"/>
      <name val="宋体"/>
      <charset val="134"/>
    </font>
    <font>
      <sz val="11"/>
      <color rgb="FF666666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medium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6795556505021"/>
      </left>
      <right style="medium">
        <color theme="1" tint="0.149967955565050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6795556505021"/>
      </left>
      <right style="thin">
        <color theme="1" tint="0.149967955565050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medium">
        <color theme="1" tint="0.14996795556505021"/>
      </right>
      <top style="medium">
        <color theme="1" tint="0.14996795556505021"/>
      </top>
      <bottom style="thin">
        <color theme="1" tint="0.1499679555650502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72" fillId="0" borderId="0">
      <alignment vertical="center"/>
    </xf>
    <xf numFmtId="0" fontId="93" fillId="0" borderId="0"/>
    <xf numFmtId="0" fontId="3" fillId="0" borderId="0"/>
    <xf numFmtId="0" fontId="10" fillId="0" borderId="0">
      <alignment vertical="center"/>
    </xf>
    <xf numFmtId="0" fontId="3" fillId="0" borderId="0"/>
    <xf numFmtId="164" fontId="1" fillId="0" borderId="0" applyFont="0" applyFill="0" applyBorder="0" applyAlignment="0" applyProtection="0"/>
    <xf numFmtId="166" fontId="72" fillId="0" borderId="0" applyFont="0" applyFill="0" applyBorder="0" applyAlignment="0" applyProtection="0">
      <alignment vertical="center"/>
    </xf>
  </cellStyleXfs>
  <cellXfs count="962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9" fontId="3" fillId="0" borderId="0" xfId="0" applyNumberFormat="1" applyFont="1"/>
    <xf numFmtId="0" fontId="10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center"/>
    </xf>
    <xf numFmtId="169" fontId="3" fillId="2" borderId="1" xfId="0" applyNumberFormat="1" applyFont="1" applyFill="1" applyBorder="1"/>
    <xf numFmtId="169" fontId="3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3" fillId="2" borderId="0" xfId="0" applyFont="1" applyFill="1"/>
    <xf numFmtId="9" fontId="3" fillId="2" borderId="0" xfId="0" applyNumberFormat="1" applyFont="1" applyFill="1"/>
    <xf numFmtId="9" fontId="3" fillId="2" borderId="0" xfId="0" applyNumberFormat="1" applyFont="1" applyFill="1" applyAlignment="1">
      <alignment horizontal="left"/>
    </xf>
    <xf numFmtId="10" fontId="3" fillId="2" borderId="0" xfId="0" applyNumberFormat="1" applyFont="1" applyFill="1" applyAlignment="1">
      <alignment horizontal="left"/>
    </xf>
    <xf numFmtId="0" fontId="10" fillId="2" borderId="0" xfId="0" applyFont="1" applyFill="1"/>
    <xf numFmtId="0" fontId="1" fillId="2" borderId="1" xfId="0" applyFont="1" applyFill="1" applyBorder="1" applyAlignment="1">
      <alignment horizontal="center"/>
    </xf>
    <xf numFmtId="169" fontId="0" fillId="2" borderId="1" xfId="0" applyNumberFormat="1" applyFill="1" applyBorder="1" applyAlignment="1">
      <alignment horizontal="right"/>
    </xf>
    <xf numFmtId="0" fontId="0" fillId="2" borderId="0" xfId="0" applyFill="1"/>
    <xf numFmtId="170" fontId="3" fillId="2" borderId="0" xfId="0" applyNumberFormat="1" applyFont="1" applyFill="1" applyAlignment="1">
      <alignment horizontal="right"/>
    </xf>
    <xf numFmtId="170" fontId="0" fillId="0" borderId="0" xfId="0" applyNumberFormat="1"/>
    <xf numFmtId="169" fontId="3" fillId="2" borderId="0" xfId="0" applyNumberFormat="1" applyFont="1" applyFill="1" applyAlignment="1">
      <alignment horizontal="right"/>
    </xf>
    <xf numFmtId="169" fontId="19" fillId="2" borderId="1" xfId="0" applyNumberFormat="1" applyFont="1" applyFill="1" applyBorder="1"/>
    <xf numFmtId="0" fontId="20" fillId="2" borderId="1" xfId="0" applyFont="1" applyFill="1" applyBorder="1"/>
    <xf numFmtId="169" fontId="0" fillId="0" borderId="0" xfId="0" applyNumberFormat="1"/>
    <xf numFmtId="0" fontId="1" fillId="2" borderId="0" xfId="0" applyFont="1" applyFill="1"/>
    <xf numFmtId="169" fontId="19" fillId="0" borderId="1" xfId="0" applyNumberFormat="1" applyFont="1" applyFill="1" applyBorder="1"/>
    <xf numFmtId="0" fontId="23" fillId="0" borderId="0" xfId="0" applyFont="1" applyProtection="1"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23" fillId="0" borderId="0" xfId="0" applyFont="1" applyBorder="1" applyProtection="1">
      <protection hidden="1"/>
    </xf>
    <xf numFmtId="0" fontId="23" fillId="3" borderId="1" xfId="0" applyFont="1" applyFill="1" applyBorder="1" applyAlignment="1" applyProtection="1">
      <alignment horizontal="center"/>
      <protection hidden="1"/>
    </xf>
    <xf numFmtId="0" fontId="23" fillId="3" borderId="1" xfId="0" applyFont="1" applyFill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Protection="1">
      <protection hidden="1"/>
    </xf>
    <xf numFmtId="169" fontId="3" fillId="0" borderId="0" xfId="0" applyNumberFormat="1" applyFont="1" applyFill="1" applyBorder="1" applyProtection="1">
      <protection hidden="1"/>
    </xf>
    <xf numFmtId="168" fontId="3" fillId="0" borderId="0" xfId="0" applyNumberFormat="1" applyFont="1" applyFill="1" applyBorder="1" applyProtection="1"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left"/>
      <protection hidden="1"/>
    </xf>
    <xf numFmtId="14" fontId="3" fillId="2" borderId="1" xfId="0" applyNumberFormat="1" applyFont="1" applyFill="1" applyBorder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14" fontId="0" fillId="2" borderId="1" xfId="0" applyNumberFormat="1" applyFill="1" applyBorder="1" applyAlignment="1" applyProtection="1">
      <alignment horizontal="center"/>
      <protection hidden="1"/>
    </xf>
    <xf numFmtId="168" fontId="0" fillId="2" borderId="1" xfId="0" applyNumberFormat="1" applyFont="1" applyFill="1" applyBorder="1" applyProtection="1">
      <protection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0" fontId="0" fillId="2" borderId="2" xfId="0" applyFont="1" applyFill="1" applyBorder="1" applyProtection="1">
      <protection hidden="1"/>
    </xf>
    <xf numFmtId="169" fontId="3" fillId="2" borderId="2" xfId="0" applyNumberFormat="1" applyFont="1" applyFill="1" applyBorder="1" applyProtection="1">
      <protection hidden="1"/>
    </xf>
    <xf numFmtId="9" fontId="3" fillId="2" borderId="1" xfId="0" applyNumberFormat="1" applyFont="1" applyFill="1" applyBorder="1" applyProtection="1">
      <protection hidden="1"/>
    </xf>
    <xf numFmtId="9" fontId="3" fillId="2" borderId="2" xfId="0" applyNumberFormat="1" applyFont="1" applyFill="1" applyBorder="1" applyProtection="1">
      <protection hidden="1"/>
    </xf>
    <xf numFmtId="9" fontId="3" fillId="2" borderId="1" xfId="1" applyNumberFormat="1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169" fontId="3" fillId="2" borderId="1" xfId="0" applyNumberFormat="1" applyFont="1" applyFill="1" applyBorder="1" applyProtection="1">
      <protection hidden="1"/>
    </xf>
    <xf numFmtId="1" fontId="3" fillId="2" borderId="1" xfId="0" applyNumberFormat="1" applyFont="1" applyFill="1" applyBorder="1" applyProtection="1">
      <protection hidden="1"/>
    </xf>
    <xf numFmtId="0" fontId="0" fillId="2" borderId="1" xfId="0" applyFont="1" applyFill="1" applyBorder="1" applyProtection="1">
      <protection hidden="1"/>
    </xf>
    <xf numFmtId="10" fontId="3" fillId="2" borderId="1" xfId="0" applyNumberFormat="1" applyFont="1" applyFill="1" applyBorder="1" applyProtection="1">
      <protection hidden="1"/>
    </xf>
    <xf numFmtId="9" fontId="0" fillId="2" borderId="1" xfId="1" applyFont="1" applyFill="1" applyBorder="1" applyProtection="1">
      <protection hidden="1"/>
    </xf>
    <xf numFmtId="0" fontId="0" fillId="0" borderId="0" xfId="0" applyFont="1" applyFill="1" applyBorder="1" applyProtection="1">
      <protection hidden="1"/>
    </xf>
    <xf numFmtId="9" fontId="3" fillId="0" borderId="0" xfId="0" applyNumberFormat="1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1" xfId="0" applyFill="1" applyBorder="1" applyProtection="1">
      <protection hidden="1"/>
    </xf>
    <xf numFmtId="1" fontId="0" fillId="2" borderId="1" xfId="0" applyNumberFormat="1" applyFont="1" applyFill="1" applyBorder="1" applyAlignment="1" applyProtection="1">
      <protection hidden="1"/>
    </xf>
    <xf numFmtId="0" fontId="0" fillId="2" borderId="3" xfId="0" applyFont="1" applyFill="1" applyBorder="1" applyProtection="1">
      <protection hidden="1"/>
    </xf>
    <xf numFmtId="169" fontId="3" fillId="2" borderId="3" xfId="0" applyNumberFormat="1" applyFont="1" applyFill="1" applyBorder="1" applyProtection="1">
      <protection hidden="1"/>
    </xf>
    <xf numFmtId="9" fontId="3" fillId="2" borderId="3" xfId="0" applyNumberFormat="1" applyFont="1" applyFill="1" applyBorder="1" applyProtection="1">
      <protection hidden="1"/>
    </xf>
    <xf numFmtId="9" fontId="0" fillId="2" borderId="1" xfId="0" applyNumberFormat="1" applyFont="1" applyFill="1" applyBorder="1" applyProtection="1"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3" borderId="1" xfId="0" applyFont="1" applyFill="1" applyBorder="1" applyAlignment="1" applyProtection="1">
      <alignment horizontal="centerContinuous"/>
      <protection hidden="1"/>
    </xf>
    <xf numFmtId="0" fontId="23" fillId="3" borderId="1" xfId="0" applyFont="1" applyFill="1" applyBorder="1" applyAlignment="1" applyProtection="1">
      <alignment horizontal="centerContinuous"/>
      <protection hidden="1"/>
    </xf>
    <xf numFmtId="0" fontId="12" fillId="3" borderId="0" xfId="0" applyFont="1" applyFill="1" applyBorder="1" applyAlignment="1" applyProtection="1">
      <alignment horizontal="centerContinuous"/>
      <protection hidden="1"/>
    </xf>
    <xf numFmtId="0" fontId="23" fillId="3" borderId="0" xfId="0" applyFont="1" applyFill="1" applyBorder="1" applyAlignment="1" applyProtection="1">
      <alignment horizontal="centerContinuous"/>
      <protection hidden="1"/>
    </xf>
    <xf numFmtId="169" fontId="12" fillId="3" borderId="0" xfId="0" applyNumberFormat="1" applyFont="1" applyFill="1" applyBorder="1" applyAlignment="1" applyProtection="1">
      <alignment horizontal="center"/>
      <protection hidden="1"/>
    </xf>
    <xf numFmtId="9" fontId="12" fillId="3" borderId="0" xfId="0" applyNumberFormat="1" applyFont="1" applyFill="1" applyBorder="1" applyAlignment="1" applyProtection="1">
      <alignment horizontal="center"/>
      <protection hidden="1"/>
    </xf>
    <xf numFmtId="169" fontId="23" fillId="3" borderId="1" xfId="0" applyNumberFormat="1" applyFont="1" applyFill="1" applyBorder="1" applyAlignment="1" applyProtection="1">
      <alignment horizontal="center"/>
      <protection hidden="1"/>
    </xf>
    <xf numFmtId="10" fontId="23" fillId="3" borderId="1" xfId="0" applyNumberFormat="1" applyFont="1" applyFill="1" applyBorder="1" applyAlignment="1" applyProtection="1">
      <alignment horizontal="center"/>
      <protection hidden="1"/>
    </xf>
    <xf numFmtId="10" fontId="23" fillId="3" borderId="1" xfId="0" applyNumberFormat="1" applyFont="1" applyFill="1" applyBorder="1" applyProtection="1">
      <protection hidden="1"/>
    </xf>
    <xf numFmtId="1" fontId="26" fillId="0" borderId="0" xfId="6" applyNumberFormat="1" applyFont="1" applyAlignment="1" applyProtection="1">
      <alignment horizontal="centerContinuous"/>
      <protection hidden="1"/>
    </xf>
    <xf numFmtId="0" fontId="12" fillId="0" borderId="0" xfId="6" applyFont="1" applyProtection="1">
      <protection hidden="1"/>
    </xf>
    <xf numFmtId="1" fontId="12" fillId="0" borderId="0" xfId="6" applyNumberFormat="1" applyFont="1" applyAlignment="1" applyProtection="1">
      <alignment horizontal="left"/>
      <protection hidden="1"/>
    </xf>
    <xf numFmtId="1" fontId="12" fillId="0" borderId="4" xfId="6" applyNumberFormat="1" applyFont="1" applyBorder="1" applyProtection="1">
      <protection hidden="1"/>
    </xf>
    <xf numFmtId="1" fontId="12" fillId="0" borderId="0" xfId="6" applyNumberFormat="1" applyFont="1" applyProtection="1">
      <protection hidden="1"/>
    </xf>
    <xf numFmtId="1" fontId="23" fillId="0" borderId="4" xfId="6" applyNumberFormat="1" applyFont="1" applyBorder="1" applyAlignment="1" applyProtection="1">
      <alignment horizontal="center"/>
      <protection hidden="1"/>
    </xf>
    <xf numFmtId="1" fontId="23" fillId="0" borderId="0" xfId="6" applyNumberFormat="1" applyFont="1" applyBorder="1" applyAlignment="1" applyProtection="1">
      <alignment horizontal="center"/>
      <protection hidden="1"/>
    </xf>
    <xf numFmtId="0" fontId="12" fillId="0" borderId="4" xfId="6" applyFont="1" applyBorder="1" applyProtection="1">
      <protection hidden="1"/>
    </xf>
    <xf numFmtId="1" fontId="12" fillId="2" borderId="3" xfId="6" applyNumberFormat="1" applyFont="1" applyFill="1" applyBorder="1" applyAlignment="1" applyProtection="1">
      <alignment horizontal="left"/>
      <protection hidden="1"/>
    </xf>
    <xf numFmtId="1" fontId="23" fillId="2" borderId="0" xfId="6" applyNumberFormat="1" applyFont="1" applyFill="1" applyBorder="1" applyAlignment="1" applyProtection="1">
      <alignment horizontal="centerContinuous"/>
      <protection hidden="1"/>
    </xf>
    <xf numFmtId="1" fontId="12" fillId="2" borderId="5" xfId="6" applyNumberFormat="1" applyFont="1" applyFill="1" applyBorder="1" applyAlignment="1" applyProtection="1">
      <alignment horizontal="left"/>
      <protection hidden="1"/>
    </xf>
    <xf numFmtId="1" fontId="12" fillId="2" borderId="6" xfId="6" applyNumberFormat="1" applyFont="1" applyFill="1" applyBorder="1" applyAlignment="1" applyProtection="1">
      <alignment horizontal="left"/>
      <protection hidden="1"/>
    </xf>
    <xf numFmtId="1" fontId="23" fillId="2" borderId="6" xfId="6" applyNumberFormat="1" applyFont="1" applyFill="1" applyBorder="1" applyAlignment="1" applyProtection="1">
      <alignment horizontal="center"/>
      <protection hidden="1"/>
    </xf>
    <xf numFmtId="1" fontId="23" fillId="2" borderId="1" xfId="6" applyNumberFormat="1" applyFont="1" applyFill="1" applyBorder="1" applyAlignment="1" applyProtection="1">
      <alignment horizontal="center"/>
      <protection hidden="1"/>
    </xf>
    <xf numFmtId="1" fontId="12" fillId="2" borderId="0" xfId="6" applyNumberFormat="1" applyFont="1" applyFill="1" applyBorder="1" applyAlignment="1" applyProtection="1">
      <alignment horizontal="left"/>
      <protection hidden="1"/>
    </xf>
    <xf numFmtId="1" fontId="23" fillId="2" borderId="1" xfId="6" applyNumberFormat="1" applyFont="1" applyFill="1" applyBorder="1" applyProtection="1">
      <protection hidden="1"/>
    </xf>
    <xf numFmtId="169" fontId="12" fillId="2" borderId="1" xfId="6" applyNumberFormat="1" applyFont="1" applyFill="1" applyBorder="1" applyProtection="1">
      <protection hidden="1"/>
    </xf>
    <xf numFmtId="1" fontId="12" fillId="2" borderId="1" xfId="6" applyNumberFormat="1" applyFont="1" applyFill="1" applyBorder="1" applyProtection="1">
      <protection hidden="1"/>
    </xf>
    <xf numFmtId="169" fontId="12" fillId="3" borderId="1" xfId="6" applyNumberFormat="1" applyFont="1" applyFill="1" applyBorder="1" applyProtection="1">
      <protection hidden="1"/>
    </xf>
    <xf numFmtId="169" fontId="12" fillId="0" borderId="1" xfId="6" applyNumberFormat="1" applyFont="1" applyFill="1" applyBorder="1" applyProtection="1">
      <protection hidden="1"/>
    </xf>
    <xf numFmtId="1" fontId="28" fillId="2" borderId="1" xfId="6" applyNumberFormat="1" applyFont="1" applyFill="1" applyBorder="1" applyProtection="1">
      <protection hidden="1"/>
    </xf>
    <xf numFmtId="1" fontId="27" fillId="2" borderId="1" xfId="6" applyNumberFormat="1" applyFont="1" applyFill="1" applyBorder="1" applyProtection="1">
      <protection hidden="1"/>
    </xf>
    <xf numFmtId="1" fontId="12" fillId="2" borderId="1" xfId="6" applyNumberFormat="1" applyFont="1" applyFill="1" applyBorder="1" applyAlignment="1" applyProtection="1">
      <protection hidden="1"/>
    </xf>
    <xf numFmtId="169" fontId="12" fillId="2" borderId="1" xfId="6" applyNumberFormat="1" applyFont="1" applyFill="1" applyBorder="1" applyAlignment="1" applyProtection="1">
      <protection hidden="1"/>
    </xf>
    <xf numFmtId="0" fontId="3" fillId="0" borderId="0" xfId="6" applyFont="1" applyProtection="1">
      <protection hidden="1"/>
    </xf>
    <xf numFmtId="0" fontId="3" fillId="0" borderId="0" xfId="6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2" borderId="1" xfId="0" applyFill="1" applyBorder="1" applyAlignment="1" applyProtection="1">
      <protection hidden="1"/>
    </xf>
    <xf numFmtId="14" fontId="3" fillId="2" borderId="1" xfId="0" applyNumberFormat="1" applyFont="1" applyFill="1" applyBorder="1" applyAlignment="1" applyProtection="1">
      <alignment horizontal="center"/>
      <protection hidden="1"/>
    </xf>
    <xf numFmtId="14" fontId="3" fillId="2" borderId="7" xfId="0" applyNumberFormat="1" applyFont="1" applyFill="1" applyBorder="1" applyAlignment="1" applyProtection="1">
      <alignment horizontal="center"/>
      <protection hidden="1"/>
    </xf>
    <xf numFmtId="169" fontId="0" fillId="2" borderId="1" xfId="0" applyNumberFormat="1" applyFill="1" applyBorder="1" applyProtection="1">
      <protection hidden="1"/>
    </xf>
    <xf numFmtId="169" fontId="0" fillId="2" borderId="7" xfId="0" applyNumberFormat="1" applyFill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23" fillId="3" borderId="3" xfId="0" applyFont="1" applyFill="1" applyBorder="1" applyAlignment="1" applyProtection="1">
      <alignment horizontal="center"/>
      <protection hidden="1"/>
    </xf>
    <xf numFmtId="0" fontId="23" fillId="3" borderId="1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23" fillId="3" borderId="2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0" fontId="12" fillId="0" borderId="0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169" fontId="12" fillId="0" borderId="0" xfId="0" applyNumberFormat="1" applyFont="1" applyFill="1" applyBorder="1" applyProtection="1">
      <protection hidden="1"/>
    </xf>
    <xf numFmtId="0" fontId="23" fillId="0" borderId="0" xfId="0" applyFont="1" applyFill="1" applyBorder="1" applyProtection="1"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169" fontId="12" fillId="0" borderId="0" xfId="0" applyNumberFormat="1" applyFont="1" applyFill="1" applyBorder="1" applyAlignment="1" applyProtection="1">
      <alignment horizontal="center"/>
      <protection hidden="1"/>
    </xf>
    <xf numFmtId="10" fontId="12" fillId="0" borderId="0" xfId="0" applyNumberFormat="1" applyFont="1" applyFill="1" applyBorder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10" fontId="3" fillId="0" borderId="0" xfId="0" applyNumberFormat="1" applyFont="1" applyProtection="1">
      <protection hidden="1"/>
    </xf>
    <xf numFmtId="0" fontId="10" fillId="3" borderId="0" xfId="0" applyFont="1" applyFill="1" applyProtection="1">
      <protection hidden="1"/>
    </xf>
    <xf numFmtId="0" fontId="10" fillId="3" borderId="1" xfId="0" applyFont="1" applyFill="1" applyBorder="1" applyProtection="1"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169" fontId="3" fillId="0" borderId="0" xfId="0" applyNumberFormat="1" applyFont="1" applyProtection="1">
      <protection hidden="1"/>
    </xf>
    <xf numFmtId="0" fontId="0" fillId="2" borderId="0" xfId="0" applyFill="1" applyProtection="1">
      <protection hidden="1"/>
    </xf>
    <xf numFmtId="0" fontId="29" fillId="4" borderId="2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10" fontId="23" fillId="0" borderId="0" xfId="0" applyNumberFormat="1" applyFont="1" applyProtection="1">
      <protection hidden="1"/>
    </xf>
    <xf numFmtId="0" fontId="23" fillId="0" borderId="1" xfId="0" applyFont="1" applyBorder="1" applyProtection="1">
      <protection hidden="1"/>
    </xf>
    <xf numFmtId="0" fontId="32" fillId="0" borderId="0" xfId="0" applyFont="1" applyProtection="1">
      <protection hidden="1"/>
    </xf>
    <xf numFmtId="10" fontId="32" fillId="0" borderId="0" xfId="0" applyNumberFormat="1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0" fillId="3" borderId="7" xfId="0" applyFont="1" applyFill="1" applyBorder="1" applyAlignment="1" applyProtection="1">
      <alignment horizontal="center"/>
      <protection hidden="1"/>
    </xf>
    <xf numFmtId="0" fontId="10" fillId="3" borderId="8" xfId="0" applyFont="1" applyFill="1" applyBorder="1" applyAlignment="1" applyProtection="1">
      <alignment horizontal="center"/>
      <protection hidden="1"/>
    </xf>
    <xf numFmtId="0" fontId="34" fillId="4" borderId="1" xfId="0" applyFont="1" applyFill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9" fontId="3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70" fontId="3" fillId="0" borderId="0" xfId="0" applyNumberFormat="1" applyFont="1" applyProtection="1">
      <protection hidden="1"/>
    </xf>
    <xf numFmtId="0" fontId="30" fillId="0" borderId="0" xfId="0" applyFont="1" applyFill="1" applyProtection="1">
      <protection hidden="1"/>
    </xf>
    <xf numFmtId="0" fontId="3" fillId="0" borderId="7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Continuous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0" fillId="0" borderId="0" xfId="0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2" fillId="2" borderId="10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0" fillId="0" borderId="15" xfId="0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2" fillId="2" borderId="5" xfId="0" applyFont="1" applyFill="1" applyBorder="1" applyAlignment="1" applyProtection="1">
      <alignment wrapText="1"/>
      <protection hidden="1"/>
    </xf>
    <xf numFmtId="0" fontId="2" fillId="2" borderId="7" xfId="0" applyFont="1" applyFill="1" applyBorder="1" applyAlignment="1" applyProtection="1">
      <alignment wrapText="1"/>
      <protection hidden="1"/>
    </xf>
    <xf numFmtId="0" fontId="2" fillId="2" borderId="10" xfId="0" applyFont="1" applyFill="1" applyBorder="1" applyAlignment="1" applyProtection="1">
      <alignment wrapText="1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1" fontId="3" fillId="2" borderId="8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9" fontId="0" fillId="2" borderId="1" xfId="0" applyNumberForma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9" fontId="3" fillId="2" borderId="0" xfId="0" applyNumberFormat="1" applyFont="1" applyFill="1" applyProtection="1">
      <protection hidden="1"/>
    </xf>
    <xf numFmtId="0" fontId="10" fillId="2" borderId="1" xfId="0" applyFont="1" applyFill="1" applyBorder="1" applyProtection="1"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169" fontId="0" fillId="0" borderId="0" xfId="0" applyNumberFormat="1" applyProtection="1">
      <protection hidden="1"/>
    </xf>
    <xf numFmtId="0" fontId="20" fillId="2" borderId="1" xfId="0" applyFont="1" applyFill="1" applyBorder="1" applyProtection="1">
      <protection hidden="1"/>
    </xf>
    <xf numFmtId="169" fontId="0" fillId="2" borderId="1" xfId="0" applyNumberFormat="1" applyFill="1" applyBorder="1" applyAlignment="1" applyProtection="1">
      <alignment horizontal="right"/>
      <protection hidden="1"/>
    </xf>
    <xf numFmtId="9" fontId="3" fillId="2" borderId="0" xfId="0" applyNumberFormat="1" applyFont="1" applyFill="1" applyAlignment="1" applyProtection="1">
      <alignment horizontal="left"/>
      <protection hidden="1"/>
    </xf>
    <xf numFmtId="169" fontId="3" fillId="2" borderId="0" xfId="0" applyNumberFormat="1" applyFont="1" applyFill="1" applyAlignment="1" applyProtection="1">
      <alignment horizontal="right"/>
      <protection hidden="1"/>
    </xf>
    <xf numFmtId="10" fontId="3" fillId="2" borderId="0" xfId="0" applyNumberFormat="1" applyFont="1" applyFill="1" applyAlignment="1" applyProtection="1">
      <alignment horizontal="left"/>
      <protection hidden="1"/>
    </xf>
    <xf numFmtId="170" fontId="3" fillId="2" borderId="0" xfId="0" applyNumberFormat="1" applyFont="1" applyFill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169" fontId="10" fillId="3" borderId="1" xfId="0" applyNumberFormat="1" applyFont="1" applyFill="1" applyBorder="1" applyAlignment="1" applyProtection="1">
      <alignment horizontal="center"/>
      <protection hidden="1"/>
    </xf>
    <xf numFmtId="10" fontId="3" fillId="0" borderId="0" xfId="0" applyNumberFormat="1" applyFont="1" applyAlignment="1" applyProtection="1">
      <alignment horizontal="center"/>
      <protection hidden="1"/>
    </xf>
    <xf numFmtId="170" fontId="0" fillId="0" borderId="1" xfId="0" applyNumberFormat="1" applyBorder="1" applyProtection="1">
      <protection hidden="1"/>
    </xf>
    <xf numFmtId="170" fontId="0" fillId="0" borderId="7" xfId="0" applyNumberFormat="1" applyBorder="1" applyProtection="1">
      <protection hidden="1"/>
    </xf>
    <xf numFmtId="170" fontId="0" fillId="2" borderId="1" xfId="0" applyNumberFormat="1" applyFill="1" applyBorder="1" applyProtection="1">
      <protection hidden="1"/>
    </xf>
    <xf numFmtId="170" fontId="0" fillId="2" borderId="7" xfId="0" applyNumberForma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169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9" fontId="0" fillId="0" borderId="1" xfId="0" applyNumberFormat="1" applyBorder="1" applyProtection="1">
      <protection hidden="1"/>
    </xf>
    <xf numFmtId="0" fontId="17" fillId="0" borderId="1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0" fontId="3" fillId="0" borderId="2" xfId="0" applyFont="1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protection hidden="1"/>
    </xf>
    <xf numFmtId="0" fontId="0" fillId="0" borderId="11" xfId="0" applyBorder="1" applyProtection="1">
      <protection hidden="1"/>
    </xf>
    <xf numFmtId="0" fontId="0" fillId="0" borderId="14" xfId="0" applyBorder="1" applyProtection="1">
      <protection hidden="1"/>
    </xf>
    <xf numFmtId="0" fontId="8" fillId="0" borderId="1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12" xfId="0" applyFont="1" applyBorder="1" applyProtection="1">
      <protection hidden="1"/>
    </xf>
    <xf numFmtId="0" fontId="8" fillId="0" borderId="1" xfId="0" applyFont="1" applyBorder="1" applyAlignment="1" applyProtection="1">
      <protection hidden="1"/>
    </xf>
    <xf numFmtId="0" fontId="10" fillId="0" borderId="4" xfId="0" applyFont="1" applyBorder="1" applyProtection="1">
      <protection hidden="1"/>
    </xf>
    <xf numFmtId="0" fontId="10" fillId="0" borderId="14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0" borderId="10" xfId="0" applyFont="1" applyBorder="1" applyProtection="1">
      <protection hidden="1"/>
    </xf>
    <xf numFmtId="0" fontId="10" fillId="0" borderId="5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23" fillId="0" borderId="1" xfId="0" applyFont="1" applyBorder="1" applyAlignment="1" applyProtection="1">
      <alignment vertical="center" wrapText="1"/>
      <protection hidden="1"/>
    </xf>
    <xf numFmtId="10" fontId="23" fillId="0" borderId="1" xfId="0" applyNumberFormat="1" applyFont="1" applyBorder="1" applyAlignment="1" applyProtection="1">
      <alignment vertical="center" wrapText="1"/>
      <protection hidden="1"/>
    </xf>
    <xf numFmtId="170" fontId="23" fillId="0" borderId="1" xfId="0" applyNumberFormat="1" applyFont="1" applyBorder="1" applyAlignment="1" applyProtection="1">
      <alignment vertical="center" wrapText="1"/>
      <protection hidden="1"/>
    </xf>
    <xf numFmtId="172" fontId="23" fillId="0" borderId="1" xfId="0" applyNumberFormat="1" applyFont="1" applyBorder="1" applyAlignment="1" applyProtection="1">
      <alignment vertical="center" wrapText="1"/>
      <protection hidden="1"/>
    </xf>
    <xf numFmtId="10" fontId="0" fillId="2" borderId="1" xfId="0" applyNumberFormat="1" applyFill="1" applyBorder="1" applyAlignment="1" applyProtection="1">
      <alignment vertical="center" wrapText="1"/>
      <protection hidden="1"/>
    </xf>
    <xf numFmtId="10" fontId="3" fillId="2" borderId="1" xfId="1" applyNumberFormat="1" applyFont="1" applyFill="1" applyBorder="1" applyProtection="1">
      <protection hidden="1"/>
    </xf>
    <xf numFmtId="10" fontId="3" fillId="0" borderId="0" xfId="0" applyNumberFormat="1" applyFont="1" applyFill="1" applyProtection="1">
      <protection hidden="1"/>
    </xf>
    <xf numFmtId="10" fontId="3" fillId="2" borderId="0" xfId="0" applyNumberFormat="1" applyFont="1" applyFill="1" applyProtection="1">
      <protection hidden="1"/>
    </xf>
    <xf numFmtId="167" fontId="23" fillId="0" borderId="1" xfId="6" applyNumberFormat="1" applyFont="1" applyBorder="1" applyProtection="1">
      <protection hidden="1"/>
    </xf>
    <xf numFmtId="1" fontId="36" fillId="0" borderId="0" xfId="6" applyNumberFormat="1" applyFont="1" applyAlignment="1" applyProtection="1">
      <alignment horizontal="centerContinuous"/>
      <protection hidden="1"/>
    </xf>
    <xf numFmtId="1" fontId="23" fillId="0" borderId="0" xfId="6" applyNumberFormat="1" applyFont="1" applyProtection="1">
      <protection hidden="1"/>
    </xf>
    <xf numFmtId="169" fontId="23" fillId="2" borderId="1" xfId="6" applyNumberFormat="1" applyFont="1" applyFill="1" applyBorder="1" applyProtection="1">
      <protection hidden="1"/>
    </xf>
    <xf numFmtId="167" fontId="23" fillId="2" borderId="1" xfId="6" applyNumberFormat="1" applyFont="1" applyFill="1" applyBorder="1" applyProtection="1">
      <protection hidden="1"/>
    </xf>
    <xf numFmtId="167" fontId="23" fillId="0" borderId="1" xfId="6" applyNumberFormat="1" applyFont="1" applyBorder="1" applyAlignment="1" applyProtection="1">
      <alignment horizontal="right"/>
      <protection hidden="1"/>
    </xf>
    <xf numFmtId="169" fontId="23" fillId="0" borderId="1" xfId="6" applyNumberFormat="1" applyFont="1" applyBorder="1" applyProtection="1">
      <protection hidden="1"/>
    </xf>
    <xf numFmtId="0" fontId="23" fillId="0" borderId="0" xfId="6" applyFont="1" applyProtection="1">
      <protection hidden="1"/>
    </xf>
    <xf numFmtId="1" fontId="23" fillId="0" borderId="0" xfId="6" applyNumberFormat="1" applyFont="1" applyAlignment="1" applyProtection="1">
      <alignment horizontal="centerContinuous"/>
      <protection hidden="1"/>
    </xf>
    <xf numFmtId="1" fontId="23" fillId="0" borderId="4" xfId="6" applyNumberFormat="1" applyFont="1" applyBorder="1" applyProtection="1">
      <protection hidden="1"/>
    </xf>
    <xf numFmtId="0" fontId="23" fillId="2" borderId="0" xfId="6" applyNumberFormat="1" applyFont="1" applyFill="1" applyBorder="1" applyAlignment="1" applyProtection="1">
      <alignment horizontal="center"/>
      <protection hidden="1"/>
    </xf>
    <xf numFmtId="1" fontId="23" fillId="2" borderId="0" xfId="6" applyNumberFormat="1" applyFont="1" applyFill="1" applyBorder="1" applyAlignment="1" applyProtection="1">
      <alignment horizontal="center"/>
      <protection hidden="1"/>
    </xf>
    <xf numFmtId="14" fontId="23" fillId="2" borderId="6" xfId="6" applyNumberFormat="1" applyFont="1" applyFill="1" applyBorder="1" applyAlignment="1" applyProtection="1">
      <alignment horizontal="center"/>
      <protection hidden="1"/>
    </xf>
    <xf numFmtId="170" fontId="23" fillId="2" borderId="1" xfId="6" applyNumberFormat="1" applyFont="1" applyFill="1" applyBorder="1" applyProtection="1">
      <protection hidden="1"/>
    </xf>
    <xf numFmtId="0" fontId="23" fillId="0" borderId="0" xfId="6" applyFont="1" applyBorder="1" applyProtection="1">
      <protection hidden="1"/>
    </xf>
    <xf numFmtId="169" fontId="23" fillId="2" borderId="1" xfId="6" applyNumberFormat="1" applyFont="1" applyFill="1" applyBorder="1" applyAlignment="1" applyProtection="1">
      <protection hidden="1"/>
    </xf>
    <xf numFmtId="0" fontId="23" fillId="0" borderId="4" xfId="6" applyFont="1" applyBorder="1" applyProtection="1">
      <protection hidden="1"/>
    </xf>
    <xf numFmtId="1" fontId="12" fillId="2" borderId="1" xfId="6" applyNumberFormat="1" applyFont="1" applyFill="1" applyBorder="1" applyAlignment="1" applyProtection="1">
      <alignment horizontal="left"/>
      <protection hidden="1"/>
    </xf>
    <xf numFmtId="14" fontId="23" fillId="0" borderId="3" xfId="6" applyNumberFormat="1" applyFont="1" applyFill="1" applyBorder="1" applyAlignment="1" applyProtection="1">
      <alignment horizontal="center"/>
      <protection hidden="1"/>
    </xf>
    <xf numFmtId="1" fontId="23" fillId="2" borderId="2" xfId="6" applyNumberFormat="1" applyFont="1" applyFill="1" applyBorder="1" applyAlignment="1" applyProtection="1">
      <alignment horizontal="center"/>
      <protection hidden="1"/>
    </xf>
    <xf numFmtId="169" fontId="23" fillId="2" borderId="2" xfId="6" applyNumberFormat="1" applyFont="1" applyFill="1" applyBorder="1" applyProtection="1">
      <protection hidden="1"/>
    </xf>
    <xf numFmtId="14" fontId="23" fillId="2" borderId="1" xfId="6" applyNumberFormat="1" applyFont="1" applyFill="1" applyBorder="1" applyAlignment="1" applyProtection="1">
      <alignment horizontal="center"/>
      <protection hidden="1"/>
    </xf>
    <xf numFmtId="0" fontId="23" fillId="2" borderId="1" xfId="6" applyFont="1" applyFill="1" applyBorder="1" applyProtection="1">
      <protection hidden="1"/>
    </xf>
    <xf numFmtId="0" fontId="23" fillId="0" borderId="1" xfId="6" applyFont="1" applyBorder="1" applyProtection="1">
      <protection hidden="1"/>
    </xf>
    <xf numFmtId="0" fontId="10" fillId="0" borderId="0" xfId="6" applyFont="1" applyProtection="1">
      <protection hidden="1"/>
    </xf>
    <xf numFmtId="0" fontId="4" fillId="0" borderId="0" xfId="6" applyFont="1" applyAlignment="1" applyProtection="1">
      <alignment horizontal="centerContinuous"/>
      <protection hidden="1"/>
    </xf>
    <xf numFmtId="0" fontId="14" fillId="0" borderId="0" xfId="6" applyFont="1" applyAlignment="1" applyProtection="1">
      <alignment horizontal="centerContinuous"/>
      <protection hidden="1"/>
    </xf>
    <xf numFmtId="0" fontId="13" fillId="0" borderId="0" xfId="6" applyFont="1" applyAlignment="1" applyProtection="1">
      <alignment horizontal="centerContinuous"/>
      <protection hidden="1"/>
    </xf>
    <xf numFmtId="0" fontId="14" fillId="0" borderId="0" xfId="6" applyFont="1" applyProtection="1">
      <protection hidden="1"/>
    </xf>
    <xf numFmtId="0" fontId="14" fillId="0" borderId="4" xfId="6" applyFont="1" applyBorder="1" applyAlignment="1" applyProtection="1">
      <alignment horizontal="left"/>
      <protection hidden="1"/>
    </xf>
    <xf numFmtId="0" fontId="14" fillId="0" borderId="4" xfId="6" applyFont="1" applyBorder="1" applyProtection="1">
      <protection hidden="1"/>
    </xf>
    <xf numFmtId="0" fontId="14" fillId="0" borderId="4" xfId="6" applyFont="1" applyBorder="1" applyAlignment="1" applyProtection="1">
      <alignment horizontal="center"/>
      <protection hidden="1"/>
    </xf>
    <xf numFmtId="0" fontId="13" fillId="0" borderId="4" xfId="6" applyFont="1" applyBorder="1" applyProtection="1">
      <protection hidden="1"/>
    </xf>
    <xf numFmtId="0" fontId="13" fillId="0" borderId="0" xfId="6" applyFont="1" applyBorder="1" applyProtection="1">
      <protection hidden="1"/>
    </xf>
    <xf numFmtId="0" fontId="13" fillId="2" borderId="3" xfId="6" applyFont="1" applyFill="1" applyBorder="1" applyAlignment="1" applyProtection="1">
      <alignment horizontal="center"/>
      <protection hidden="1"/>
    </xf>
    <xf numFmtId="0" fontId="14" fillId="2" borderId="0" xfId="6" applyFont="1" applyFill="1" applyBorder="1" applyAlignment="1" applyProtection="1">
      <alignment horizontal="left"/>
      <protection hidden="1"/>
    </xf>
    <xf numFmtId="1" fontId="13" fillId="2" borderId="3" xfId="6" applyNumberFormat="1" applyFont="1" applyFill="1" applyBorder="1" applyAlignment="1" applyProtection="1">
      <alignment horizontal="center"/>
      <protection hidden="1"/>
    </xf>
    <xf numFmtId="14" fontId="13" fillId="2" borderId="3" xfId="6" applyNumberFormat="1" applyFont="1" applyFill="1" applyBorder="1" applyAlignment="1" applyProtection="1">
      <alignment horizontal="center"/>
      <protection hidden="1"/>
    </xf>
    <xf numFmtId="14" fontId="13" fillId="2" borderId="3" xfId="6" applyNumberFormat="1" applyFont="1" applyFill="1" applyBorder="1" applyAlignment="1" applyProtection="1">
      <alignment horizontal="centerContinuous"/>
      <protection hidden="1"/>
    </xf>
    <xf numFmtId="0" fontId="14" fillId="0" borderId="0" xfId="6" applyFont="1" applyBorder="1" applyProtection="1">
      <protection hidden="1"/>
    </xf>
    <xf numFmtId="0" fontId="13" fillId="2" borderId="15" xfId="6" applyFont="1" applyFill="1" applyBorder="1" applyAlignment="1" applyProtection="1">
      <alignment horizontal="center"/>
      <protection hidden="1"/>
    </xf>
    <xf numFmtId="1" fontId="14" fillId="2" borderId="0" xfId="6" applyNumberFormat="1" applyFont="1" applyFill="1" applyBorder="1" applyAlignment="1" applyProtection="1">
      <alignment horizontal="left"/>
      <protection hidden="1"/>
    </xf>
    <xf numFmtId="169" fontId="13" fillId="2" borderId="2" xfId="6" applyNumberFormat="1" applyFont="1" applyFill="1" applyBorder="1" applyAlignment="1" applyProtection="1">
      <alignment horizontal="center"/>
      <protection hidden="1"/>
    </xf>
    <xf numFmtId="1" fontId="13" fillId="2" borderId="1" xfId="6" applyNumberFormat="1" applyFont="1" applyFill="1" applyBorder="1" applyAlignment="1" applyProtection="1">
      <alignment horizontal="center"/>
      <protection hidden="1"/>
    </xf>
    <xf numFmtId="1" fontId="13" fillId="2" borderId="6" xfId="6" applyNumberFormat="1" applyFont="1" applyFill="1" applyBorder="1" applyAlignment="1" applyProtection="1">
      <alignment horizontal="center"/>
      <protection hidden="1"/>
    </xf>
    <xf numFmtId="1" fontId="13" fillId="2" borderId="2" xfId="6" applyNumberFormat="1" applyFont="1" applyFill="1" applyBorder="1" applyAlignment="1" applyProtection="1">
      <alignment horizontal="right"/>
      <protection hidden="1"/>
    </xf>
    <xf numFmtId="0" fontId="14" fillId="2" borderId="1" xfId="6" quotePrefix="1" applyFont="1" applyFill="1" applyBorder="1" applyAlignment="1" applyProtection="1">
      <alignment horizontal="center"/>
      <protection hidden="1"/>
    </xf>
    <xf numFmtId="1" fontId="13" fillId="2" borderId="1" xfId="6" applyNumberFormat="1" applyFont="1" applyFill="1" applyBorder="1" applyProtection="1">
      <protection hidden="1"/>
    </xf>
    <xf numFmtId="169" fontId="14" fillId="2" borderId="2" xfId="6" applyNumberFormat="1" applyFont="1" applyFill="1" applyBorder="1" applyAlignment="1" applyProtection="1">
      <alignment horizontal="center"/>
      <protection hidden="1"/>
    </xf>
    <xf numFmtId="169" fontId="14" fillId="2" borderId="0" xfId="6" applyNumberFormat="1" applyFont="1" applyFill="1" applyBorder="1" applyProtection="1">
      <protection hidden="1"/>
    </xf>
    <xf numFmtId="167" fontId="13" fillId="0" borderId="1" xfId="6" applyNumberFormat="1" applyFont="1" applyFill="1" applyBorder="1" applyProtection="1">
      <protection hidden="1"/>
    </xf>
    <xf numFmtId="1" fontId="14" fillId="2" borderId="1" xfId="6" applyNumberFormat="1" applyFont="1" applyFill="1" applyBorder="1" applyProtection="1">
      <protection hidden="1"/>
    </xf>
    <xf numFmtId="169" fontId="14" fillId="2" borderId="1" xfId="6" applyNumberFormat="1" applyFont="1" applyFill="1" applyBorder="1" applyAlignment="1" applyProtection="1">
      <alignment horizontal="center"/>
      <protection hidden="1"/>
    </xf>
    <xf numFmtId="169" fontId="14" fillId="2" borderId="1" xfId="6" applyNumberFormat="1" applyFont="1" applyFill="1" applyBorder="1" applyProtection="1">
      <protection hidden="1"/>
    </xf>
    <xf numFmtId="167" fontId="13" fillId="0" borderId="1" xfId="6" applyNumberFormat="1" applyFont="1" applyBorder="1" applyProtection="1">
      <protection hidden="1"/>
    </xf>
    <xf numFmtId="167" fontId="13" fillId="2" borderId="1" xfId="6" applyNumberFormat="1" applyFont="1" applyFill="1" applyBorder="1" applyProtection="1">
      <protection hidden="1"/>
    </xf>
    <xf numFmtId="0" fontId="13" fillId="2" borderId="1" xfId="6" applyFont="1" applyFill="1" applyBorder="1" applyProtection="1">
      <protection hidden="1"/>
    </xf>
    <xf numFmtId="9" fontId="14" fillId="2" borderId="1" xfId="6" applyNumberFormat="1" applyFont="1" applyFill="1" applyBorder="1" applyAlignment="1" applyProtection="1">
      <alignment horizontal="center"/>
      <protection hidden="1"/>
    </xf>
    <xf numFmtId="9" fontId="14" fillId="2" borderId="1" xfId="6" applyNumberFormat="1" applyFont="1" applyFill="1" applyBorder="1" applyProtection="1">
      <protection hidden="1"/>
    </xf>
    <xf numFmtId="9" fontId="13" fillId="2" borderId="1" xfId="6" applyNumberFormat="1" applyFont="1" applyFill="1" applyBorder="1" applyProtection="1">
      <protection hidden="1"/>
    </xf>
    <xf numFmtId="0" fontId="14" fillId="0" borderId="0" xfId="6" applyFont="1" applyAlignment="1" applyProtection="1">
      <alignment horizontal="center"/>
      <protection hidden="1"/>
    </xf>
    <xf numFmtId="0" fontId="13" fillId="0" borderId="0" xfId="6" applyFont="1" applyProtection="1">
      <protection hidden="1"/>
    </xf>
    <xf numFmtId="170" fontId="0" fillId="3" borderId="1" xfId="0" applyNumberFormat="1" applyFill="1" applyBorder="1" applyProtection="1">
      <protection hidden="1"/>
    </xf>
    <xf numFmtId="10" fontId="23" fillId="0" borderId="0" xfId="0" applyNumberFormat="1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center"/>
      <protection hidden="1"/>
    </xf>
    <xf numFmtId="169" fontId="23" fillId="0" borderId="0" xfId="0" applyNumberFormat="1" applyFont="1" applyBorder="1" applyAlignment="1" applyProtection="1">
      <alignment horizontal="center"/>
      <protection hidden="1"/>
    </xf>
    <xf numFmtId="10" fontId="12" fillId="0" borderId="0" xfId="0" applyNumberFormat="1" applyFont="1" applyBorder="1" applyAlignment="1" applyProtection="1">
      <alignment horizontal="center"/>
      <protection hidden="1"/>
    </xf>
    <xf numFmtId="172" fontId="29" fillId="4" borderId="1" xfId="0" applyNumberFormat="1" applyFont="1" applyFill="1" applyBorder="1" applyAlignment="1" applyProtection="1">
      <alignment horizontal="center"/>
      <protection hidden="1"/>
    </xf>
    <xf numFmtId="0" fontId="12" fillId="0" borderId="0" xfId="6" applyFont="1" applyAlignment="1" applyProtection="1">
      <alignment horizontal="center"/>
      <protection hidden="1"/>
    </xf>
    <xf numFmtId="0" fontId="23" fillId="0" borderId="1" xfId="6" applyFont="1" applyBorder="1" applyAlignment="1" applyProtection="1">
      <alignment horizontal="center"/>
      <protection hidden="1"/>
    </xf>
    <xf numFmtId="0" fontId="12" fillId="0" borderId="1" xfId="6" applyFont="1" applyBorder="1" applyAlignment="1" applyProtection="1">
      <alignment horizontal="center"/>
      <protection hidden="1"/>
    </xf>
    <xf numFmtId="0" fontId="23" fillId="0" borderId="0" xfId="6" applyFont="1" applyBorder="1" applyAlignment="1" applyProtection="1">
      <alignment horizontal="center"/>
      <protection hidden="1"/>
    </xf>
    <xf numFmtId="0" fontId="12" fillId="0" borderId="0" xfId="6" applyFont="1" applyBorder="1" applyAlignment="1" applyProtection="1">
      <alignment horizontal="center"/>
      <protection hidden="1"/>
    </xf>
    <xf numFmtId="0" fontId="12" fillId="0" borderId="0" xfId="6" applyFont="1" applyBorder="1" applyProtection="1">
      <protection hidden="1"/>
    </xf>
    <xf numFmtId="167" fontId="12" fillId="0" borderId="0" xfId="6" applyNumberFormat="1" applyFont="1" applyBorder="1" applyAlignment="1" applyProtection="1">
      <alignment horizontal="center"/>
      <protection hidden="1"/>
    </xf>
    <xf numFmtId="167" fontId="23" fillId="0" borderId="1" xfId="0" applyNumberFormat="1" applyFont="1" applyBorder="1" applyAlignment="1" applyProtection="1">
      <alignment vertical="center" wrapText="1"/>
      <protection hidden="1"/>
    </xf>
    <xf numFmtId="176" fontId="14" fillId="0" borderId="1" xfId="6" applyNumberFormat="1" applyFont="1" applyBorder="1" applyProtection="1">
      <protection hidden="1"/>
    </xf>
    <xf numFmtId="175" fontId="27" fillId="0" borderId="0" xfId="0" applyNumberFormat="1" applyFont="1" applyBorder="1" applyAlignment="1">
      <alignment horizontal="center"/>
    </xf>
    <xf numFmtId="170" fontId="14" fillId="0" borderId="1" xfId="6" applyNumberFormat="1" applyFont="1" applyFill="1" applyBorder="1" applyProtection="1">
      <protection hidden="1"/>
    </xf>
    <xf numFmtId="0" fontId="32" fillId="0" borderId="0" xfId="0" applyFont="1" applyBorder="1" applyProtection="1">
      <protection hidden="1"/>
    </xf>
    <xf numFmtId="0" fontId="3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0" fontId="27" fillId="3" borderId="1" xfId="6" applyNumberFormat="1" applyFont="1" applyFill="1" applyBorder="1" applyAlignment="1" applyProtection="1">
      <alignment horizontal="center"/>
      <protection hidden="1"/>
    </xf>
    <xf numFmtId="170" fontId="34" fillId="4" borderId="1" xfId="0" applyNumberFormat="1" applyFont="1" applyFill="1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center"/>
      <protection hidden="1"/>
    </xf>
    <xf numFmtId="10" fontId="28" fillId="0" borderId="0" xfId="0" applyNumberFormat="1" applyFont="1" applyAlignment="1" applyProtection="1">
      <alignment horizontal="center"/>
      <protection hidden="1"/>
    </xf>
    <xf numFmtId="10" fontId="28" fillId="0" borderId="0" xfId="0" applyNumberFormat="1" applyFont="1" applyBorder="1" applyAlignment="1" applyProtection="1">
      <alignment horizontal="center"/>
      <protection hidden="1"/>
    </xf>
    <xf numFmtId="0" fontId="27" fillId="0" borderId="1" xfId="0" applyFont="1" applyBorder="1" applyAlignment="1" applyProtection="1">
      <alignment horizontal="center"/>
      <protection hidden="1"/>
    </xf>
    <xf numFmtId="10" fontId="3" fillId="0" borderId="0" xfId="0" applyNumberFormat="1" applyFont="1" applyBorder="1" applyProtection="1">
      <protection hidden="1"/>
    </xf>
    <xf numFmtId="14" fontId="23" fillId="3" borderId="1" xfId="0" applyNumberFormat="1" applyFont="1" applyFill="1" applyBorder="1" applyAlignment="1" applyProtection="1">
      <alignment horizontal="center"/>
      <protection hidden="1"/>
    </xf>
    <xf numFmtId="9" fontId="23" fillId="3" borderId="1" xfId="0" applyNumberFormat="1" applyFont="1" applyFill="1" applyBorder="1" applyAlignment="1" applyProtection="1">
      <alignment horizontal="center"/>
      <protection hidden="1"/>
    </xf>
    <xf numFmtId="169" fontId="27" fillId="3" borderId="1" xfId="0" applyNumberFormat="1" applyFont="1" applyFill="1" applyBorder="1" applyAlignment="1" applyProtection="1">
      <alignment horizontal="center"/>
      <protection hidden="1"/>
    </xf>
    <xf numFmtId="0" fontId="23" fillId="3" borderId="1" xfId="0" applyFont="1" applyFill="1" applyBorder="1" applyAlignment="1" applyProtection="1">
      <alignment horizontal="right"/>
      <protection hidden="1"/>
    </xf>
    <xf numFmtId="169" fontId="23" fillId="3" borderId="1" xfId="0" applyNumberFormat="1" applyFont="1" applyFill="1" applyBorder="1" applyAlignment="1" applyProtection="1">
      <alignment horizontal="right" vertical="top" textRotation="255" wrapText="1"/>
      <protection hidden="1"/>
    </xf>
    <xf numFmtId="169" fontId="23" fillId="3" borderId="1" xfId="0" applyNumberFormat="1" applyFont="1" applyFill="1" applyBorder="1" applyAlignment="1" applyProtection="1">
      <alignment horizontal="right"/>
      <protection hidden="1"/>
    </xf>
    <xf numFmtId="169" fontId="23" fillId="3" borderId="2" xfId="0" applyNumberFormat="1" applyFont="1" applyFill="1" applyBorder="1" applyAlignment="1" applyProtection="1">
      <alignment horizontal="center"/>
      <protection hidden="1"/>
    </xf>
    <xf numFmtId="170" fontId="23" fillId="3" borderId="1" xfId="0" applyNumberFormat="1" applyFont="1" applyFill="1" applyBorder="1" applyAlignment="1" applyProtection="1">
      <alignment horizontal="center"/>
      <protection hidden="1"/>
    </xf>
    <xf numFmtId="170" fontId="23" fillId="3" borderId="3" xfId="0" applyNumberFormat="1" applyFont="1" applyFill="1" applyBorder="1" applyAlignment="1" applyProtection="1">
      <alignment horizontal="center"/>
      <protection hidden="1"/>
    </xf>
    <xf numFmtId="167" fontId="13" fillId="0" borderId="1" xfId="6" applyNumberFormat="1" applyFont="1" applyBorder="1" applyAlignment="1" applyProtection="1">
      <alignment horizontal="center"/>
      <protection hidden="1"/>
    </xf>
    <xf numFmtId="170" fontId="23" fillId="0" borderId="0" xfId="6" applyNumberFormat="1" applyFont="1" applyProtection="1">
      <protection hidden="1"/>
    </xf>
    <xf numFmtId="0" fontId="23" fillId="0" borderId="1" xfId="6" applyFont="1" applyBorder="1"/>
    <xf numFmtId="170" fontId="12" fillId="0" borderId="1" xfId="6" applyNumberFormat="1" applyFont="1" applyBorder="1" applyAlignment="1">
      <alignment horizontal="center"/>
    </xf>
    <xf numFmtId="177" fontId="12" fillId="0" borderId="1" xfId="6" applyNumberFormat="1" applyFont="1" applyBorder="1" applyAlignment="1">
      <alignment horizontal="center"/>
    </xf>
    <xf numFmtId="170" fontId="23" fillId="0" borderId="1" xfId="6" applyNumberFormat="1" applyFont="1" applyFill="1" applyBorder="1" applyProtection="1">
      <protection hidden="1"/>
    </xf>
    <xf numFmtId="14" fontId="23" fillId="0" borderId="1" xfId="6" applyNumberFormat="1" applyFont="1" applyBorder="1" applyAlignment="1" applyProtection="1">
      <alignment horizontal="center"/>
      <protection hidden="1"/>
    </xf>
    <xf numFmtId="169" fontId="23" fillId="0" borderId="1" xfId="6" applyNumberFormat="1" applyFont="1" applyBorder="1" applyAlignment="1" applyProtection="1">
      <alignment horizontal="center"/>
      <protection hidden="1"/>
    </xf>
    <xf numFmtId="170" fontId="23" fillId="0" borderId="1" xfId="6" applyNumberFormat="1" applyFont="1" applyBorder="1" applyAlignment="1" applyProtection="1">
      <alignment horizontal="center"/>
      <protection hidden="1"/>
    </xf>
    <xf numFmtId="170" fontId="23" fillId="0" borderId="0" xfId="6" applyNumberFormat="1" applyFont="1" applyBorder="1" applyAlignment="1" applyProtection="1">
      <alignment horizontal="center"/>
      <protection hidden="1"/>
    </xf>
    <xf numFmtId="167" fontId="23" fillId="0" borderId="1" xfId="6" applyNumberFormat="1" applyFont="1" applyBorder="1" applyAlignment="1" applyProtection="1">
      <alignment horizontal="center"/>
      <protection hidden="1"/>
    </xf>
    <xf numFmtId="167" fontId="23" fillId="0" borderId="0" xfId="6" applyNumberFormat="1" applyFont="1" applyBorder="1" applyAlignment="1" applyProtection="1">
      <alignment horizontal="center"/>
      <protection hidden="1"/>
    </xf>
    <xf numFmtId="169" fontId="23" fillId="0" borderId="0" xfId="6" applyNumberFormat="1" applyFont="1" applyBorder="1" applyAlignment="1" applyProtection="1">
      <alignment horizontal="center"/>
      <protection hidden="1"/>
    </xf>
    <xf numFmtId="0" fontId="23" fillId="0" borderId="0" xfId="6" applyFont="1" applyAlignment="1" applyProtection="1">
      <alignment horizontal="center"/>
      <protection hidden="1"/>
    </xf>
    <xf numFmtId="14" fontId="23" fillId="0" borderId="1" xfId="6" applyNumberFormat="1" applyFont="1" applyBorder="1" applyProtection="1">
      <protection hidden="1"/>
    </xf>
    <xf numFmtId="9" fontId="23" fillId="0" borderId="1" xfId="6" applyNumberFormat="1" applyFont="1" applyBorder="1" applyAlignment="1" applyProtection="1">
      <alignment horizontal="center"/>
      <protection hidden="1"/>
    </xf>
    <xf numFmtId="10" fontId="23" fillId="0" borderId="1" xfId="6" applyNumberFormat="1" applyFont="1" applyBorder="1" applyProtection="1">
      <protection hidden="1"/>
    </xf>
    <xf numFmtId="172" fontId="23" fillId="0" borderId="1" xfId="6" applyNumberFormat="1" applyFont="1" applyBorder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23" fillId="0" borderId="10" xfId="0" applyFont="1" applyBorder="1" applyAlignment="1" applyProtection="1">
      <alignment horizontal="center"/>
      <protection hidden="1"/>
    </xf>
    <xf numFmtId="0" fontId="27" fillId="0" borderId="10" xfId="0" applyFont="1" applyBorder="1" applyAlignment="1" applyProtection="1">
      <alignment horizontal="center"/>
      <protection hidden="1"/>
    </xf>
    <xf numFmtId="172" fontId="29" fillId="4" borderId="8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3" fillId="0" borderId="1" xfId="6" applyFont="1" applyBorder="1" applyAlignment="1" applyProtection="1">
      <protection hidden="1"/>
    </xf>
    <xf numFmtId="0" fontId="23" fillId="0" borderId="1" xfId="6" applyNumberFormat="1" applyFont="1" applyBorder="1" applyAlignment="1" applyProtection="1">
      <alignment horizontal="center"/>
      <protection hidden="1"/>
    </xf>
    <xf numFmtId="0" fontId="23" fillId="0" borderId="1" xfId="6" applyFont="1" applyBorder="1" applyAlignment="1" applyProtection="1">
      <alignment horizontal="left"/>
      <protection hidden="1"/>
    </xf>
    <xf numFmtId="10" fontId="23" fillId="0" borderId="1" xfId="6" applyNumberFormat="1" applyFont="1" applyBorder="1" applyAlignment="1" applyProtection="1">
      <alignment horizontal="center"/>
      <protection hidden="1"/>
    </xf>
    <xf numFmtId="0" fontId="23" fillId="0" borderId="1" xfId="6" applyFont="1" applyBorder="1" applyAlignment="1" applyProtection="1">
      <alignment horizontal="right"/>
      <protection hidden="1"/>
    </xf>
    <xf numFmtId="0" fontId="24" fillId="0" borderId="0" xfId="0" applyFont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175" fontId="28" fillId="0" borderId="0" xfId="0" applyNumberFormat="1" applyFont="1" applyBorder="1" applyAlignment="1">
      <alignment horizontal="center"/>
    </xf>
    <xf numFmtId="0" fontId="10" fillId="3" borderId="0" xfId="0" applyFont="1" applyFill="1" applyAlignment="1" applyProtection="1">
      <alignment horizontal="center"/>
      <protection hidden="1"/>
    </xf>
    <xf numFmtId="169" fontId="10" fillId="3" borderId="2" xfId="0" applyNumberFormat="1" applyFont="1" applyFill="1" applyBorder="1" applyAlignment="1" applyProtection="1">
      <alignment horizontal="center"/>
      <protection hidden="1"/>
    </xf>
    <xf numFmtId="169" fontId="27" fillId="0" borderId="1" xfId="0" applyNumberFormat="1" applyFont="1" applyFill="1" applyBorder="1" applyAlignment="1" applyProtection="1">
      <alignment horizontal="center"/>
      <protection hidden="1"/>
    </xf>
    <xf numFmtId="0" fontId="13" fillId="0" borderId="1" xfId="6" applyFont="1" applyBorder="1" applyAlignment="1" applyProtection="1">
      <alignment horizontal="center"/>
      <protection hidden="1"/>
    </xf>
    <xf numFmtId="14" fontId="13" fillId="0" borderId="1" xfId="6" applyNumberFormat="1" applyFont="1" applyBorder="1" applyAlignment="1" applyProtection="1">
      <alignment horizontal="center"/>
      <protection hidden="1"/>
    </xf>
    <xf numFmtId="0" fontId="37" fillId="3" borderId="1" xfId="0" applyFont="1" applyFill="1" applyBorder="1" applyAlignment="1" applyProtection="1">
      <alignment horizontal="center"/>
      <protection hidden="1"/>
    </xf>
    <xf numFmtId="172" fontId="13" fillId="0" borderId="1" xfId="6" applyNumberFormat="1" applyFont="1" applyBorder="1" applyAlignment="1" applyProtection="1">
      <alignment horizontal="center"/>
      <protection hidden="1"/>
    </xf>
    <xf numFmtId="169" fontId="13" fillId="0" borderId="1" xfId="6" applyNumberFormat="1" applyFont="1" applyBorder="1" applyAlignment="1" applyProtection="1">
      <alignment horizontal="center"/>
      <protection hidden="1"/>
    </xf>
    <xf numFmtId="9" fontId="13" fillId="0" borderId="1" xfId="6" applyNumberFormat="1" applyFont="1" applyBorder="1" applyAlignment="1" applyProtection="1">
      <alignment horizontal="center"/>
      <protection hidden="1"/>
    </xf>
    <xf numFmtId="10" fontId="13" fillId="0" borderId="1" xfId="6" applyNumberFormat="1" applyFont="1" applyBorder="1" applyAlignment="1" applyProtection="1">
      <alignment horizontal="center"/>
      <protection hidden="1"/>
    </xf>
    <xf numFmtId="167" fontId="14" fillId="0" borderId="0" xfId="6" applyNumberFormat="1" applyFont="1" applyProtection="1">
      <protection hidden="1"/>
    </xf>
    <xf numFmtId="0" fontId="13" fillId="0" borderId="0" xfId="6" applyFont="1" applyAlignment="1" applyProtection="1">
      <alignment horizontal="center"/>
      <protection hidden="1"/>
    </xf>
    <xf numFmtId="168" fontId="23" fillId="3" borderId="1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5" borderId="1" xfId="0" applyFont="1" applyFill="1" applyBorder="1" applyAlignment="1" applyProtection="1">
      <alignment horizontal="center"/>
      <protection hidden="1"/>
    </xf>
    <xf numFmtId="9" fontId="10" fillId="5" borderId="1" xfId="0" applyNumberFormat="1" applyFont="1" applyFill="1" applyBorder="1" applyProtection="1">
      <protection hidden="1"/>
    </xf>
    <xf numFmtId="9" fontId="10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center"/>
      <protection hidden="1"/>
    </xf>
    <xf numFmtId="9" fontId="10" fillId="6" borderId="1" xfId="0" applyNumberFormat="1" applyFont="1" applyFill="1" applyBorder="1" applyProtection="1">
      <protection hidden="1"/>
    </xf>
    <xf numFmtId="0" fontId="10" fillId="6" borderId="1" xfId="0" applyFont="1" applyFill="1" applyBorder="1" applyAlignment="1" applyProtection="1">
      <alignment horizontal="center"/>
      <protection hidden="1"/>
    </xf>
    <xf numFmtId="9" fontId="10" fillId="7" borderId="1" xfId="0" applyNumberFormat="1" applyFont="1" applyFill="1" applyBorder="1" applyProtection="1">
      <protection hidden="1"/>
    </xf>
    <xf numFmtId="9" fontId="10" fillId="8" borderId="1" xfId="0" applyNumberFormat="1" applyFont="1" applyFill="1" applyBorder="1" applyProtection="1">
      <protection hidden="1"/>
    </xf>
    <xf numFmtId="9" fontId="10" fillId="9" borderId="1" xfId="0" applyNumberFormat="1" applyFont="1" applyFill="1" applyBorder="1" applyProtection="1">
      <protection hidden="1"/>
    </xf>
    <xf numFmtId="9" fontId="10" fillId="2" borderId="1" xfId="0" applyNumberFormat="1" applyFont="1" applyFill="1" applyBorder="1" applyProtection="1">
      <protection hidden="1"/>
    </xf>
    <xf numFmtId="9" fontId="10" fillId="10" borderId="1" xfId="0" applyNumberFormat="1" applyFont="1" applyFill="1" applyBorder="1" applyProtection="1">
      <protection hidden="1"/>
    </xf>
    <xf numFmtId="0" fontId="39" fillId="3" borderId="0" xfId="0" applyFont="1" applyFill="1" applyProtection="1">
      <protection hidden="1"/>
    </xf>
    <xf numFmtId="0" fontId="38" fillId="3" borderId="0" xfId="0" applyFont="1" applyFill="1" applyProtection="1">
      <protection hidden="1"/>
    </xf>
    <xf numFmtId="0" fontId="39" fillId="3" borderId="1" xfId="0" applyFont="1" applyFill="1" applyBorder="1" applyAlignment="1" applyProtection="1">
      <alignment horizontal="center"/>
      <protection hidden="1"/>
    </xf>
    <xf numFmtId="169" fontId="39" fillId="3" borderId="1" xfId="0" applyNumberFormat="1" applyFont="1" applyFill="1" applyBorder="1" applyAlignment="1" applyProtection="1">
      <alignment horizontal="center"/>
      <protection hidden="1"/>
    </xf>
    <xf numFmtId="0" fontId="39" fillId="3" borderId="7" xfId="0" applyFont="1" applyFill="1" applyBorder="1" applyAlignment="1" applyProtection="1">
      <alignment horizontal="center"/>
      <protection hidden="1"/>
    </xf>
    <xf numFmtId="0" fontId="24" fillId="3" borderId="0" xfId="0" applyFont="1" applyFill="1" applyAlignment="1" applyProtection="1">
      <alignment horizontal="centerContinuous"/>
      <protection hidden="1"/>
    </xf>
    <xf numFmtId="0" fontId="23" fillId="3" borderId="0" xfId="0" applyFont="1" applyFill="1" applyAlignment="1" applyProtection="1">
      <alignment horizontal="centerContinuous"/>
      <protection hidden="1"/>
    </xf>
    <xf numFmtId="0" fontId="23" fillId="3" borderId="0" xfId="0" applyFont="1" applyFill="1" applyBorder="1" applyProtection="1">
      <protection hidden="1"/>
    </xf>
    <xf numFmtId="0" fontId="23" fillId="3" borderId="7" xfId="0" applyFont="1" applyFill="1" applyBorder="1" applyAlignment="1" applyProtection="1">
      <alignment horizontal="centerContinuous"/>
      <protection hidden="1"/>
    </xf>
    <xf numFmtId="0" fontId="23" fillId="3" borderId="9" xfId="0" applyFont="1" applyFill="1" applyBorder="1" applyAlignment="1" applyProtection="1">
      <alignment horizontal="centerContinuous"/>
      <protection hidden="1"/>
    </xf>
    <xf numFmtId="164" fontId="23" fillId="3" borderId="9" xfId="7" applyFont="1" applyFill="1" applyBorder="1" applyAlignment="1" applyProtection="1">
      <alignment horizontal="centerContinuous"/>
      <protection hidden="1"/>
    </xf>
    <xf numFmtId="0" fontId="23" fillId="3" borderId="10" xfId="0" applyFont="1" applyFill="1" applyBorder="1" applyAlignment="1" applyProtection="1">
      <protection hidden="1"/>
    </xf>
    <xf numFmtId="164" fontId="23" fillId="3" borderId="0" xfId="7" applyFont="1" applyFill="1" applyBorder="1" applyAlignment="1" applyProtection="1">
      <alignment horizontal="centerContinuous"/>
      <protection hidden="1"/>
    </xf>
    <xf numFmtId="9" fontId="23" fillId="3" borderId="1" xfId="0" applyNumberFormat="1" applyFont="1" applyFill="1" applyBorder="1" applyAlignment="1" applyProtection="1">
      <alignment horizontal="centerContinuous"/>
      <protection hidden="1"/>
    </xf>
    <xf numFmtId="0" fontId="23" fillId="3" borderId="14" xfId="0" applyFont="1" applyFill="1" applyBorder="1" applyAlignment="1" applyProtection="1">
      <alignment horizontal="center"/>
      <protection hidden="1"/>
    </xf>
    <xf numFmtId="10" fontId="23" fillId="3" borderId="1" xfId="0" applyNumberFormat="1" applyFont="1" applyFill="1" applyBorder="1" applyAlignment="1" applyProtection="1">
      <alignment horizontal="right"/>
      <protection hidden="1"/>
    </xf>
    <xf numFmtId="169" fontId="23" fillId="3" borderId="1" xfId="0" applyNumberFormat="1" applyFont="1" applyFill="1" applyBorder="1" applyAlignment="1" applyProtection="1">
      <alignment horizontal="centerContinuous"/>
      <protection hidden="1"/>
    </xf>
    <xf numFmtId="10" fontId="23" fillId="3" borderId="1" xfId="0" applyNumberFormat="1" applyFont="1" applyFill="1" applyBorder="1" applyAlignment="1" applyProtection="1">
      <alignment horizontal="centerContinuous"/>
      <protection hidden="1"/>
    </xf>
    <xf numFmtId="9" fontId="23" fillId="3" borderId="1" xfId="1" applyNumberFormat="1" applyFont="1" applyFill="1" applyBorder="1" applyAlignment="1" applyProtection="1">
      <alignment horizontal="center"/>
      <protection hidden="1"/>
    </xf>
    <xf numFmtId="173" fontId="12" fillId="3" borderId="1" xfId="0" applyNumberFormat="1" applyFont="1" applyFill="1" applyBorder="1" applyAlignment="1" applyProtection="1">
      <alignment horizontal="center"/>
      <protection hidden="1"/>
    </xf>
    <xf numFmtId="170" fontId="12" fillId="3" borderId="1" xfId="0" applyNumberFormat="1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Protection="1">
      <protection hidden="1"/>
    </xf>
    <xf numFmtId="0" fontId="28" fillId="3" borderId="1" xfId="0" applyFont="1" applyFill="1" applyBorder="1" applyAlignment="1" applyProtection="1">
      <alignment horizontal="center"/>
      <protection hidden="1"/>
    </xf>
    <xf numFmtId="0" fontId="25" fillId="3" borderId="1" xfId="0" applyFont="1" applyFill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8" fillId="3" borderId="1" xfId="0" applyFont="1" applyFill="1" applyBorder="1" applyProtection="1">
      <protection hidden="1"/>
    </xf>
    <xf numFmtId="0" fontId="38" fillId="3" borderId="1" xfId="0" applyFont="1" applyFill="1" applyBorder="1" applyAlignment="1" applyProtection="1">
      <alignment horizontal="center"/>
      <protection hidden="1"/>
    </xf>
    <xf numFmtId="169" fontId="39" fillId="3" borderId="1" xfId="0" applyNumberFormat="1" applyFont="1" applyFill="1" applyBorder="1" applyProtection="1">
      <protection hidden="1"/>
    </xf>
    <xf numFmtId="169" fontId="38" fillId="3" borderId="1" xfId="0" applyNumberFormat="1" applyFont="1" applyFill="1" applyBorder="1" applyAlignment="1" applyProtection="1">
      <alignment horizontal="center"/>
      <protection hidden="1"/>
    </xf>
    <xf numFmtId="0" fontId="39" fillId="0" borderId="1" xfId="0" applyFont="1" applyBorder="1" applyProtection="1">
      <protection hidden="1"/>
    </xf>
    <xf numFmtId="169" fontId="38" fillId="3" borderId="1" xfId="0" applyNumberFormat="1" applyFont="1" applyFill="1" applyBorder="1" applyProtection="1">
      <protection hidden="1"/>
    </xf>
    <xf numFmtId="0" fontId="38" fillId="3" borderId="3" xfId="0" applyFont="1" applyFill="1" applyBorder="1" applyAlignment="1" applyProtection="1">
      <alignment horizontal="center"/>
      <protection hidden="1"/>
    </xf>
    <xf numFmtId="169" fontId="38" fillId="3" borderId="3" xfId="0" applyNumberFormat="1" applyFont="1" applyFill="1" applyBorder="1" applyProtection="1">
      <protection hidden="1"/>
    </xf>
    <xf numFmtId="0" fontId="38" fillId="3" borderId="10" xfId="0" applyFont="1" applyFill="1" applyBorder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Protection="1">
      <protection hidden="1"/>
    </xf>
    <xf numFmtId="169" fontId="2" fillId="3" borderId="1" xfId="0" applyNumberFormat="1" applyFont="1" applyFill="1" applyBorder="1" applyAlignment="1" applyProtection="1">
      <alignment horizontal="center"/>
      <protection hidden="1"/>
    </xf>
    <xf numFmtId="167" fontId="2" fillId="3" borderId="1" xfId="0" applyNumberFormat="1" applyFont="1" applyFill="1" applyBorder="1" applyProtection="1">
      <protection hidden="1"/>
    </xf>
    <xf numFmtId="167" fontId="2" fillId="3" borderId="1" xfId="0" applyNumberFormat="1" applyFont="1" applyFill="1" applyBorder="1" applyAlignment="1" applyProtection="1">
      <alignment horizontal="center"/>
      <protection hidden="1"/>
    </xf>
    <xf numFmtId="9" fontId="10" fillId="6" borderId="1" xfId="0" applyNumberFormat="1" applyFont="1" applyFill="1" applyBorder="1" applyAlignment="1" applyProtection="1">
      <alignment horizontal="center"/>
      <protection hidden="1"/>
    </xf>
    <xf numFmtId="0" fontId="25" fillId="3" borderId="0" xfId="0" applyFont="1" applyFill="1" applyAlignment="1" applyProtection="1">
      <alignment horizont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9" fontId="23" fillId="0" borderId="0" xfId="0" applyNumberFormat="1" applyFont="1" applyBorder="1" applyProtection="1">
      <protection hidden="1"/>
    </xf>
    <xf numFmtId="0" fontId="42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horizontal="right" vertical="center"/>
      <protection hidden="1"/>
    </xf>
    <xf numFmtId="0" fontId="10" fillId="3" borderId="1" xfId="0" applyFont="1" applyFill="1" applyBorder="1" applyAlignment="1" applyProtection="1">
      <alignment horizontal="left" vertical="center"/>
      <protection hidden="1"/>
    </xf>
    <xf numFmtId="9" fontId="3" fillId="0" borderId="0" xfId="0" applyNumberFormat="1" applyFont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9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41" fillId="3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9" fontId="10" fillId="3" borderId="1" xfId="0" applyNumberFormat="1" applyFont="1" applyFill="1" applyBorder="1" applyAlignment="1" applyProtection="1">
      <alignment vertical="center"/>
      <protection hidden="1"/>
    </xf>
    <xf numFmtId="169" fontId="41" fillId="3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0" fillId="3" borderId="0" xfId="0" applyFont="1" applyFill="1" applyProtection="1">
      <protection hidden="1"/>
    </xf>
    <xf numFmtId="0" fontId="12" fillId="3" borderId="0" xfId="0" applyFont="1" applyFill="1" applyBorder="1" applyAlignment="1" applyProtection="1">
      <alignment horizontal="center"/>
      <protection hidden="1"/>
    </xf>
    <xf numFmtId="0" fontId="40" fillId="3" borderId="1" xfId="0" applyFont="1" applyFill="1" applyBorder="1" applyProtection="1">
      <protection hidden="1"/>
    </xf>
    <xf numFmtId="0" fontId="40" fillId="3" borderId="1" xfId="0" applyFont="1" applyFill="1" applyBorder="1" applyAlignment="1" applyProtection="1">
      <alignment horizontal="center"/>
      <protection hidden="1"/>
    </xf>
    <xf numFmtId="169" fontId="40" fillId="3" borderId="1" xfId="0" applyNumberFormat="1" applyFont="1" applyFill="1" applyBorder="1" applyAlignment="1" applyProtection="1">
      <alignment horizontal="center"/>
      <protection hidden="1"/>
    </xf>
    <xf numFmtId="0" fontId="40" fillId="3" borderId="0" xfId="0" applyFont="1" applyFill="1" applyAlignment="1" applyProtection="1">
      <alignment horizontal="center"/>
      <protection hidden="1"/>
    </xf>
    <xf numFmtId="9" fontId="40" fillId="3" borderId="0" xfId="0" applyNumberFormat="1" applyFont="1" applyFill="1" applyAlignment="1" applyProtection="1">
      <alignment horizontal="center"/>
      <protection hidden="1"/>
    </xf>
    <xf numFmtId="169" fontId="40" fillId="3" borderId="0" xfId="0" applyNumberFormat="1" applyFont="1" applyFill="1" applyAlignment="1" applyProtection="1">
      <alignment horizontal="center"/>
      <protection hidden="1"/>
    </xf>
    <xf numFmtId="10" fontId="40" fillId="3" borderId="0" xfId="0" applyNumberFormat="1" applyFont="1" applyFill="1" applyAlignment="1" applyProtection="1">
      <alignment horizontal="center"/>
      <protection hidden="1"/>
    </xf>
    <xf numFmtId="170" fontId="40" fillId="3" borderId="0" xfId="0" applyNumberFormat="1" applyFont="1" applyFill="1" applyAlignment="1" applyProtection="1">
      <alignment horizont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vertical="center"/>
      <protection hidden="1"/>
    </xf>
    <xf numFmtId="169" fontId="10" fillId="3" borderId="2" xfId="0" applyNumberFormat="1" applyFont="1" applyFill="1" applyBorder="1" applyAlignment="1" applyProtection="1">
      <alignment vertical="center"/>
      <protection hidden="1"/>
    </xf>
    <xf numFmtId="169" fontId="10" fillId="3" borderId="2" xfId="0" applyNumberFormat="1" applyFont="1" applyFill="1" applyBorder="1" applyAlignment="1" applyProtection="1">
      <alignment horizontal="center" vertical="center"/>
      <protection hidden="1"/>
    </xf>
    <xf numFmtId="170" fontId="10" fillId="3" borderId="1" xfId="0" applyNumberFormat="1" applyFont="1" applyFill="1" applyBorder="1" applyAlignment="1" applyProtection="1">
      <alignment horizontal="center" vertical="center"/>
      <protection hidden="1"/>
    </xf>
    <xf numFmtId="9" fontId="10" fillId="3" borderId="1" xfId="0" applyNumberFormat="1" applyFont="1" applyFill="1" applyBorder="1" applyAlignment="1" applyProtection="1">
      <alignment horizontal="center" vertical="center"/>
      <protection hidden="1"/>
    </xf>
    <xf numFmtId="169" fontId="23" fillId="0" borderId="1" xfId="0" applyNumberFormat="1" applyFont="1" applyBorder="1" applyAlignment="1" applyProtection="1">
      <alignment horizontal="center"/>
      <protection hidden="1"/>
    </xf>
    <xf numFmtId="0" fontId="19" fillId="0" borderId="1" xfId="0" applyFont="1" applyBorder="1" applyProtection="1">
      <protection hidden="1"/>
    </xf>
    <xf numFmtId="0" fontId="43" fillId="0" borderId="1" xfId="0" applyFont="1" applyBorder="1" applyAlignment="1" applyProtection="1">
      <alignment horizontal="center"/>
      <protection hidden="1"/>
    </xf>
    <xf numFmtId="0" fontId="43" fillId="0" borderId="10" xfId="0" applyFont="1" applyBorder="1" applyAlignment="1" applyProtection="1">
      <alignment horizontal="center"/>
      <protection hidden="1"/>
    </xf>
    <xf numFmtId="0" fontId="44" fillId="0" borderId="0" xfId="0" applyFont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46" fillId="0" borderId="0" xfId="0" applyFont="1" applyBorder="1" applyAlignment="1">
      <alignment horizontal="center"/>
    </xf>
    <xf numFmtId="0" fontId="47" fillId="0" borderId="0" xfId="0" applyFont="1" applyProtection="1">
      <protection hidden="1"/>
    </xf>
    <xf numFmtId="0" fontId="3" fillId="2" borderId="1" xfId="0" applyNumberFormat="1" applyFont="1" applyFill="1" applyBorder="1"/>
    <xf numFmtId="9" fontId="3" fillId="0" borderId="0" xfId="0" applyNumberFormat="1" applyFont="1" applyBorder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0" fontId="49" fillId="3" borderId="1" xfId="0" applyFont="1" applyFill="1" applyBorder="1" applyAlignment="1" applyProtection="1">
      <alignment horizontal="left" vertical="center"/>
      <protection hidden="1"/>
    </xf>
    <xf numFmtId="0" fontId="50" fillId="3" borderId="1" xfId="0" applyFont="1" applyFill="1" applyBorder="1" applyProtection="1">
      <protection hidden="1"/>
    </xf>
    <xf numFmtId="169" fontId="51" fillId="3" borderId="1" xfId="0" applyNumberFormat="1" applyFont="1" applyFill="1" applyBorder="1" applyAlignment="1" applyProtection="1">
      <alignment horizontal="center"/>
      <protection hidden="1"/>
    </xf>
    <xf numFmtId="169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45" fillId="0" borderId="7" xfId="0" applyFont="1" applyBorder="1" applyAlignment="1" applyProtection="1">
      <alignment horizontal="center"/>
      <protection hidden="1"/>
    </xf>
    <xf numFmtId="0" fontId="45" fillId="0" borderId="10" xfId="0" applyFont="1" applyBorder="1" applyAlignment="1" applyProtection="1">
      <alignment horizontal="center"/>
      <protection hidden="1"/>
    </xf>
    <xf numFmtId="0" fontId="43" fillId="0" borderId="9" xfId="0" applyFont="1" applyBorder="1" applyAlignment="1" applyProtection="1">
      <alignment horizontal="center"/>
      <protection hidden="1"/>
    </xf>
    <xf numFmtId="9" fontId="0" fillId="0" borderId="0" xfId="0" applyNumberFormat="1"/>
    <xf numFmtId="9" fontId="10" fillId="11" borderId="1" xfId="0" applyNumberFormat="1" applyFont="1" applyFill="1" applyBorder="1" applyProtection="1">
      <protection hidden="1"/>
    </xf>
    <xf numFmtId="9" fontId="10" fillId="12" borderId="1" xfId="0" applyNumberFormat="1" applyFont="1" applyFill="1" applyBorder="1" applyProtection="1">
      <protection hidden="1"/>
    </xf>
    <xf numFmtId="9" fontId="10" fillId="13" borderId="1" xfId="0" applyNumberFormat="1" applyFont="1" applyFill="1" applyBorder="1" applyProtection="1">
      <protection hidden="1"/>
    </xf>
    <xf numFmtId="0" fontId="53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/>
    </xf>
    <xf numFmtId="0" fontId="52" fillId="0" borderId="0" xfId="0" applyFont="1" applyProtection="1">
      <protection hidden="1"/>
    </xf>
    <xf numFmtId="0" fontId="56" fillId="0" borderId="0" xfId="0" applyFont="1" applyBorder="1" applyProtection="1">
      <protection hidden="1"/>
    </xf>
    <xf numFmtId="0" fontId="56" fillId="0" borderId="0" xfId="0" applyFont="1" applyBorder="1" applyAlignment="1" applyProtection="1">
      <alignment horizontal="center"/>
      <protection hidden="1"/>
    </xf>
    <xf numFmtId="175" fontId="3" fillId="0" borderId="0" xfId="0" applyNumberFormat="1" applyFont="1" applyBorder="1" applyAlignment="1" applyProtection="1">
      <alignment horizontal="center"/>
      <protection hidden="1"/>
    </xf>
    <xf numFmtId="9" fontId="57" fillId="3" borderId="1" xfId="0" applyNumberFormat="1" applyFont="1" applyFill="1" applyBorder="1" applyAlignment="1" applyProtection="1">
      <alignment horizontal="center"/>
      <protection hidden="1"/>
    </xf>
    <xf numFmtId="1" fontId="23" fillId="0" borderId="1" xfId="6" applyNumberFormat="1" applyFont="1" applyBorder="1" applyAlignment="1" applyProtection="1">
      <alignment horizontal="right"/>
      <protection hidden="1"/>
    </xf>
    <xf numFmtId="0" fontId="10" fillId="3" borderId="1" xfId="0" applyFont="1" applyFill="1" applyBorder="1" applyAlignment="1" applyProtection="1">
      <alignment horizontal="right"/>
      <protection hidden="1"/>
    </xf>
    <xf numFmtId="0" fontId="23" fillId="0" borderId="10" xfId="0" applyNumberFormat="1" applyFont="1" applyBorder="1" applyAlignment="1" applyProtection="1">
      <alignment horizontal="center"/>
      <protection hidden="1"/>
    </xf>
    <xf numFmtId="0" fontId="23" fillId="0" borderId="9" xfId="0" applyNumberFormat="1" applyFont="1" applyBorder="1" applyAlignment="1" applyProtection="1">
      <alignment horizontal="center"/>
      <protection hidden="1"/>
    </xf>
    <xf numFmtId="0" fontId="23" fillId="0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8" fillId="0" borderId="1" xfId="0" applyFont="1" applyBorder="1" applyAlignment="1" applyProtection="1">
      <alignment horizontal="right" vertical="center"/>
      <protection hidden="1"/>
    </xf>
    <xf numFmtId="0" fontId="59" fillId="0" borderId="1" xfId="0" applyFont="1" applyBorder="1" applyAlignment="1" applyProtection="1">
      <alignment horizontal="center"/>
      <protection hidden="1"/>
    </xf>
    <xf numFmtId="0" fontId="23" fillId="6" borderId="10" xfId="0" applyFont="1" applyFill="1" applyBorder="1" applyAlignment="1" applyProtection="1">
      <alignment horizontal="center"/>
      <protection hidden="1"/>
    </xf>
    <xf numFmtId="0" fontId="60" fillId="0" borderId="10" xfId="0" applyFont="1" applyBorder="1" applyAlignment="1" applyProtection="1">
      <alignment horizontal="center"/>
      <protection hidden="1"/>
    </xf>
    <xf numFmtId="170" fontId="3" fillId="0" borderId="0" xfId="0" applyNumberFormat="1" applyFont="1" applyAlignment="1" applyProtection="1">
      <alignment horizontal="center"/>
      <protection hidden="1"/>
    </xf>
    <xf numFmtId="0" fontId="6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2" fillId="0" borderId="0" xfId="0" applyFont="1" applyAlignment="1">
      <alignment vertical="center"/>
    </xf>
    <xf numFmtId="0" fontId="62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0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63" fillId="0" borderId="1" xfId="0" applyFont="1" applyBorder="1" applyAlignment="1" applyProtection="1">
      <alignment horizontal="center"/>
      <protection hidden="1"/>
    </xf>
    <xf numFmtId="0" fontId="62" fillId="3" borderId="1" xfId="0" applyFont="1" applyFill="1" applyBorder="1" applyAlignment="1" applyProtection="1">
      <alignment vertical="center"/>
      <protection hidden="1"/>
    </xf>
    <xf numFmtId="0" fontId="62" fillId="3" borderId="1" xfId="0" applyFont="1" applyFill="1" applyBorder="1" applyAlignment="1" applyProtection="1">
      <alignment horizontal="right" vertical="center"/>
      <protection hidden="1"/>
    </xf>
    <xf numFmtId="0" fontId="62" fillId="3" borderId="1" xfId="0" applyFont="1" applyFill="1" applyBorder="1" applyAlignment="1" applyProtection="1">
      <alignment horizontal="center" vertical="center"/>
      <protection hidden="1"/>
    </xf>
    <xf numFmtId="0" fontId="66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right"/>
      <protection hidden="1"/>
    </xf>
    <xf numFmtId="0" fontId="50" fillId="3" borderId="1" xfId="0" applyFont="1" applyFill="1" applyBorder="1" applyAlignment="1" applyProtection="1">
      <alignment horizontal="right"/>
      <protection hidden="1"/>
    </xf>
    <xf numFmtId="167" fontId="66" fillId="3" borderId="1" xfId="0" applyNumberFormat="1" applyFont="1" applyFill="1" applyBorder="1" applyAlignment="1" applyProtection="1">
      <alignment horizontal="center"/>
      <protection hidden="1"/>
    </xf>
    <xf numFmtId="0" fontId="65" fillId="3" borderId="1" xfId="0" applyFont="1" applyFill="1" applyBorder="1" applyAlignment="1" applyProtection="1">
      <alignment horizontal="center" vertical="center"/>
      <protection hidden="1"/>
    </xf>
    <xf numFmtId="169" fontId="67" fillId="14" borderId="1" xfId="0" applyNumberFormat="1" applyFont="1" applyFill="1" applyBorder="1" applyAlignment="1" applyProtection="1">
      <alignment horizontal="center" vertical="center"/>
      <protection hidden="1"/>
    </xf>
    <xf numFmtId="0" fontId="68" fillId="0" borderId="1" xfId="0" applyFont="1" applyBorder="1" applyAlignment="1">
      <alignment horizontal="center" vertical="center"/>
    </xf>
    <xf numFmtId="0" fontId="69" fillId="3" borderId="1" xfId="0" applyFont="1" applyFill="1" applyBorder="1" applyAlignment="1" applyProtection="1">
      <alignment horizontal="center" vertical="center"/>
      <protection hidden="1"/>
    </xf>
    <xf numFmtId="0" fontId="70" fillId="0" borderId="1" xfId="0" applyFont="1" applyBorder="1" applyAlignment="1">
      <alignment horizontal="center" vertical="center"/>
    </xf>
    <xf numFmtId="169" fontId="74" fillId="14" borderId="1" xfId="0" applyNumberFormat="1" applyFont="1" applyFill="1" applyBorder="1" applyAlignment="1" applyProtection="1">
      <alignment vertical="center"/>
      <protection hidden="1"/>
    </xf>
    <xf numFmtId="169" fontId="74" fillId="14" borderId="1" xfId="0" applyNumberFormat="1" applyFont="1" applyFill="1" applyBorder="1" applyAlignment="1" applyProtection="1">
      <alignment horizontal="center" vertical="center"/>
      <protection hidden="1"/>
    </xf>
    <xf numFmtId="0" fontId="75" fillId="3" borderId="1" xfId="0" applyFont="1" applyFill="1" applyBorder="1" applyAlignment="1" applyProtection="1">
      <alignment horizontal="left"/>
      <protection hidden="1"/>
    </xf>
    <xf numFmtId="0" fontId="75" fillId="3" borderId="1" xfId="0" applyFont="1" applyFill="1" applyBorder="1" applyProtection="1">
      <protection hidden="1"/>
    </xf>
    <xf numFmtId="0" fontId="23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40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94" fillId="15" borderId="18" xfId="2" applyFont="1" applyFill="1" applyBorder="1" applyAlignment="1" applyProtection="1">
      <alignment horizontal="center" vertical="center"/>
    </xf>
    <xf numFmtId="0" fontId="94" fillId="15" borderId="19" xfId="2" applyFont="1" applyFill="1" applyBorder="1" applyAlignment="1" applyProtection="1">
      <alignment horizontal="center" vertical="center"/>
    </xf>
    <xf numFmtId="0" fontId="94" fillId="15" borderId="20" xfId="2" applyFont="1" applyFill="1" applyBorder="1" applyAlignment="1" applyProtection="1">
      <alignment horizontal="center" vertical="center"/>
    </xf>
    <xf numFmtId="0" fontId="95" fillId="0" borderId="18" xfId="5" applyFont="1" applyFill="1" applyBorder="1" applyAlignment="1" applyProtection="1">
      <alignment horizontal="center" vertical="center"/>
    </xf>
    <xf numFmtId="165" fontId="96" fillId="0" borderId="19" xfId="2" applyNumberFormat="1" applyFont="1" applyFill="1" applyBorder="1" applyAlignment="1" applyProtection="1">
      <alignment horizontal="right" vertical="center" wrapText="1"/>
    </xf>
    <xf numFmtId="0" fontId="95" fillId="0" borderId="19" xfId="2" applyFont="1" applyFill="1" applyBorder="1" applyAlignment="1" applyProtection="1">
      <alignment horizontal="center" vertical="center"/>
    </xf>
    <xf numFmtId="178" fontId="96" fillId="0" borderId="19" xfId="2" applyNumberFormat="1" applyFont="1" applyFill="1" applyBorder="1" applyAlignment="1" applyProtection="1">
      <alignment horizontal="right" vertical="center" wrapText="1"/>
    </xf>
    <xf numFmtId="178" fontId="96" fillId="16" borderId="20" xfId="8" applyNumberFormat="1" applyFont="1" applyFill="1" applyBorder="1" applyAlignment="1" applyProtection="1">
      <alignment horizontal="center" vertical="center"/>
      <protection locked="0"/>
    </xf>
    <xf numFmtId="165" fontId="96" fillId="16" borderId="19" xfId="2" applyNumberFormat="1" applyFont="1" applyFill="1" applyBorder="1" applyAlignment="1" applyProtection="1">
      <alignment horizontal="right" vertical="center" wrapText="1"/>
      <protection locked="0"/>
    </xf>
    <xf numFmtId="9" fontId="96" fillId="0" borderId="19" xfId="1" applyNumberFormat="1" applyFont="1" applyFill="1" applyBorder="1" applyAlignment="1" applyProtection="1">
      <alignment horizontal="right" vertical="center"/>
    </xf>
    <xf numFmtId="178" fontId="96" fillId="0" borderId="20" xfId="8" applyNumberFormat="1" applyFont="1" applyFill="1" applyBorder="1" applyAlignment="1" applyProtection="1">
      <alignment horizontal="center" vertical="center"/>
    </xf>
    <xf numFmtId="0" fontId="95" fillId="0" borderId="18" xfId="2" applyFont="1" applyFill="1" applyBorder="1" applyAlignment="1" applyProtection="1">
      <alignment horizontal="center" vertical="center"/>
    </xf>
    <xf numFmtId="174" fontId="96" fillId="16" borderId="19" xfId="2" applyNumberFormat="1" applyFont="1" applyFill="1" applyBorder="1" applyAlignment="1" applyProtection="1">
      <alignment horizontal="right" vertical="center"/>
      <protection locked="0"/>
    </xf>
    <xf numFmtId="0" fontId="95" fillId="0" borderId="19" xfId="5" applyFont="1" applyFill="1" applyBorder="1" applyAlignment="1" applyProtection="1">
      <alignment horizontal="center" vertical="center"/>
    </xf>
    <xf numFmtId="166" fontId="96" fillId="0" borderId="20" xfId="8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vertical="center"/>
    </xf>
    <xf numFmtId="0" fontId="94" fillId="17" borderId="18" xfId="5" applyFont="1" applyFill="1" applyBorder="1" applyAlignment="1" applyProtection="1">
      <alignment horizontal="center" vertical="center"/>
    </xf>
    <xf numFmtId="0" fontId="94" fillId="17" borderId="19" xfId="5" applyFont="1" applyFill="1" applyBorder="1" applyAlignment="1" applyProtection="1">
      <alignment horizontal="center" vertical="center"/>
    </xf>
    <xf numFmtId="165" fontId="97" fillId="17" borderId="19" xfId="2" applyNumberFormat="1" applyFont="1" applyFill="1" applyBorder="1" applyAlignment="1" applyProtection="1">
      <alignment horizontal="right" vertical="center"/>
    </xf>
    <xf numFmtId="165" fontId="94" fillId="17" borderId="20" xfId="2" applyNumberFormat="1" applyFont="1" applyFill="1" applyBorder="1" applyAlignment="1" applyProtection="1">
      <alignment horizontal="center" vertical="center"/>
    </xf>
    <xf numFmtId="0" fontId="95" fillId="16" borderId="18" xfId="2" applyFont="1" applyFill="1" applyBorder="1" applyAlignment="1" applyProtection="1">
      <alignment horizontal="center" vertical="center"/>
      <protection locked="0"/>
    </xf>
    <xf numFmtId="0" fontId="95" fillId="16" borderId="19" xfId="2" applyFont="1" applyFill="1" applyBorder="1" applyAlignment="1" applyProtection="1">
      <alignment horizontal="center" vertical="center"/>
      <protection locked="0"/>
    </xf>
    <xf numFmtId="165" fontId="96" fillId="0" borderId="19" xfId="2" applyNumberFormat="1" applyFont="1" applyFill="1" applyBorder="1" applyAlignment="1" applyProtection="1">
      <alignment horizontal="right" vertical="center"/>
    </xf>
    <xf numFmtId="165" fontId="96" fillId="16" borderId="19" xfId="2" applyNumberFormat="1" applyFont="1" applyFill="1" applyBorder="1" applyAlignment="1" applyProtection="1">
      <alignment horizontal="right" vertical="center"/>
      <protection locked="0"/>
    </xf>
    <xf numFmtId="165" fontId="95" fillId="16" borderId="20" xfId="2" applyNumberFormat="1" applyFont="1" applyFill="1" applyBorder="1" applyAlignment="1" applyProtection="1">
      <alignment horizontal="center" vertical="center"/>
      <protection locked="0"/>
    </xf>
    <xf numFmtId="0" fontId="94" fillId="17" borderId="19" xfId="2" applyNumberFormat="1" applyFont="1" applyFill="1" applyBorder="1" applyAlignment="1" applyProtection="1">
      <alignment horizontal="center" vertical="center"/>
    </xf>
    <xf numFmtId="165" fontId="97" fillId="17" borderId="19" xfId="2" applyNumberFormat="1" applyFont="1" applyFill="1" applyBorder="1" applyAlignment="1" applyProtection="1">
      <alignment horizontal="center" vertical="center"/>
    </xf>
    <xf numFmtId="165" fontId="97" fillId="17" borderId="20" xfId="2" applyNumberFormat="1" applyFont="1" applyFill="1" applyBorder="1" applyAlignment="1" applyProtection="1">
      <alignment horizontal="center" vertical="center"/>
    </xf>
    <xf numFmtId="165" fontId="96" fillId="16" borderId="19" xfId="2" applyNumberFormat="1" applyFont="1" applyFill="1" applyBorder="1" applyAlignment="1" applyProtection="1">
      <alignment horizontal="center" vertical="center"/>
      <protection locked="0"/>
    </xf>
    <xf numFmtId="0" fontId="94" fillId="17" borderId="18" xfId="2" applyFont="1" applyFill="1" applyBorder="1" applyAlignment="1" applyProtection="1">
      <alignment horizontal="center" vertical="center"/>
    </xf>
    <xf numFmtId="0" fontId="94" fillId="17" borderId="19" xfId="2" applyFont="1" applyFill="1" applyBorder="1" applyAlignment="1" applyProtection="1">
      <alignment horizontal="center" vertical="center"/>
    </xf>
    <xf numFmtId="165" fontId="96" fillId="16" borderId="20" xfId="2" applyNumberFormat="1" applyFont="1" applyFill="1" applyBorder="1" applyAlignment="1" applyProtection="1">
      <alignment horizontal="center" vertical="center"/>
      <protection locked="0"/>
    </xf>
    <xf numFmtId="169" fontId="95" fillId="16" borderId="20" xfId="2" applyNumberFormat="1" applyFont="1" applyFill="1" applyBorder="1" applyAlignment="1" applyProtection="1">
      <alignment horizontal="right" vertical="center"/>
      <protection locked="0"/>
    </xf>
    <xf numFmtId="0" fontId="95" fillId="0" borderId="21" xfId="2" applyFont="1" applyFill="1" applyBorder="1" applyAlignment="1" applyProtection="1">
      <alignment horizontal="center" vertical="center"/>
    </xf>
    <xf numFmtId="165" fontId="96" fillId="16" borderId="22" xfId="2" applyNumberFormat="1" applyFont="1" applyFill="1" applyBorder="1" applyAlignment="1" applyProtection="1">
      <alignment horizontal="center" vertical="center"/>
      <protection locked="0"/>
    </xf>
    <xf numFmtId="0" fontId="95" fillId="0" borderId="22" xfId="2" applyFont="1" applyFill="1" applyBorder="1" applyAlignment="1" applyProtection="1">
      <alignment horizontal="center" vertical="center"/>
    </xf>
    <xf numFmtId="0" fontId="95" fillId="16" borderId="22" xfId="2" applyFont="1" applyFill="1" applyBorder="1" applyAlignment="1" applyProtection="1">
      <alignment horizontal="center" vertical="center"/>
      <protection locked="0"/>
    </xf>
    <xf numFmtId="0" fontId="95" fillId="0" borderId="22" xfId="2" applyFont="1" applyBorder="1" applyAlignment="1" applyProtection="1">
      <alignment horizontal="center" vertical="center"/>
    </xf>
    <xf numFmtId="165" fontId="96" fillId="16" borderId="23" xfId="2" applyNumberFormat="1" applyFont="1" applyFill="1" applyBorder="1" applyAlignment="1" applyProtection="1">
      <alignment horizontal="center" vertical="center"/>
      <protection locked="0"/>
    </xf>
    <xf numFmtId="174" fontId="96" fillId="16" borderId="19" xfId="2" applyNumberFormat="1" applyFont="1" applyFill="1" applyBorder="1" applyAlignment="1" applyProtection="1">
      <alignment horizontal="center" vertical="center"/>
      <protection locked="0"/>
    </xf>
    <xf numFmtId="9" fontId="96" fillId="16" borderId="19" xfId="1" applyFont="1" applyFill="1" applyBorder="1" applyAlignment="1" applyProtection="1">
      <alignment horizontal="center" vertical="center"/>
      <protection locked="0"/>
    </xf>
    <xf numFmtId="174" fontId="96" fillId="0" borderId="19" xfId="2" applyNumberFormat="1" applyFont="1" applyFill="1" applyBorder="1" applyAlignment="1" applyProtection="1">
      <alignment horizontal="center" vertical="center"/>
    </xf>
    <xf numFmtId="0" fontId="96" fillId="16" borderId="19" xfId="2" applyFont="1" applyFill="1" applyBorder="1" applyAlignment="1" applyProtection="1">
      <alignment horizontal="center" vertical="center"/>
      <protection locked="0"/>
    </xf>
    <xf numFmtId="177" fontId="96" fillId="16" borderId="19" xfId="2" applyNumberFormat="1" applyFont="1" applyFill="1" applyBorder="1" applyAlignment="1" applyProtection="1">
      <alignment horizontal="center" vertical="center"/>
      <protection locked="0"/>
    </xf>
    <xf numFmtId="0" fontId="81" fillId="3" borderId="1" xfId="6" applyNumberFormat="1" applyFont="1" applyFill="1" applyBorder="1" applyAlignment="1" applyProtection="1">
      <alignment horizontal="center" vertical="center"/>
      <protection hidden="1"/>
    </xf>
    <xf numFmtId="0" fontId="81" fillId="3" borderId="1" xfId="6" applyFont="1" applyFill="1" applyBorder="1" applyAlignment="1" applyProtection="1">
      <alignment horizontal="center"/>
      <protection hidden="1"/>
    </xf>
    <xf numFmtId="173" fontId="81" fillId="3" borderId="1" xfId="6" applyNumberFormat="1" applyFont="1" applyFill="1" applyBorder="1" applyAlignment="1" applyProtection="1">
      <alignment horizontal="center"/>
      <protection hidden="1"/>
    </xf>
    <xf numFmtId="0" fontId="81" fillId="3" borderId="1" xfId="6" applyNumberFormat="1" applyFont="1" applyFill="1" applyBorder="1" applyAlignment="1" applyProtection="1">
      <alignment horizontal="center"/>
      <protection hidden="1"/>
    </xf>
    <xf numFmtId="10" fontId="81" fillId="18" borderId="1" xfId="0" applyNumberFormat="1" applyFont="1" applyFill="1" applyBorder="1" applyAlignment="1" applyProtection="1">
      <alignment horizontal="center"/>
      <protection hidden="1"/>
    </xf>
    <xf numFmtId="9" fontId="81" fillId="3" borderId="1" xfId="4" applyNumberFormat="1" applyFont="1" applyFill="1" applyBorder="1" applyAlignment="1" applyProtection="1">
      <alignment horizontal="center"/>
      <protection hidden="1"/>
    </xf>
    <xf numFmtId="9" fontId="81" fillId="3" borderId="1" xfId="6" applyNumberFormat="1" applyFont="1" applyFill="1" applyBorder="1" applyAlignment="1" applyProtection="1">
      <alignment horizontal="center"/>
      <protection hidden="1"/>
    </xf>
    <xf numFmtId="0" fontId="81" fillId="3" borderId="1" xfId="1" applyNumberFormat="1" applyFont="1" applyFill="1" applyBorder="1" applyAlignment="1" applyProtection="1">
      <alignment horizontal="center"/>
      <protection hidden="1"/>
    </xf>
    <xf numFmtId="0" fontId="81" fillId="3" borderId="1" xfId="0" applyFont="1" applyFill="1" applyBorder="1" applyAlignment="1" applyProtection="1">
      <alignment horizontal="center"/>
      <protection hidden="1"/>
    </xf>
    <xf numFmtId="172" fontId="81" fillId="3" borderId="1" xfId="6" applyNumberFormat="1" applyFont="1" applyFill="1" applyBorder="1" applyAlignment="1" applyProtection="1">
      <alignment horizontal="center"/>
      <protection hidden="1"/>
    </xf>
    <xf numFmtId="9" fontId="81" fillId="3" borderId="1" xfId="1" applyFont="1" applyFill="1" applyBorder="1" applyAlignment="1" applyProtection="1">
      <alignment horizontal="center"/>
      <protection hidden="1"/>
    </xf>
    <xf numFmtId="9" fontId="81" fillId="15" borderId="1" xfId="1" applyFont="1" applyFill="1" applyBorder="1" applyAlignment="1" applyProtection="1">
      <alignment horizontal="center"/>
      <protection hidden="1"/>
    </xf>
    <xf numFmtId="9" fontId="81" fillId="15" borderId="1" xfId="6" applyNumberFormat="1" applyFont="1" applyFill="1" applyBorder="1" applyAlignment="1" applyProtection="1">
      <alignment horizontal="center"/>
      <protection hidden="1"/>
    </xf>
    <xf numFmtId="10" fontId="81" fillId="3" borderId="1" xfId="1" applyNumberFormat="1" applyFont="1" applyFill="1" applyBorder="1" applyAlignment="1" applyProtection="1">
      <alignment horizontal="center"/>
      <protection hidden="1"/>
    </xf>
    <xf numFmtId="169" fontId="82" fillId="3" borderId="1" xfId="6" applyNumberFormat="1" applyFont="1" applyFill="1" applyBorder="1" applyAlignment="1" applyProtection="1">
      <alignment horizontal="center"/>
      <protection hidden="1"/>
    </xf>
    <xf numFmtId="0" fontId="81" fillId="0" borderId="0" xfId="0" applyFont="1" applyAlignment="1" applyProtection="1">
      <alignment horizontal="center"/>
      <protection hidden="1"/>
    </xf>
    <xf numFmtId="170" fontId="82" fillId="3" borderId="1" xfId="6" applyNumberFormat="1" applyFont="1" applyFill="1" applyBorder="1" applyAlignment="1" applyProtection="1">
      <alignment horizontal="center"/>
      <protection hidden="1"/>
    </xf>
    <xf numFmtId="9" fontId="81" fillId="3" borderId="1" xfId="0" applyNumberFormat="1" applyFont="1" applyFill="1" applyBorder="1" applyAlignment="1" applyProtection="1">
      <alignment horizontal="center"/>
      <protection hidden="1"/>
    </xf>
    <xf numFmtId="0" fontId="81" fillId="3" borderId="1" xfId="0" applyFont="1" applyFill="1" applyBorder="1" applyProtection="1">
      <protection hidden="1"/>
    </xf>
    <xf numFmtId="0" fontId="81" fillId="3" borderId="1" xfId="6" applyFont="1" applyFill="1" applyBorder="1" applyAlignment="1" applyProtection="1">
      <alignment horizontal="centerContinuous"/>
      <protection hidden="1"/>
    </xf>
    <xf numFmtId="0" fontId="81" fillId="3" borderId="1" xfId="6" applyFont="1" applyFill="1" applyBorder="1" applyAlignment="1" applyProtection="1">
      <alignment horizontal="left"/>
      <protection hidden="1"/>
    </xf>
    <xf numFmtId="0" fontId="81" fillId="3" borderId="1" xfId="6" applyFont="1" applyFill="1" applyBorder="1" applyProtection="1">
      <protection hidden="1"/>
    </xf>
    <xf numFmtId="0" fontId="81" fillId="3" borderId="1" xfId="6" applyFont="1" applyFill="1" applyBorder="1" applyAlignment="1" applyProtection="1">
      <protection hidden="1"/>
    </xf>
    <xf numFmtId="0" fontId="84" fillId="0" borderId="1" xfId="0" applyFont="1" applyBorder="1" applyAlignment="1">
      <alignment horizontal="center" vertical="center"/>
    </xf>
    <xf numFmtId="0" fontId="62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7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61" fillId="0" borderId="1" xfId="0" applyNumberFormat="1" applyFont="1" applyBorder="1" applyAlignment="1">
      <alignment horizontal="center" vertical="center"/>
    </xf>
    <xf numFmtId="0" fontId="85" fillId="0" borderId="1" xfId="0" applyFont="1" applyBorder="1" applyAlignment="1" applyProtection="1">
      <alignment horizontal="center"/>
      <protection hidden="1"/>
    </xf>
    <xf numFmtId="0" fontId="6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0" fontId="84" fillId="0" borderId="1" xfId="0" applyFont="1" applyFill="1" applyBorder="1" applyAlignment="1">
      <alignment horizontal="center" vertical="center"/>
    </xf>
    <xf numFmtId="9" fontId="64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4" fontId="62" fillId="0" borderId="1" xfId="0" applyNumberFormat="1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68" fontId="0" fillId="0" borderId="1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168" fontId="64" fillId="18" borderId="1" xfId="0" applyNumberFormat="1" applyFont="1" applyFill="1" applyBorder="1" applyAlignment="1">
      <alignment horizontal="center" vertical="center"/>
    </xf>
    <xf numFmtId="171" fontId="81" fillId="18" borderId="1" xfId="6" applyNumberFormat="1" applyFont="1" applyFill="1" applyBorder="1" applyAlignment="1" applyProtection="1">
      <alignment horizontal="center"/>
      <protection hidden="1"/>
    </xf>
    <xf numFmtId="0" fontId="0" fillId="18" borderId="1" xfId="0" applyFill="1" applyBorder="1" applyAlignment="1">
      <alignment horizontal="center" vertical="center"/>
    </xf>
    <xf numFmtId="0" fontId="84" fillId="19" borderId="1" xfId="0" applyFont="1" applyFill="1" applyBorder="1" applyAlignment="1">
      <alignment horizontal="center" vertical="center"/>
    </xf>
    <xf numFmtId="0" fontId="84" fillId="3" borderId="1" xfId="0" applyFont="1" applyFill="1" applyBorder="1" applyAlignment="1" applyProtection="1">
      <alignment horizontal="center" vertical="center"/>
      <protection hidden="1"/>
    </xf>
    <xf numFmtId="9" fontId="10" fillId="18" borderId="1" xfId="0" applyNumberFormat="1" applyFont="1" applyFill="1" applyBorder="1" applyAlignment="1" applyProtection="1">
      <alignment horizontal="center" vertical="center"/>
      <protection hidden="1"/>
    </xf>
    <xf numFmtId="169" fontId="98" fillId="18" borderId="1" xfId="0" applyNumberFormat="1" applyFont="1" applyFill="1" applyBorder="1" applyAlignment="1" applyProtection="1">
      <alignment horizontal="center" vertical="center"/>
      <protection hidden="1"/>
    </xf>
    <xf numFmtId="9" fontId="98" fillId="5" borderId="1" xfId="0" applyNumberFormat="1" applyFont="1" applyFill="1" applyBorder="1" applyProtection="1">
      <protection hidden="1"/>
    </xf>
    <xf numFmtId="9" fontId="98" fillId="0" borderId="0" xfId="0" applyNumberFormat="1" applyFont="1" applyProtection="1">
      <protection hidden="1"/>
    </xf>
    <xf numFmtId="9" fontId="98" fillId="6" borderId="1" xfId="0" applyNumberFormat="1" applyFont="1" applyFill="1" applyBorder="1" applyProtection="1">
      <protection hidden="1"/>
    </xf>
    <xf numFmtId="9" fontId="98" fillId="7" borderId="1" xfId="0" applyNumberFormat="1" applyFont="1" applyFill="1" applyBorder="1" applyProtection="1">
      <protection hidden="1"/>
    </xf>
    <xf numFmtId="0" fontId="98" fillId="0" borderId="0" xfId="0" applyFont="1" applyProtection="1">
      <protection hidden="1"/>
    </xf>
    <xf numFmtId="9" fontId="98" fillId="8" borderId="1" xfId="0" applyNumberFormat="1" applyFont="1" applyFill="1" applyBorder="1" applyProtection="1">
      <protection hidden="1"/>
    </xf>
    <xf numFmtId="9" fontId="98" fillId="11" borderId="1" xfId="0" applyNumberFormat="1" applyFont="1" applyFill="1" applyBorder="1" applyProtection="1">
      <protection hidden="1"/>
    </xf>
    <xf numFmtId="9" fontId="98" fillId="12" borderId="1" xfId="0" applyNumberFormat="1" applyFont="1" applyFill="1" applyBorder="1" applyProtection="1">
      <protection hidden="1"/>
    </xf>
    <xf numFmtId="0" fontId="23" fillId="14" borderId="1" xfId="0" applyFont="1" applyFill="1" applyBorder="1" applyAlignment="1" applyProtection="1">
      <alignment horizontal="center"/>
      <protection hidden="1"/>
    </xf>
    <xf numFmtId="0" fontId="23" fillId="14" borderId="7" xfId="0" applyNumberFormat="1" applyFont="1" applyFill="1" applyBorder="1" applyAlignment="1" applyProtection="1">
      <protection hidden="1"/>
    </xf>
    <xf numFmtId="0" fontId="23" fillId="14" borderId="10" xfId="0" applyNumberFormat="1" applyFont="1" applyFill="1" applyBorder="1" applyAlignment="1" applyProtection="1">
      <protection hidden="1"/>
    </xf>
    <xf numFmtId="0" fontId="80" fillId="14" borderId="1" xfId="0" applyFont="1" applyFill="1" applyBorder="1" applyAlignment="1" applyProtection="1">
      <alignment horizontal="center"/>
      <protection hidden="1"/>
    </xf>
    <xf numFmtId="0" fontId="25" fillId="14" borderId="1" xfId="0" applyFont="1" applyFill="1" applyBorder="1" applyAlignment="1" applyProtection="1">
      <alignment horizontal="center"/>
      <protection hidden="1"/>
    </xf>
    <xf numFmtId="0" fontId="85" fillId="14" borderId="1" xfId="0" applyFont="1" applyFill="1" applyBorder="1" applyAlignment="1" applyProtection="1">
      <alignment horizontal="center"/>
      <protection hidden="1"/>
    </xf>
    <xf numFmtId="0" fontId="10" fillId="20" borderId="1" xfId="0" applyFont="1" applyFill="1" applyBorder="1" applyAlignment="1" applyProtection="1">
      <alignment horizontal="center"/>
      <protection hidden="1"/>
    </xf>
    <xf numFmtId="0" fontId="10" fillId="20" borderId="1" xfId="0" applyFont="1" applyFill="1" applyBorder="1" applyProtection="1">
      <protection hidden="1"/>
    </xf>
    <xf numFmtId="169" fontId="10" fillId="20" borderId="1" xfId="0" applyNumberFormat="1" applyFont="1" applyFill="1" applyBorder="1" applyAlignment="1" applyProtection="1">
      <alignment horizontal="center"/>
      <protection hidden="1"/>
    </xf>
    <xf numFmtId="0" fontId="3" fillId="20" borderId="0" xfId="0" applyFont="1" applyFill="1" applyProtection="1">
      <protection hidden="1"/>
    </xf>
    <xf numFmtId="10" fontId="3" fillId="20" borderId="0" xfId="0" applyNumberFormat="1" applyFont="1" applyFill="1" applyProtection="1">
      <protection hidden="1"/>
    </xf>
    <xf numFmtId="168" fontId="98" fillId="5" borderId="1" xfId="0" applyNumberFormat="1" applyFont="1" applyFill="1" applyBorder="1" applyProtection="1">
      <protection hidden="1"/>
    </xf>
    <xf numFmtId="0" fontId="84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23" fillId="14" borderId="10" xfId="0" applyNumberFormat="1" applyFont="1" applyFill="1" applyBorder="1" applyAlignment="1" applyProtection="1">
      <alignment horizontal="center"/>
      <protection hidden="1"/>
    </xf>
    <xf numFmtId="0" fontId="23" fillId="0" borderId="0" xfId="0" applyNumberFormat="1" applyFont="1" applyBorder="1" applyAlignment="1" applyProtection="1">
      <alignment horizontal="center"/>
      <protection hidden="1"/>
    </xf>
    <xf numFmtId="169" fontId="99" fillId="3" borderId="1" xfId="0" applyNumberFormat="1" applyFont="1" applyFill="1" applyBorder="1" applyAlignment="1" applyProtection="1">
      <alignment horizontal="center" vertical="center"/>
      <protection hidden="1"/>
    </xf>
    <xf numFmtId="0" fontId="99" fillId="3" borderId="1" xfId="0" applyNumberFormat="1" applyFont="1" applyFill="1" applyBorder="1" applyAlignment="1" applyProtection="1">
      <alignment horizontal="center" vertical="center"/>
      <protection hidden="1"/>
    </xf>
    <xf numFmtId="169" fontId="99" fillId="0" borderId="1" xfId="0" applyNumberFormat="1" applyFont="1" applyBorder="1" applyAlignment="1" applyProtection="1">
      <alignment horizontal="center"/>
      <protection hidden="1"/>
    </xf>
    <xf numFmtId="0" fontId="99" fillId="0" borderId="1" xfId="0" applyFont="1" applyBorder="1" applyAlignment="1" applyProtection="1">
      <alignment horizontal="center"/>
      <protection hidden="1"/>
    </xf>
    <xf numFmtId="0" fontId="87" fillId="3" borderId="1" xfId="0" applyFont="1" applyFill="1" applyBorder="1" applyAlignment="1" applyProtection="1">
      <alignment horizontal="center"/>
      <protection hidden="1"/>
    </xf>
    <xf numFmtId="0" fontId="88" fillId="3" borderId="1" xfId="0" applyFont="1" applyFill="1" applyBorder="1" applyProtection="1">
      <protection hidden="1"/>
    </xf>
    <xf numFmtId="167" fontId="89" fillId="3" borderId="1" xfId="0" applyNumberFormat="1" applyFont="1" applyFill="1" applyBorder="1" applyAlignment="1" applyProtection="1">
      <alignment horizontal="center"/>
      <protection hidden="1"/>
    </xf>
    <xf numFmtId="169" fontId="40" fillId="21" borderId="1" xfId="0" applyNumberFormat="1" applyFont="1" applyFill="1" applyBorder="1" applyAlignment="1" applyProtection="1">
      <alignment horizontal="center"/>
      <protection hidden="1"/>
    </xf>
    <xf numFmtId="169" fontId="10" fillId="21" borderId="1" xfId="0" applyNumberFormat="1" applyFont="1" applyFill="1" applyBorder="1" applyAlignment="1" applyProtection="1">
      <alignment horizontal="center" vertical="center"/>
      <protection hidden="1"/>
    </xf>
    <xf numFmtId="169" fontId="74" fillId="21" borderId="1" xfId="0" applyNumberFormat="1" applyFont="1" applyFill="1" applyBorder="1" applyAlignment="1" applyProtection="1">
      <alignment horizontal="center" vertical="center"/>
      <protection hidden="1"/>
    </xf>
    <xf numFmtId="0" fontId="91" fillId="0" borderId="1" xfId="0" applyFont="1" applyBorder="1" applyAlignment="1" applyProtection="1">
      <alignment horizontal="center"/>
      <protection hidden="1"/>
    </xf>
    <xf numFmtId="10" fontId="23" fillId="0" borderId="0" xfId="1" applyNumberFormat="1" applyFont="1" applyProtection="1">
      <protection hidden="1"/>
    </xf>
    <xf numFmtId="10" fontId="43" fillId="0" borderId="0" xfId="1" applyNumberFormat="1" applyFont="1" applyProtection="1">
      <protection hidden="1"/>
    </xf>
    <xf numFmtId="0" fontId="23" fillId="0" borderId="0" xfId="0" applyNumberFormat="1" applyFont="1" applyProtection="1">
      <protection hidden="1"/>
    </xf>
    <xf numFmtId="0" fontId="90" fillId="0" borderId="1" xfId="0" applyFont="1" applyFill="1" applyBorder="1" applyAlignment="1">
      <alignment horizontal="center" vertical="center"/>
    </xf>
    <xf numFmtId="10" fontId="3" fillId="0" borderId="0" xfId="1" applyNumberFormat="1" applyFont="1" applyAlignment="1" applyProtection="1">
      <alignment horizontal="center" vertical="center"/>
      <protection hidden="1"/>
    </xf>
    <xf numFmtId="169" fontId="98" fillId="22" borderId="1" xfId="0" applyNumberFormat="1" applyFont="1" applyFill="1" applyBorder="1" applyAlignment="1" applyProtection="1">
      <alignment horizontal="center" vertical="center"/>
      <protection hidden="1"/>
    </xf>
    <xf numFmtId="0" fontId="93" fillId="16" borderId="1" xfId="3" applyFill="1" applyBorder="1" applyAlignment="1">
      <alignment vertical="center"/>
    </xf>
    <xf numFmtId="0" fontId="103" fillId="16" borderId="3" xfId="3" applyFont="1" applyFill="1" applyBorder="1" applyAlignment="1">
      <alignment horizontal="center" vertical="center" wrapText="1"/>
    </xf>
    <xf numFmtId="0" fontId="103" fillId="16" borderId="1" xfId="3" applyFont="1" applyFill="1" applyBorder="1" applyAlignment="1">
      <alignment horizontal="center" vertical="center" wrapText="1"/>
    </xf>
    <xf numFmtId="0" fontId="93" fillId="16" borderId="1" xfId="3" applyFont="1" applyFill="1" applyBorder="1" applyAlignment="1">
      <alignment vertical="center"/>
    </xf>
    <xf numFmtId="0" fontId="93" fillId="0" borderId="1" xfId="3" applyBorder="1" applyAlignment="1" applyProtection="1">
      <alignment vertical="center"/>
      <protection locked="0"/>
    </xf>
    <xf numFmtId="0" fontId="103" fillId="0" borderId="1" xfId="3" applyFont="1" applyBorder="1" applyAlignment="1" applyProtection="1">
      <alignment horizontal="left" vertical="center" wrapText="1"/>
      <protection locked="0"/>
    </xf>
    <xf numFmtId="0" fontId="103" fillId="0" borderId="0" xfId="3" applyFont="1" applyBorder="1" applyAlignment="1">
      <alignment horizontal="left" vertical="center" wrapText="1"/>
    </xf>
    <xf numFmtId="14" fontId="103" fillId="16" borderId="1" xfId="3" applyNumberFormat="1" applyFont="1" applyFill="1" applyBorder="1" applyAlignment="1">
      <alignment horizontal="center" vertical="center" wrapText="1"/>
    </xf>
    <xf numFmtId="0" fontId="103" fillId="24" borderId="1" xfId="3" applyFont="1" applyFill="1" applyBorder="1" applyAlignment="1" applyProtection="1">
      <alignment horizontal="center" vertical="center" wrapText="1"/>
      <protection locked="0"/>
    </xf>
    <xf numFmtId="0" fontId="94" fillId="17" borderId="19" xfId="2" applyFont="1" applyFill="1" applyBorder="1" applyAlignment="1" applyProtection="1">
      <alignment horizontal="center" vertical="center"/>
    </xf>
    <xf numFmtId="0" fontId="94" fillId="17" borderId="20" xfId="2" applyFont="1" applyFill="1" applyBorder="1" applyAlignment="1" applyProtection="1">
      <alignment horizontal="center" vertical="center"/>
    </xf>
    <xf numFmtId="0" fontId="95" fillId="0" borderId="19" xfId="2" applyFont="1" applyFill="1" applyBorder="1" applyAlignment="1" applyProtection="1">
      <alignment horizontal="center" vertical="center"/>
    </xf>
    <xf numFmtId="0" fontId="100" fillId="0" borderId="24" xfId="2" applyNumberFormat="1" applyFont="1" applyFill="1" applyBorder="1" applyAlignment="1" applyProtection="1">
      <alignment horizontal="center" vertical="center"/>
    </xf>
    <xf numFmtId="0" fontId="100" fillId="0" borderId="25" xfId="2" applyNumberFormat="1" applyFont="1" applyFill="1" applyBorder="1" applyAlignment="1" applyProtection="1">
      <alignment horizontal="center" vertical="center"/>
    </xf>
    <xf numFmtId="0" fontId="100" fillId="0" borderId="26" xfId="2" applyNumberFormat="1" applyFont="1" applyFill="1" applyBorder="1" applyAlignment="1" applyProtection="1">
      <alignment horizontal="center" vertical="center"/>
    </xf>
    <xf numFmtId="0" fontId="94" fillId="15" borderId="19" xfId="2" applyFont="1" applyFill="1" applyBorder="1" applyAlignment="1" applyProtection="1">
      <alignment horizontal="center" vertical="center"/>
    </xf>
    <xf numFmtId="0" fontId="94" fillId="15" borderId="20" xfId="2" applyFont="1" applyFill="1" applyBorder="1" applyAlignment="1" applyProtection="1">
      <alignment horizontal="center" vertical="center"/>
    </xf>
    <xf numFmtId="0" fontId="95" fillId="16" borderId="19" xfId="2" applyFont="1" applyFill="1" applyBorder="1" applyAlignment="1" applyProtection="1">
      <alignment horizontal="left" vertical="top"/>
      <protection locked="0"/>
    </xf>
    <xf numFmtId="0" fontId="95" fillId="16" borderId="20" xfId="2" applyFont="1" applyFill="1" applyBorder="1" applyAlignment="1" applyProtection="1">
      <alignment horizontal="left" vertical="top"/>
      <protection locked="0"/>
    </xf>
    <xf numFmtId="177" fontId="95" fillId="16" borderId="19" xfId="2" applyNumberFormat="1" applyFont="1" applyFill="1" applyBorder="1" applyAlignment="1" applyProtection="1">
      <alignment horizontal="center" vertical="center"/>
      <protection locked="0"/>
    </xf>
    <xf numFmtId="0" fontId="100" fillId="0" borderId="18" xfId="5" applyFont="1" applyFill="1" applyBorder="1" applyAlignment="1" applyProtection="1">
      <alignment horizontal="center" vertical="center"/>
    </xf>
    <xf numFmtId="0" fontId="100" fillId="0" borderId="19" xfId="5" applyFont="1" applyFill="1" applyBorder="1" applyAlignment="1" applyProtection="1">
      <alignment horizontal="center" vertical="center"/>
    </xf>
    <xf numFmtId="0" fontId="100" fillId="0" borderId="20" xfId="5" applyFont="1" applyFill="1" applyBorder="1" applyAlignment="1" applyProtection="1">
      <alignment horizontal="center" vertical="center"/>
    </xf>
    <xf numFmtId="0" fontId="95" fillId="16" borderId="18" xfId="5" applyFont="1" applyFill="1" applyBorder="1" applyAlignment="1" applyProtection="1">
      <alignment horizontal="center" vertical="center"/>
      <protection locked="0"/>
    </xf>
    <xf numFmtId="0" fontId="95" fillId="16" borderId="19" xfId="5" applyFont="1" applyFill="1" applyBorder="1" applyAlignment="1" applyProtection="1">
      <alignment horizontal="center" vertical="center"/>
      <protection locked="0"/>
    </xf>
    <xf numFmtId="0" fontId="94" fillId="16" borderId="19" xfId="2" applyFont="1" applyFill="1" applyBorder="1" applyAlignment="1" applyProtection="1">
      <alignment horizontal="center" vertical="top"/>
      <protection locked="0"/>
    </xf>
    <xf numFmtId="0" fontId="94" fillId="16" borderId="20" xfId="2" applyFont="1" applyFill="1" applyBorder="1" applyAlignment="1" applyProtection="1">
      <alignment horizontal="center" vertical="top"/>
      <protection locked="0"/>
    </xf>
    <xf numFmtId="0" fontId="65" fillId="0" borderId="7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01" fillId="0" borderId="19" xfId="2" applyFont="1" applyFill="1" applyBorder="1" applyAlignment="1" applyProtection="1">
      <alignment vertical="center"/>
    </xf>
    <xf numFmtId="0" fontId="101" fillId="0" borderId="20" xfId="2" applyFont="1" applyFill="1" applyBorder="1" applyAlignment="1" applyProtection="1">
      <alignment vertical="center"/>
    </xf>
    <xf numFmtId="0" fontId="94" fillId="15" borderId="18" xfId="2" applyFont="1" applyFill="1" applyBorder="1" applyAlignment="1" applyProtection="1">
      <alignment horizontal="center" vertical="center"/>
    </xf>
    <xf numFmtId="0" fontId="94" fillId="17" borderId="18" xfId="2" applyNumberFormat="1" applyFont="1" applyFill="1" applyBorder="1" applyAlignment="1" applyProtection="1">
      <alignment horizontal="center" vertical="center"/>
    </xf>
    <xf numFmtId="0" fontId="94" fillId="17" borderId="19" xfId="2" applyNumberFormat="1" applyFont="1" applyFill="1" applyBorder="1" applyAlignment="1" applyProtection="1">
      <alignment horizontal="center" vertical="center"/>
    </xf>
    <xf numFmtId="170" fontId="94" fillId="17" borderId="19" xfId="2" applyNumberFormat="1" applyFont="1" applyFill="1" applyBorder="1" applyAlignment="1" applyProtection="1">
      <alignment horizontal="center" vertical="center"/>
    </xf>
    <xf numFmtId="170" fontId="94" fillId="17" borderId="20" xfId="2" applyNumberFormat="1" applyFont="1" applyFill="1" applyBorder="1" applyAlignment="1" applyProtection="1">
      <alignment horizontal="center" vertical="center"/>
    </xf>
    <xf numFmtId="0" fontId="83" fillId="3" borderId="4" xfId="6" applyFont="1" applyFill="1" applyBorder="1" applyAlignment="1" applyProtection="1">
      <alignment horizontal="center"/>
      <protection hidden="1"/>
    </xf>
    <xf numFmtId="0" fontId="81" fillId="3" borderId="7" xfId="6" applyFont="1" applyFill="1" applyBorder="1" applyAlignment="1" applyProtection="1">
      <alignment horizontal="center"/>
      <protection hidden="1"/>
    </xf>
    <xf numFmtId="0" fontId="81" fillId="3" borderId="10" xfId="6" applyFont="1" applyFill="1" applyBorder="1" applyAlignment="1" applyProtection="1">
      <alignment horizontal="center"/>
      <protection hidden="1"/>
    </xf>
    <xf numFmtId="0" fontId="81" fillId="3" borderId="7" xfId="6" applyNumberFormat="1" applyFont="1" applyFill="1" applyBorder="1" applyAlignment="1" applyProtection="1">
      <alignment horizontal="center" wrapText="1"/>
      <protection hidden="1"/>
    </xf>
    <xf numFmtId="0" fontId="81" fillId="3" borderId="10" xfId="6" applyNumberFormat="1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24" fillId="3" borderId="0" xfId="0" applyFont="1" applyFill="1" applyAlignment="1" applyProtection="1">
      <alignment horizontal="center"/>
      <protection hidden="1"/>
    </xf>
    <xf numFmtId="0" fontId="25" fillId="3" borderId="0" xfId="0" applyFont="1" applyFill="1" applyAlignment="1" applyProtection="1">
      <alignment horizontal="center"/>
      <protection hidden="1"/>
    </xf>
    <xf numFmtId="0" fontId="24" fillId="3" borderId="0" xfId="0" applyFont="1" applyFill="1" applyBorder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0" fontId="12" fillId="0" borderId="4" xfId="6" applyFont="1" applyBorder="1" applyAlignment="1">
      <alignment horizontal="center"/>
    </xf>
    <xf numFmtId="0" fontId="23" fillId="0" borderId="0" xfId="6" applyFont="1" applyBorder="1" applyAlignment="1" applyProtection="1">
      <alignment horizontal="center"/>
      <protection hidden="1"/>
    </xf>
    <xf numFmtId="0" fontId="12" fillId="0" borderId="0" xfId="6" applyFont="1" applyBorder="1" applyAlignment="1" applyProtection="1">
      <alignment horizontal="center"/>
      <protection hidden="1"/>
    </xf>
    <xf numFmtId="0" fontId="23" fillId="0" borderId="4" xfId="6" applyFont="1" applyBorder="1" applyAlignment="1" applyProtection="1">
      <alignment horizontal="center"/>
      <protection hidden="1"/>
    </xf>
    <xf numFmtId="0" fontId="12" fillId="2" borderId="7" xfId="6" applyNumberFormat="1" applyFont="1" applyFill="1" applyBorder="1" applyAlignment="1" applyProtection="1">
      <alignment horizontal="center"/>
      <protection hidden="1"/>
    </xf>
    <xf numFmtId="0" fontId="12" fillId="2" borderId="10" xfId="6" applyNumberFormat="1" applyFont="1" applyFill="1" applyBorder="1" applyAlignment="1" applyProtection="1">
      <alignment horizontal="center"/>
      <protection hidden="1"/>
    </xf>
    <xf numFmtId="14" fontId="14" fillId="2" borderId="7" xfId="6" applyNumberFormat="1" applyFont="1" applyFill="1" applyBorder="1" applyAlignment="1" applyProtection="1">
      <alignment horizontal="center"/>
      <protection hidden="1"/>
    </xf>
    <xf numFmtId="14" fontId="14" fillId="2" borderId="10" xfId="6" applyNumberFormat="1" applyFont="1" applyFill="1" applyBorder="1" applyAlignment="1" applyProtection="1">
      <alignment horizontal="center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167" fontId="23" fillId="0" borderId="7" xfId="0" applyNumberFormat="1" applyFont="1" applyBorder="1" applyAlignment="1" applyProtection="1">
      <alignment horizontal="center" vertical="center" wrapText="1"/>
      <protection hidden="1"/>
    </xf>
    <xf numFmtId="167" fontId="23" fillId="0" borderId="10" xfId="0" applyNumberFormat="1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/>
      <protection hidden="1"/>
    </xf>
    <xf numFmtId="0" fontId="23" fillId="0" borderId="10" xfId="0" applyFont="1" applyBorder="1" applyAlignment="1" applyProtection="1">
      <alignment horizontal="center"/>
      <protection hidden="1"/>
    </xf>
    <xf numFmtId="0" fontId="23" fillId="0" borderId="1" xfId="0" applyFont="1" applyBorder="1" applyAlignment="1">
      <alignment horizontal="center"/>
    </xf>
    <xf numFmtId="0" fontId="57" fillId="3" borderId="7" xfId="0" applyFont="1" applyFill="1" applyBorder="1" applyAlignment="1" applyProtection="1">
      <alignment horizontal="center" vertical="center" wrapText="1"/>
      <protection hidden="1"/>
    </xf>
    <xf numFmtId="0" fontId="23" fillId="3" borderId="9" xfId="0" applyFont="1" applyFill="1" applyBorder="1" applyAlignment="1" applyProtection="1">
      <alignment horizontal="center" vertical="center" wrapText="1"/>
      <protection hidden="1"/>
    </xf>
    <xf numFmtId="0" fontId="23" fillId="3" borderId="10" xfId="0" applyFont="1" applyFill="1" applyBorder="1" applyAlignment="1" applyProtection="1">
      <alignment horizontal="center" vertical="center" wrapText="1"/>
      <protection hidden="1"/>
    </xf>
    <xf numFmtId="169" fontId="23" fillId="3" borderId="1" xfId="0" applyNumberFormat="1" applyFont="1" applyFill="1" applyBorder="1" applyAlignment="1" applyProtection="1">
      <alignment horizontal="right"/>
      <protection hidden="1"/>
    </xf>
    <xf numFmtId="0" fontId="23" fillId="3" borderId="2" xfId="0" applyFont="1" applyFill="1" applyBorder="1" applyAlignment="1" applyProtection="1">
      <alignment horizontal="left" vertical="center" wrapText="1"/>
      <protection hidden="1"/>
    </xf>
    <xf numFmtId="169" fontId="23" fillId="3" borderId="7" xfId="0" applyNumberFormat="1" applyFont="1" applyFill="1" applyBorder="1" applyAlignment="1" applyProtection="1">
      <alignment horizontal="center"/>
      <protection hidden="1"/>
    </xf>
    <xf numFmtId="169" fontId="23" fillId="3" borderId="10" xfId="0" applyNumberFormat="1" applyFont="1" applyFill="1" applyBorder="1" applyAlignment="1" applyProtection="1">
      <alignment horizontal="center"/>
      <protection hidden="1"/>
    </xf>
    <xf numFmtId="169" fontId="23" fillId="3" borderId="1" xfId="0" applyNumberFormat="1" applyFont="1" applyFill="1" applyBorder="1" applyAlignment="1" applyProtection="1">
      <alignment horizontal="center"/>
      <protection hidden="1"/>
    </xf>
    <xf numFmtId="0" fontId="23" fillId="3" borderId="1" xfId="0" applyFont="1" applyFill="1" applyBorder="1" applyAlignment="1" applyProtection="1">
      <alignment horizontal="left" vertical="center"/>
      <protection hidden="1"/>
    </xf>
    <xf numFmtId="169" fontId="23" fillId="3" borderId="1" xfId="0" applyNumberFormat="1" applyFont="1" applyFill="1" applyBorder="1" applyAlignment="1" applyProtection="1">
      <alignment horizontal="left"/>
      <protection hidden="1"/>
    </xf>
    <xf numFmtId="169" fontId="23" fillId="3" borderId="3" xfId="0" applyNumberFormat="1" applyFont="1" applyFill="1" applyBorder="1" applyAlignment="1" applyProtection="1">
      <alignment horizontal="left"/>
      <protection hidden="1"/>
    </xf>
    <xf numFmtId="0" fontId="23" fillId="14" borderId="1" xfId="0" applyFont="1" applyFill="1" applyBorder="1" applyAlignment="1" applyProtection="1">
      <alignment horizontal="center"/>
      <protection hidden="1"/>
    </xf>
    <xf numFmtId="9" fontId="23" fillId="3" borderId="1" xfId="0" applyNumberFormat="1" applyFont="1" applyFill="1" applyBorder="1" applyAlignment="1" applyProtection="1">
      <alignment horizontal="center"/>
      <protection hidden="1"/>
    </xf>
    <xf numFmtId="9" fontId="57" fillId="3" borderId="7" xfId="0" applyNumberFormat="1" applyFont="1" applyFill="1" applyBorder="1" applyAlignment="1" applyProtection="1">
      <alignment horizontal="left"/>
      <protection hidden="1"/>
    </xf>
    <xf numFmtId="9" fontId="23" fillId="3" borderId="10" xfId="0" applyNumberFormat="1" applyFont="1" applyFill="1" applyBorder="1" applyAlignment="1" applyProtection="1">
      <alignment horizontal="left"/>
      <protection hidden="1"/>
    </xf>
    <xf numFmtId="0" fontId="57" fillId="3" borderId="7" xfId="0" applyFont="1" applyFill="1" applyBorder="1" applyAlignment="1" applyProtection="1">
      <alignment horizontal="left" vertical="center" wrapText="1"/>
      <protection hidden="1"/>
    </xf>
    <xf numFmtId="0" fontId="23" fillId="3" borderId="10" xfId="0" applyFont="1" applyFill="1" applyBorder="1" applyAlignment="1" applyProtection="1">
      <alignment horizontal="left" vertical="center" wrapText="1"/>
      <protection hidden="1"/>
    </xf>
    <xf numFmtId="0" fontId="23" fillId="3" borderId="1" xfId="0" applyFont="1" applyFill="1" applyBorder="1" applyAlignment="1" applyProtection="1">
      <alignment horizontal="left" vertical="center" wrapText="1"/>
      <protection hidden="1"/>
    </xf>
    <xf numFmtId="0" fontId="23" fillId="3" borderId="1" xfId="0" applyFont="1" applyFill="1" applyBorder="1" applyAlignment="1" applyProtection="1">
      <alignment horizontal="left"/>
      <protection hidden="1"/>
    </xf>
    <xf numFmtId="0" fontId="23" fillId="3" borderId="1" xfId="0" applyFont="1" applyFill="1" applyBorder="1" applyAlignment="1" applyProtection="1">
      <alignment horizontal="center" vertical="center" wrapText="1"/>
      <protection hidden="1"/>
    </xf>
    <xf numFmtId="169" fontId="23" fillId="3" borderId="2" xfId="0" applyNumberFormat="1" applyFont="1" applyFill="1" applyBorder="1" applyAlignment="1" applyProtection="1">
      <alignment horizontal="left"/>
      <protection hidden="1"/>
    </xf>
    <xf numFmtId="169" fontId="2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3" borderId="1" xfId="0" applyFont="1" applyFill="1" applyBorder="1" applyAlignment="1" applyProtection="1">
      <alignment horizontal="center" vertical="center"/>
      <protection hidden="1"/>
    </xf>
    <xf numFmtId="0" fontId="23" fillId="3" borderId="2" xfId="0" applyFont="1" applyFill="1" applyBorder="1" applyAlignment="1" applyProtection="1">
      <alignment horizontal="center" vertical="center"/>
      <protection hidden="1"/>
    </xf>
    <xf numFmtId="0" fontId="23" fillId="3" borderId="1" xfId="0" applyFont="1" applyFill="1" applyBorder="1" applyAlignment="1" applyProtection="1">
      <protection hidden="1"/>
    </xf>
    <xf numFmtId="0" fontId="57" fillId="3" borderId="1" xfId="0" applyFont="1" applyFill="1" applyBorder="1" applyAlignment="1" applyProtection="1">
      <alignment horizontal="center" vertical="center" wrapText="1"/>
      <protection hidden="1"/>
    </xf>
    <xf numFmtId="0" fontId="23" fillId="3" borderId="1" xfId="0" applyFont="1" applyFill="1" applyBorder="1" applyAlignment="1" applyProtection="1">
      <alignment horizontal="center" vertical="top" wrapText="1"/>
      <protection hidden="1"/>
    </xf>
    <xf numFmtId="0" fontId="23" fillId="3" borderId="7" xfId="0" applyFont="1" applyFill="1" applyBorder="1" applyAlignment="1" applyProtection="1">
      <alignment horizontal="left" vertical="top" wrapText="1"/>
      <protection hidden="1"/>
    </xf>
    <xf numFmtId="0" fontId="23" fillId="3" borderId="10" xfId="0" applyFont="1" applyFill="1" applyBorder="1" applyAlignment="1" applyProtection="1">
      <alignment horizontal="left" vertical="top" wrapText="1"/>
      <protection hidden="1"/>
    </xf>
    <xf numFmtId="169" fontId="23" fillId="3" borderId="11" xfId="0" applyNumberFormat="1" applyFont="1" applyFill="1" applyBorder="1" applyAlignment="1" applyProtection="1">
      <alignment horizontal="center" vertical="center" wrapText="1"/>
      <protection hidden="1"/>
    </xf>
    <xf numFmtId="169" fontId="23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23" fillId="3" borderId="3" xfId="0" applyFont="1" applyFill="1" applyBorder="1" applyAlignment="1" applyProtection="1">
      <alignment horizontal="center" vertical="center" wrapText="1"/>
      <protection hidden="1"/>
    </xf>
    <xf numFmtId="0" fontId="23" fillId="3" borderId="15" xfId="0" applyFont="1" applyFill="1" applyBorder="1" applyAlignment="1" applyProtection="1">
      <alignment horizontal="center" vertical="center" wrapText="1"/>
      <protection hidden="1"/>
    </xf>
    <xf numFmtId="0" fontId="23" fillId="3" borderId="2" xfId="0" applyFont="1" applyFill="1" applyBorder="1" applyAlignment="1" applyProtection="1">
      <alignment horizontal="center" vertical="center" wrapText="1"/>
      <protection hidden="1"/>
    </xf>
    <xf numFmtId="0" fontId="23" fillId="3" borderId="7" xfId="0" applyFont="1" applyFill="1" applyBorder="1" applyAlignment="1" applyProtection="1">
      <alignment horizontal="left"/>
      <protection hidden="1"/>
    </xf>
    <xf numFmtId="0" fontId="23" fillId="3" borderId="10" xfId="0" applyFont="1" applyFill="1" applyBorder="1" applyAlignment="1" applyProtection="1">
      <alignment horizontal="left"/>
      <protection hidden="1"/>
    </xf>
    <xf numFmtId="0" fontId="23" fillId="3" borderId="3" xfId="0" applyFont="1" applyFill="1" applyBorder="1" applyAlignment="1" applyProtection="1">
      <alignment horizontal="left"/>
      <protection hidden="1"/>
    </xf>
    <xf numFmtId="0" fontId="73" fillId="3" borderId="1" xfId="0" applyFont="1" applyFill="1" applyBorder="1" applyAlignment="1" applyProtection="1">
      <alignment horizontal="center" vertical="center" wrapText="1"/>
      <protection hidden="1"/>
    </xf>
    <xf numFmtId="169" fontId="23" fillId="3" borderId="14" xfId="0" applyNumberFormat="1" applyFont="1" applyFill="1" applyBorder="1" applyAlignment="1" applyProtection="1">
      <alignment horizontal="center" vertical="center" wrapText="1"/>
      <protection hidden="1"/>
    </xf>
    <xf numFmtId="169" fontId="23" fillId="3" borderId="8" xfId="0" applyNumberFormat="1" applyFont="1" applyFill="1" applyBorder="1" applyAlignment="1" applyProtection="1">
      <alignment horizontal="center" vertical="center" wrapText="1"/>
      <protection hidden="1"/>
    </xf>
    <xf numFmtId="9" fontId="23" fillId="3" borderId="7" xfId="0" applyNumberFormat="1" applyFont="1" applyFill="1" applyBorder="1" applyAlignment="1" applyProtection="1">
      <alignment horizontal="center" vertical="center" wrapText="1"/>
      <protection hidden="1"/>
    </xf>
    <xf numFmtId="169" fontId="23" fillId="3" borderId="7" xfId="0" applyNumberFormat="1" applyFont="1" applyFill="1" applyBorder="1" applyAlignment="1" applyProtection="1">
      <alignment horizontal="center" vertical="center" wrapText="1"/>
      <protection hidden="1"/>
    </xf>
    <xf numFmtId="169" fontId="23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Alignment="1" applyProtection="1">
      <alignment horizontal="left"/>
      <protection hidden="1"/>
    </xf>
    <xf numFmtId="0" fontId="24" fillId="0" borderId="0" xfId="0" applyFont="1" applyFill="1" applyAlignment="1" applyProtection="1">
      <alignment horizontal="left"/>
      <protection hidden="1"/>
    </xf>
    <xf numFmtId="0" fontId="25" fillId="0" borderId="0" xfId="0" applyFont="1" applyFill="1" applyAlignment="1" applyProtection="1">
      <alignment horizontal="left"/>
      <protection hidden="1"/>
    </xf>
    <xf numFmtId="0" fontId="24" fillId="3" borderId="10" xfId="0" applyFont="1" applyFill="1" applyBorder="1" applyAlignment="1" applyProtection="1">
      <alignment horizontal="center"/>
      <protection hidden="1"/>
    </xf>
    <xf numFmtId="0" fontId="23" fillId="3" borderId="2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3" xfId="0" applyFont="1" applyFill="1" applyBorder="1" applyAlignment="1" applyProtection="1">
      <alignment horizontal="left" vertical="center" wrapText="1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23" fillId="3" borderId="7" xfId="0" applyFont="1" applyFill="1" applyBorder="1" applyAlignment="1" applyProtection="1">
      <alignment horizontal="center" vertical="center" wrapText="1"/>
      <protection hidden="1"/>
    </xf>
    <xf numFmtId="0" fontId="23" fillId="3" borderId="9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33" fillId="4" borderId="3" xfId="0" applyFont="1" applyFill="1" applyBorder="1" applyAlignment="1" applyProtection="1">
      <alignment horizontal="center" vertical="center"/>
      <protection hidden="1"/>
    </xf>
    <xf numFmtId="0" fontId="33" fillId="4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0" fillId="3" borderId="10" xfId="0" applyFont="1" applyFill="1" applyBorder="1" applyAlignment="1" applyProtection="1">
      <alignment horizontal="center" vertical="center"/>
      <protection hidden="1"/>
    </xf>
    <xf numFmtId="169" fontId="23" fillId="0" borderId="7" xfId="0" applyNumberFormat="1" applyFont="1" applyFill="1" applyBorder="1" applyAlignment="1" applyProtection="1">
      <alignment horizontal="center"/>
      <protection hidden="1"/>
    </xf>
    <xf numFmtId="169" fontId="23" fillId="0" borderId="10" xfId="0" applyNumberFormat="1" applyFont="1" applyFill="1" applyBorder="1" applyAlignment="1" applyProtection="1">
      <alignment horizontal="center"/>
      <protection hidden="1"/>
    </xf>
    <xf numFmtId="170" fontId="27" fillId="0" borderId="7" xfId="0" applyNumberFormat="1" applyFont="1" applyBorder="1" applyAlignment="1" applyProtection="1">
      <alignment horizontal="center"/>
      <protection hidden="1"/>
    </xf>
    <xf numFmtId="170" fontId="27" fillId="0" borderId="10" xfId="0" applyNumberFormat="1" applyFont="1" applyBorder="1" applyAlignment="1" applyProtection="1">
      <alignment horizontal="center"/>
      <protection hidden="1"/>
    </xf>
    <xf numFmtId="170" fontId="23" fillId="0" borderId="7" xfId="0" applyNumberFormat="1" applyFont="1" applyBorder="1" applyAlignment="1" applyProtection="1">
      <alignment horizontal="center"/>
      <protection hidden="1"/>
    </xf>
    <xf numFmtId="170" fontId="46" fillId="0" borderId="10" xfId="0" applyNumberFormat="1" applyFont="1" applyBorder="1" applyAlignment="1" applyProtection="1">
      <alignment horizontal="center"/>
      <protection hidden="1"/>
    </xf>
    <xf numFmtId="0" fontId="53" fillId="0" borderId="1" xfId="0" applyFont="1" applyBorder="1" applyAlignment="1">
      <alignment horizontal="center" wrapText="1"/>
    </xf>
    <xf numFmtId="172" fontId="29" fillId="4" borderId="7" xfId="0" applyNumberFormat="1" applyFont="1" applyFill="1" applyBorder="1" applyAlignment="1" applyProtection="1">
      <alignment horizontal="center"/>
      <protection hidden="1"/>
    </xf>
    <xf numFmtId="172" fontId="29" fillId="4" borderId="8" xfId="0" applyNumberFormat="1" applyFont="1" applyFill="1" applyBorder="1" applyAlignment="1" applyProtection="1">
      <alignment horizontal="center"/>
      <protection hidden="1"/>
    </xf>
    <xf numFmtId="10" fontId="45" fillId="0" borderId="7" xfId="0" applyNumberFormat="1" applyFont="1" applyBorder="1" applyAlignment="1" applyProtection="1">
      <alignment horizontal="center"/>
      <protection hidden="1"/>
    </xf>
    <xf numFmtId="10" fontId="45" fillId="0" borderId="10" xfId="0" applyNumberFormat="1" applyFont="1" applyBorder="1" applyAlignment="1" applyProtection="1">
      <alignment horizontal="center"/>
      <protection hidden="1"/>
    </xf>
    <xf numFmtId="0" fontId="27" fillId="0" borderId="7" xfId="0" applyFont="1" applyBorder="1" applyAlignment="1" applyProtection="1">
      <alignment horizontal="center"/>
      <protection hidden="1"/>
    </xf>
    <xf numFmtId="0" fontId="27" fillId="0" borderId="10" xfId="0" applyFont="1" applyBorder="1" applyAlignment="1" applyProtection="1">
      <alignment horizontal="center"/>
      <protection hidden="1"/>
    </xf>
    <xf numFmtId="169" fontId="27" fillId="0" borderId="7" xfId="0" applyNumberFormat="1" applyFont="1" applyBorder="1" applyAlignment="1" applyProtection="1">
      <alignment horizontal="center"/>
      <protection hidden="1"/>
    </xf>
    <xf numFmtId="169" fontId="27" fillId="0" borderId="10" xfId="0" applyNumberFormat="1" applyFont="1" applyBorder="1" applyAlignment="1" applyProtection="1">
      <alignment horizontal="center"/>
      <protection hidden="1"/>
    </xf>
    <xf numFmtId="169" fontId="27" fillId="0" borderId="7" xfId="0" applyNumberFormat="1" applyFont="1" applyFill="1" applyBorder="1" applyAlignment="1" applyProtection="1">
      <alignment horizontal="center"/>
      <protection hidden="1"/>
    </xf>
    <xf numFmtId="169" fontId="27" fillId="0" borderId="10" xfId="0" applyNumberFormat="1" applyFont="1" applyFill="1" applyBorder="1" applyAlignment="1" applyProtection="1">
      <alignment horizontal="center"/>
      <protection hidden="1"/>
    </xf>
    <xf numFmtId="10" fontId="27" fillId="18" borderId="7" xfId="0" applyNumberFormat="1" applyFont="1" applyFill="1" applyBorder="1" applyAlignment="1" applyProtection="1">
      <alignment horizontal="center"/>
      <protection hidden="1"/>
    </xf>
    <xf numFmtId="10" fontId="27" fillId="18" borderId="10" xfId="0" applyNumberFormat="1" applyFont="1" applyFill="1" applyBorder="1" applyAlignment="1" applyProtection="1">
      <alignment horizontal="center"/>
      <protection hidden="1"/>
    </xf>
    <xf numFmtId="0" fontId="48" fillId="0" borderId="7" xfId="0" applyFont="1" applyBorder="1" applyAlignment="1" applyProtection="1">
      <alignment horizontal="center"/>
      <protection hidden="1"/>
    </xf>
    <xf numFmtId="10" fontId="27" fillId="0" borderId="7" xfId="0" applyNumberFormat="1" applyFont="1" applyBorder="1" applyAlignment="1" applyProtection="1">
      <alignment horizontal="center"/>
      <protection hidden="1"/>
    </xf>
    <xf numFmtId="10" fontId="27" fillId="0" borderId="10" xfId="0" applyNumberFormat="1" applyFont="1" applyBorder="1" applyAlignment="1" applyProtection="1">
      <alignment horizontal="center"/>
      <protection hidden="1"/>
    </xf>
    <xf numFmtId="169" fontId="80" fillId="14" borderId="1" xfId="0" applyNumberFormat="1" applyFont="1" applyFill="1" applyBorder="1" applyAlignment="1" applyProtection="1">
      <alignment horizontal="center"/>
      <protection hidden="1"/>
    </xf>
    <xf numFmtId="169" fontId="102" fillId="21" borderId="7" xfId="0" applyNumberFormat="1" applyFont="1" applyFill="1" applyBorder="1" applyAlignment="1" applyProtection="1">
      <alignment horizontal="center"/>
      <protection hidden="1"/>
    </xf>
    <xf numFmtId="169" fontId="102" fillId="21" borderId="10" xfId="0" applyNumberFormat="1" applyFont="1" applyFill="1" applyBorder="1" applyAlignment="1" applyProtection="1">
      <alignment horizontal="center"/>
      <protection hidden="1"/>
    </xf>
    <xf numFmtId="169" fontId="23" fillId="0" borderId="7" xfId="0" applyNumberFormat="1" applyFont="1" applyBorder="1" applyAlignment="1" applyProtection="1">
      <alignment horizontal="center"/>
      <protection hidden="1"/>
    </xf>
    <xf numFmtId="169" fontId="23" fillId="0" borderId="9" xfId="0" applyNumberFormat="1" applyFont="1" applyBorder="1" applyAlignment="1" applyProtection="1">
      <alignment horizontal="center"/>
      <protection hidden="1"/>
    </xf>
    <xf numFmtId="169" fontId="23" fillId="0" borderId="10" xfId="0" applyNumberFormat="1" applyFont="1" applyBorder="1" applyAlignment="1" applyProtection="1">
      <alignment horizontal="center"/>
      <protection hidden="1"/>
    </xf>
    <xf numFmtId="171" fontId="23" fillId="0" borderId="7" xfId="0" applyNumberFormat="1" applyFont="1" applyBorder="1" applyAlignment="1" applyProtection="1">
      <alignment horizontal="center"/>
      <protection hidden="1"/>
    </xf>
    <xf numFmtId="171" fontId="23" fillId="0" borderId="10" xfId="0" applyNumberFormat="1" applyFont="1" applyBorder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/>
      <protection hidden="1"/>
    </xf>
    <xf numFmtId="172" fontId="29" fillId="4" borderId="10" xfId="0" applyNumberFormat="1" applyFont="1" applyFill="1" applyBorder="1" applyAlignment="1" applyProtection="1">
      <alignment horizontal="center"/>
      <protection hidden="1"/>
    </xf>
    <xf numFmtId="170" fontId="27" fillId="14" borderId="7" xfId="0" applyNumberFormat="1" applyFont="1" applyFill="1" applyBorder="1" applyAlignment="1" applyProtection="1">
      <alignment horizontal="center"/>
      <protection hidden="1"/>
    </xf>
    <xf numFmtId="170" fontId="27" fillId="14" borderId="10" xfId="0" applyNumberFormat="1" applyFont="1" applyFill="1" applyBorder="1" applyAlignment="1" applyProtection="1">
      <alignment horizontal="center"/>
      <protection hidden="1"/>
    </xf>
    <xf numFmtId="168" fontId="23" fillId="18" borderId="7" xfId="0" applyNumberFormat="1" applyFont="1" applyFill="1" applyBorder="1" applyAlignment="1" applyProtection="1">
      <alignment horizontal="center"/>
      <protection hidden="1"/>
    </xf>
    <xf numFmtId="168" fontId="23" fillId="18" borderId="10" xfId="0" applyNumberFormat="1" applyFont="1" applyFill="1" applyBorder="1" applyAlignment="1" applyProtection="1">
      <alignment horizontal="center"/>
      <protection hidden="1"/>
    </xf>
    <xf numFmtId="10" fontId="23" fillId="0" borderId="7" xfId="0" applyNumberFormat="1" applyFont="1" applyBorder="1" applyAlignment="1" applyProtection="1">
      <alignment horizontal="center"/>
      <protection hidden="1"/>
    </xf>
    <xf numFmtId="10" fontId="23" fillId="0" borderId="10" xfId="0" applyNumberFormat="1" applyFont="1" applyBorder="1" applyAlignment="1" applyProtection="1">
      <alignment horizontal="center"/>
      <protection hidden="1"/>
    </xf>
    <xf numFmtId="0" fontId="45" fillId="0" borderId="7" xfId="0" applyFont="1" applyBorder="1" applyAlignment="1" applyProtection="1">
      <alignment horizontal="center"/>
      <protection hidden="1"/>
    </xf>
    <xf numFmtId="0" fontId="45" fillId="0" borderId="10" xfId="0" applyFont="1" applyBorder="1" applyAlignment="1" applyProtection="1">
      <alignment horizontal="center"/>
      <protection hidden="1"/>
    </xf>
    <xf numFmtId="169" fontId="46" fillId="0" borderId="7" xfId="0" applyNumberFormat="1" applyFont="1" applyBorder="1" applyAlignment="1" applyProtection="1">
      <alignment horizontal="center"/>
      <protection hidden="1"/>
    </xf>
    <xf numFmtId="169" fontId="46" fillId="0" borderId="10" xfId="0" applyNumberFormat="1" applyFont="1" applyBorder="1" applyAlignment="1" applyProtection="1">
      <alignment horizontal="center"/>
      <protection hidden="1"/>
    </xf>
    <xf numFmtId="0" fontId="46" fillId="0" borderId="7" xfId="0" applyFont="1" applyBorder="1" applyAlignment="1" applyProtection="1">
      <alignment horizontal="center"/>
      <protection hidden="1"/>
    </xf>
    <xf numFmtId="0" fontId="46" fillId="0" borderId="10" xfId="0" applyFont="1" applyBorder="1" applyAlignment="1" applyProtection="1">
      <alignment horizontal="center"/>
      <protection hidden="1"/>
    </xf>
    <xf numFmtId="168" fontId="27" fillId="0" borderId="7" xfId="0" applyNumberFormat="1" applyFont="1" applyFill="1" applyBorder="1" applyAlignment="1" applyProtection="1">
      <alignment horizontal="center"/>
      <protection hidden="1"/>
    </xf>
    <xf numFmtId="168" fontId="27" fillId="0" borderId="10" xfId="0" applyNumberFormat="1" applyFont="1" applyFill="1" applyBorder="1" applyAlignment="1" applyProtection="1">
      <alignment horizontal="center"/>
      <protection hidden="1"/>
    </xf>
    <xf numFmtId="167" fontId="27" fillId="0" borderId="7" xfId="0" applyNumberFormat="1" applyFont="1" applyBorder="1" applyAlignment="1" applyProtection="1">
      <alignment horizontal="center"/>
      <protection hidden="1"/>
    </xf>
    <xf numFmtId="10" fontId="23" fillId="18" borderId="7" xfId="0" applyNumberFormat="1" applyFont="1" applyFill="1" applyBorder="1" applyAlignment="1" applyProtection="1">
      <alignment horizontal="center"/>
      <protection hidden="1"/>
    </xf>
    <xf numFmtId="10" fontId="23" fillId="18" borderId="10" xfId="0" applyNumberFormat="1" applyFont="1" applyFill="1" applyBorder="1" applyAlignment="1" applyProtection="1">
      <alignment horizontal="center"/>
      <protection hidden="1"/>
    </xf>
    <xf numFmtId="170" fontId="80" fillId="14" borderId="1" xfId="0" applyNumberFormat="1" applyFont="1" applyFill="1" applyBorder="1" applyAlignment="1" applyProtection="1">
      <alignment horizontal="center"/>
      <protection hidden="1"/>
    </xf>
    <xf numFmtId="0" fontId="80" fillId="14" borderId="1" xfId="0" applyNumberFormat="1" applyFont="1" applyFill="1" applyBorder="1" applyAlignment="1" applyProtection="1">
      <alignment horizontal="center"/>
      <protection hidden="1"/>
    </xf>
    <xf numFmtId="0" fontId="80" fillId="14" borderId="7" xfId="0" applyFont="1" applyFill="1" applyBorder="1" applyAlignment="1" applyProtection="1">
      <alignment horizontal="center"/>
      <protection hidden="1"/>
    </xf>
    <xf numFmtId="0" fontId="80" fillId="14" borderId="10" xfId="0" applyFont="1" applyFill="1" applyBorder="1" applyAlignment="1" applyProtection="1">
      <alignment horizontal="center"/>
      <protection hidden="1"/>
    </xf>
    <xf numFmtId="167" fontId="80" fillId="14" borderId="7" xfId="0" applyNumberFormat="1" applyFont="1" applyFill="1" applyBorder="1" applyAlignment="1" applyProtection="1">
      <alignment horizontal="center"/>
      <protection hidden="1"/>
    </xf>
    <xf numFmtId="169" fontId="27" fillId="14" borderId="7" xfId="0" applyNumberFormat="1" applyFont="1" applyFill="1" applyBorder="1" applyAlignment="1" applyProtection="1">
      <alignment horizontal="center"/>
      <protection hidden="1"/>
    </xf>
    <xf numFmtId="169" fontId="27" fillId="14" borderId="10" xfId="0" applyNumberFormat="1" applyFont="1" applyFill="1" applyBorder="1" applyAlignment="1" applyProtection="1">
      <alignment horizontal="center"/>
      <protection hidden="1"/>
    </xf>
    <xf numFmtId="170" fontId="102" fillId="23" borderId="7" xfId="0" applyNumberFormat="1" applyFont="1" applyFill="1" applyBorder="1" applyAlignment="1" applyProtection="1">
      <alignment horizontal="center"/>
      <protection hidden="1"/>
    </xf>
    <xf numFmtId="170" fontId="102" fillId="23" borderId="10" xfId="0" applyNumberFormat="1" applyFont="1" applyFill="1" applyBorder="1" applyAlignment="1" applyProtection="1">
      <alignment horizontal="center"/>
      <protection hidden="1"/>
    </xf>
    <xf numFmtId="169" fontId="43" fillId="0" borderId="7" xfId="0" applyNumberFormat="1" applyFont="1" applyFill="1" applyBorder="1" applyAlignment="1" applyProtection="1">
      <alignment horizontal="center"/>
      <protection hidden="1"/>
    </xf>
    <xf numFmtId="169" fontId="43" fillId="0" borderId="10" xfId="0" applyNumberFormat="1" applyFont="1" applyFill="1" applyBorder="1" applyAlignment="1" applyProtection="1">
      <alignment horizontal="center"/>
      <protection hidden="1"/>
    </xf>
    <xf numFmtId="169" fontId="27" fillId="0" borderId="9" xfId="0" applyNumberFormat="1" applyFont="1" applyBorder="1" applyAlignment="1" applyProtection="1">
      <alignment horizontal="center"/>
      <protection hidden="1"/>
    </xf>
    <xf numFmtId="0" fontId="27" fillId="18" borderId="7" xfId="0" applyFont="1" applyFill="1" applyBorder="1" applyAlignment="1" applyProtection="1">
      <alignment horizontal="center"/>
      <protection hidden="1"/>
    </xf>
    <xf numFmtId="0" fontId="27" fillId="18" borderId="10" xfId="0" applyFont="1" applyFill="1" applyBorder="1" applyAlignment="1" applyProtection="1">
      <alignment horizontal="center"/>
      <protection hidden="1"/>
    </xf>
    <xf numFmtId="169" fontId="80" fillId="14" borderId="7" xfId="0" applyNumberFormat="1" applyFont="1" applyFill="1" applyBorder="1" applyAlignment="1" applyProtection="1">
      <alignment horizontal="center"/>
      <protection hidden="1"/>
    </xf>
    <xf numFmtId="169" fontId="80" fillId="14" borderId="10" xfId="0" applyNumberFormat="1" applyFont="1" applyFill="1" applyBorder="1" applyAlignment="1" applyProtection="1">
      <alignment horizontal="center"/>
      <protection hidden="1"/>
    </xf>
    <xf numFmtId="0" fontId="80" fillId="14" borderId="7" xfId="0" applyNumberFormat="1" applyFont="1" applyFill="1" applyBorder="1" applyAlignment="1" applyProtection="1">
      <alignment horizontal="center"/>
      <protection hidden="1"/>
    </xf>
    <xf numFmtId="0" fontId="80" fillId="14" borderId="10" xfId="0" applyNumberFormat="1" applyFont="1" applyFill="1" applyBorder="1" applyAlignment="1" applyProtection="1">
      <alignment horizontal="center"/>
      <protection hidden="1"/>
    </xf>
    <xf numFmtId="10" fontId="63" fillId="0" borderId="7" xfId="0" applyNumberFormat="1" applyFont="1" applyBorder="1" applyAlignment="1" applyProtection="1">
      <alignment horizontal="center"/>
      <protection hidden="1"/>
    </xf>
    <xf numFmtId="0" fontId="42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40" fillId="3" borderId="0" xfId="0" applyFont="1" applyFill="1" applyAlignment="1" applyProtection="1">
      <alignment horizontal="center"/>
      <protection hidden="1"/>
    </xf>
    <xf numFmtId="0" fontId="39" fillId="3" borderId="4" xfId="0" applyFont="1" applyFill="1" applyBorder="1" applyAlignment="1" applyProtection="1">
      <alignment horizontal="center" vertical="center" wrapText="1"/>
      <protection hidden="1"/>
    </xf>
    <xf numFmtId="0" fontId="29" fillId="3" borderId="0" xfId="0" applyFont="1" applyFill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4" xfId="0" applyFont="1" applyFill="1" applyBorder="1" applyAlignment="1" applyProtection="1">
      <alignment horizontal="center" vertical="center" wrapText="1"/>
      <protection hidden="1"/>
    </xf>
    <xf numFmtId="0" fontId="23" fillId="3" borderId="7" xfId="0" applyFont="1" applyFill="1" applyBorder="1" applyAlignment="1" applyProtection="1">
      <alignment horizontal="center"/>
      <protection hidden="1"/>
    </xf>
    <xf numFmtId="0" fontId="23" fillId="3" borderId="9" xfId="0" applyFont="1" applyFill="1" applyBorder="1" applyAlignment="1" applyProtection="1">
      <alignment horizontal="center"/>
      <protection hidden="1"/>
    </xf>
    <xf numFmtId="0" fontId="39" fillId="3" borderId="0" xfId="0" applyFont="1" applyFill="1" applyBorder="1" applyAlignment="1" applyProtection="1">
      <alignment horizontal="center"/>
      <protection hidden="1"/>
    </xf>
    <xf numFmtId="0" fontId="38" fillId="3" borderId="0" xfId="0" applyFont="1" applyFill="1" applyBorder="1" applyAlignment="1" applyProtection="1">
      <alignment horizontal="center"/>
      <protection hidden="1"/>
    </xf>
    <xf numFmtId="0" fontId="17" fillId="3" borderId="0" xfId="0" applyFont="1" applyFill="1" applyAlignment="1" applyProtection="1">
      <alignment horizontal="center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38" fillId="3" borderId="4" xfId="0" applyFont="1" applyFill="1" applyBorder="1" applyAlignment="1" applyProtection="1">
      <alignment horizontal="center"/>
      <protection hidden="1"/>
    </xf>
    <xf numFmtId="0" fontId="39" fillId="3" borderId="7" xfId="0" applyFont="1" applyFill="1" applyBorder="1" applyAlignment="1" applyProtection="1">
      <alignment horizontal="center"/>
      <protection hidden="1"/>
    </xf>
    <xf numFmtId="0" fontId="38" fillId="3" borderId="10" xfId="0" applyFont="1" applyFill="1" applyBorder="1" applyAlignment="1" applyProtection="1">
      <alignment horizontal="center"/>
      <protection hidden="1"/>
    </xf>
    <xf numFmtId="0" fontId="39" fillId="3" borderId="9" xfId="0" applyFont="1" applyFill="1" applyBorder="1" applyAlignment="1" applyProtection="1">
      <alignment horizontal="center"/>
      <protection hidden="1"/>
    </xf>
    <xf numFmtId="0" fontId="39" fillId="3" borderId="10" xfId="0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 textRotation="255"/>
      <protection hidden="1"/>
    </xf>
    <xf numFmtId="0" fontId="3" fillId="0" borderId="15" xfId="0" applyFont="1" applyBorder="1" applyAlignment="1" applyProtection="1">
      <alignment horizontal="center" vertical="center" textRotation="255"/>
      <protection hidden="1"/>
    </xf>
    <xf numFmtId="0" fontId="3" fillId="0" borderId="2" xfId="0" applyFont="1" applyBorder="1" applyAlignment="1" applyProtection="1">
      <alignment horizontal="center" vertical="center" textRotation="255"/>
      <protection hidden="1"/>
    </xf>
    <xf numFmtId="0" fontId="10" fillId="0" borderId="3" xfId="0" applyFont="1" applyBorder="1" applyAlignment="1" applyProtection="1">
      <alignment horizontal="center" vertical="center" textRotation="255" wrapText="1"/>
      <protection hidden="1"/>
    </xf>
    <xf numFmtId="0" fontId="3" fillId="0" borderId="15" xfId="0" applyFont="1" applyBorder="1" applyAlignment="1" applyProtection="1">
      <alignment horizontal="center" vertical="center" textRotation="255" wrapText="1"/>
      <protection hidden="1"/>
    </xf>
    <xf numFmtId="0" fontId="3" fillId="0" borderId="2" xfId="0" applyFont="1" applyBorder="1" applyAlignment="1" applyProtection="1">
      <alignment horizontal="center" vertical="center" textRotation="255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0" fillId="0" borderId="11" xfId="0" applyFont="1" applyBorder="1" applyAlignment="1" applyProtection="1">
      <alignment vertical="top"/>
      <protection hidden="1"/>
    </xf>
    <xf numFmtId="0" fontId="3" fillId="0" borderId="14" xfId="0" applyFont="1" applyBorder="1" applyAlignment="1" applyProtection="1">
      <alignment vertical="top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</cellXfs>
  <cellStyles count="9">
    <cellStyle name="百分比" xfId="1" builtinId="5"/>
    <cellStyle name="常规" xfId="0" builtinId="0"/>
    <cellStyle name="常规 2" xfId="2" xr:uid="{00000000-0005-0000-0000-000004000000}"/>
    <cellStyle name="常规 9" xfId="3" xr:uid="{00000000-0005-0000-0000-000005000000}"/>
    <cellStyle name="常规_ffb1" xfId="4" xr:uid="{00000000-0005-0000-0000-000006000000}"/>
    <cellStyle name="常规_Sheet1" xfId="5" xr:uid="{00000000-0005-0000-0000-000007000000}"/>
    <cellStyle name="常规_工业项目评估表营业税" xfId="6" xr:uid="{00000000-0005-0000-0000-000008000000}"/>
    <cellStyle name="货币[0]" xfId="7" builtinId="7"/>
    <cellStyle name="千位分隔 2" xfId="8" xr:uid="{00000000-0005-0000-0000-000003000000}"/>
  </cellStyles>
  <dxfs count="6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5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0</xdr:rowOff>
    </xdr:to>
    <xdr:sp macro="" textlink="">
      <xdr:nvSpPr>
        <xdr:cNvPr id="48416" name="Line 1">
          <a:extLst>
            <a:ext uri="{FF2B5EF4-FFF2-40B4-BE49-F238E27FC236}">
              <a16:creationId xmlns:a16="http://schemas.microsoft.com/office/drawing/2014/main" id="{216D1D17-5008-453A-8459-E60EC1A728E6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1495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0</xdr:rowOff>
    </xdr:to>
    <xdr:sp macro="" textlink="">
      <xdr:nvSpPr>
        <xdr:cNvPr id="48417" name="Line 2">
          <a:extLst>
            <a:ext uri="{FF2B5EF4-FFF2-40B4-BE49-F238E27FC236}">
              <a16:creationId xmlns:a16="http://schemas.microsoft.com/office/drawing/2014/main" id="{E95F251B-A7E5-4D24-B18E-7C20692967B1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1495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0</xdr:rowOff>
    </xdr:to>
    <xdr:sp macro="" textlink="">
      <xdr:nvSpPr>
        <xdr:cNvPr id="48418" name="Line 3">
          <a:extLst>
            <a:ext uri="{FF2B5EF4-FFF2-40B4-BE49-F238E27FC236}">
              <a16:creationId xmlns:a16="http://schemas.microsoft.com/office/drawing/2014/main" id="{3EE6090F-7AF4-4706-B337-612BC5B17F5B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1495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19050</xdr:rowOff>
    </xdr:from>
    <xdr:to>
      <xdr:col>1</xdr:col>
      <xdr:colOff>47625</xdr:colOff>
      <xdr:row>4</xdr:row>
      <xdr:rowOff>19050</xdr:rowOff>
    </xdr:to>
    <xdr:sp macro="" textlink="">
      <xdr:nvSpPr>
        <xdr:cNvPr id="48419" name="Line 4">
          <a:extLst>
            <a:ext uri="{FF2B5EF4-FFF2-40B4-BE49-F238E27FC236}">
              <a16:creationId xmlns:a16="http://schemas.microsoft.com/office/drawing/2014/main" id="{23E446F4-72D5-4C4C-8ACC-209B42B5D099}"/>
            </a:ext>
          </a:extLst>
        </xdr:cNvPr>
        <xdr:cNvSpPr>
          <a:spLocks noChangeShapeType="1"/>
        </xdr:cNvSpPr>
      </xdr:nvSpPr>
      <xdr:spPr bwMode="auto">
        <a:xfrm>
          <a:off x="38100" y="342900"/>
          <a:ext cx="14954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9525</xdr:colOff>
      <xdr:row>4</xdr:row>
      <xdr:rowOff>0</xdr:rowOff>
    </xdr:to>
    <xdr:sp macro="" textlink="">
      <xdr:nvSpPr>
        <xdr:cNvPr id="48420" name="Line 5">
          <a:extLst>
            <a:ext uri="{FF2B5EF4-FFF2-40B4-BE49-F238E27FC236}">
              <a16:creationId xmlns:a16="http://schemas.microsoft.com/office/drawing/2014/main" id="{F1621198-E577-4769-AB85-87D93F6A54EE}"/>
            </a:ext>
          </a:extLst>
        </xdr:cNvPr>
        <xdr:cNvSpPr>
          <a:spLocks noChangeShapeType="1"/>
        </xdr:cNvSpPr>
      </xdr:nvSpPr>
      <xdr:spPr bwMode="auto">
        <a:xfrm>
          <a:off x="6972300" y="323850"/>
          <a:ext cx="16097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9525</xdr:colOff>
      <xdr:row>4</xdr:row>
      <xdr:rowOff>0</xdr:rowOff>
    </xdr:to>
    <xdr:sp macro="" textlink="">
      <xdr:nvSpPr>
        <xdr:cNvPr id="48421" name="Line 6">
          <a:extLst>
            <a:ext uri="{FF2B5EF4-FFF2-40B4-BE49-F238E27FC236}">
              <a16:creationId xmlns:a16="http://schemas.microsoft.com/office/drawing/2014/main" id="{AF37DCE9-CCE0-4921-A61B-7B6CA7AEE98E}"/>
            </a:ext>
          </a:extLst>
        </xdr:cNvPr>
        <xdr:cNvSpPr>
          <a:spLocks noChangeShapeType="1"/>
        </xdr:cNvSpPr>
      </xdr:nvSpPr>
      <xdr:spPr bwMode="auto">
        <a:xfrm>
          <a:off x="6972300" y="323850"/>
          <a:ext cx="16097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9525</xdr:colOff>
      <xdr:row>4</xdr:row>
      <xdr:rowOff>0</xdr:rowOff>
    </xdr:to>
    <xdr:sp macro="" textlink="">
      <xdr:nvSpPr>
        <xdr:cNvPr id="48422" name="Line 7">
          <a:extLst>
            <a:ext uri="{FF2B5EF4-FFF2-40B4-BE49-F238E27FC236}">
              <a16:creationId xmlns:a16="http://schemas.microsoft.com/office/drawing/2014/main" id="{E7FB76CE-12C0-4E59-A6DB-71504843B959}"/>
            </a:ext>
          </a:extLst>
        </xdr:cNvPr>
        <xdr:cNvSpPr>
          <a:spLocks noChangeShapeType="1"/>
        </xdr:cNvSpPr>
      </xdr:nvSpPr>
      <xdr:spPr bwMode="auto">
        <a:xfrm>
          <a:off x="6972300" y="323850"/>
          <a:ext cx="16097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2</xdr:row>
      <xdr:rowOff>19050</xdr:rowOff>
    </xdr:from>
    <xdr:to>
      <xdr:col>8</xdr:col>
      <xdr:colOff>47625</xdr:colOff>
      <xdr:row>4</xdr:row>
      <xdr:rowOff>19050</xdr:rowOff>
    </xdr:to>
    <xdr:sp macro="" textlink="">
      <xdr:nvSpPr>
        <xdr:cNvPr id="48423" name="Line 8">
          <a:extLst>
            <a:ext uri="{FF2B5EF4-FFF2-40B4-BE49-F238E27FC236}">
              <a16:creationId xmlns:a16="http://schemas.microsoft.com/office/drawing/2014/main" id="{8F52BD35-2420-4AE6-B84B-C02AC939B405}"/>
            </a:ext>
          </a:extLst>
        </xdr:cNvPr>
        <xdr:cNvSpPr>
          <a:spLocks noChangeShapeType="1"/>
        </xdr:cNvSpPr>
      </xdr:nvSpPr>
      <xdr:spPr bwMode="auto">
        <a:xfrm>
          <a:off x="7010400" y="342900"/>
          <a:ext cx="16097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7752" name="Line 1">
          <a:extLst>
            <a:ext uri="{FF2B5EF4-FFF2-40B4-BE49-F238E27FC236}">
              <a16:creationId xmlns:a16="http://schemas.microsoft.com/office/drawing/2014/main" id="{0D796E77-B6E4-4B43-B6AA-1D96A0F0B635}"/>
            </a:ext>
          </a:extLst>
        </xdr:cNvPr>
        <xdr:cNvSpPr>
          <a:spLocks noChangeShapeType="1"/>
        </xdr:cNvSpPr>
      </xdr:nvSpPr>
      <xdr:spPr bwMode="auto">
        <a:xfrm>
          <a:off x="295275" y="495300"/>
          <a:ext cx="2133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7753" name="Line 2">
          <a:extLst>
            <a:ext uri="{FF2B5EF4-FFF2-40B4-BE49-F238E27FC236}">
              <a16:creationId xmlns:a16="http://schemas.microsoft.com/office/drawing/2014/main" id="{49F23371-D5C8-45DC-8C79-15CBC961CD2F}"/>
            </a:ext>
          </a:extLst>
        </xdr:cNvPr>
        <xdr:cNvSpPr>
          <a:spLocks noChangeShapeType="1"/>
        </xdr:cNvSpPr>
      </xdr:nvSpPr>
      <xdr:spPr bwMode="auto">
        <a:xfrm>
          <a:off x="295275" y="495300"/>
          <a:ext cx="2133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7754" name="Line 3">
          <a:extLst>
            <a:ext uri="{FF2B5EF4-FFF2-40B4-BE49-F238E27FC236}">
              <a16:creationId xmlns:a16="http://schemas.microsoft.com/office/drawing/2014/main" id="{E672C6A6-4708-43E4-9C43-A0F689661FE1}"/>
            </a:ext>
          </a:extLst>
        </xdr:cNvPr>
        <xdr:cNvSpPr>
          <a:spLocks noChangeShapeType="1"/>
        </xdr:cNvSpPr>
      </xdr:nvSpPr>
      <xdr:spPr bwMode="auto">
        <a:xfrm>
          <a:off x="295275" y="495300"/>
          <a:ext cx="2133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7755" name="Line 4">
          <a:extLst>
            <a:ext uri="{FF2B5EF4-FFF2-40B4-BE49-F238E27FC236}">
              <a16:creationId xmlns:a16="http://schemas.microsoft.com/office/drawing/2014/main" id="{F987ECBA-EEDA-49CD-82AE-39974208C29E}"/>
            </a:ext>
          </a:extLst>
        </xdr:cNvPr>
        <xdr:cNvSpPr>
          <a:spLocks noChangeShapeType="1"/>
        </xdr:cNvSpPr>
      </xdr:nvSpPr>
      <xdr:spPr bwMode="auto">
        <a:xfrm>
          <a:off x="295275" y="495300"/>
          <a:ext cx="2133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7756" name="Line 5">
          <a:extLst>
            <a:ext uri="{FF2B5EF4-FFF2-40B4-BE49-F238E27FC236}">
              <a16:creationId xmlns:a16="http://schemas.microsoft.com/office/drawing/2014/main" id="{895F0384-82F8-4F96-BC40-495815CC487C}"/>
            </a:ext>
          </a:extLst>
        </xdr:cNvPr>
        <xdr:cNvSpPr>
          <a:spLocks noChangeShapeType="1"/>
        </xdr:cNvSpPr>
      </xdr:nvSpPr>
      <xdr:spPr bwMode="auto">
        <a:xfrm>
          <a:off x="295275" y="495300"/>
          <a:ext cx="2133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7757" name="Line 6">
          <a:extLst>
            <a:ext uri="{FF2B5EF4-FFF2-40B4-BE49-F238E27FC236}">
              <a16:creationId xmlns:a16="http://schemas.microsoft.com/office/drawing/2014/main" id="{0FEE7403-4EDC-4491-87B2-34B829C42AEF}"/>
            </a:ext>
          </a:extLst>
        </xdr:cNvPr>
        <xdr:cNvSpPr>
          <a:spLocks noChangeShapeType="1"/>
        </xdr:cNvSpPr>
      </xdr:nvSpPr>
      <xdr:spPr bwMode="auto">
        <a:xfrm>
          <a:off x="295275" y="495300"/>
          <a:ext cx="2133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7758" name="Line 7">
          <a:extLst>
            <a:ext uri="{FF2B5EF4-FFF2-40B4-BE49-F238E27FC236}">
              <a16:creationId xmlns:a16="http://schemas.microsoft.com/office/drawing/2014/main" id="{60F03FC8-EFEF-41E6-9AFF-654E79D83E8F}"/>
            </a:ext>
          </a:extLst>
        </xdr:cNvPr>
        <xdr:cNvSpPr>
          <a:spLocks noChangeShapeType="1"/>
        </xdr:cNvSpPr>
      </xdr:nvSpPr>
      <xdr:spPr bwMode="auto">
        <a:xfrm>
          <a:off x="295275" y="495300"/>
          <a:ext cx="2133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</xdr:row>
      <xdr:rowOff>19050</xdr:rowOff>
    </xdr:from>
    <xdr:to>
      <xdr:col>2</xdr:col>
      <xdr:colOff>47625</xdr:colOff>
      <xdr:row>4</xdr:row>
      <xdr:rowOff>19050</xdr:rowOff>
    </xdr:to>
    <xdr:sp macro="" textlink="">
      <xdr:nvSpPr>
        <xdr:cNvPr id="47759" name="Line 8">
          <a:extLst>
            <a:ext uri="{FF2B5EF4-FFF2-40B4-BE49-F238E27FC236}">
              <a16:creationId xmlns:a16="http://schemas.microsoft.com/office/drawing/2014/main" id="{D1FFFFCF-3CBE-4D95-9C7E-C92B23E16ABE}"/>
            </a:ext>
          </a:extLst>
        </xdr:cNvPr>
        <xdr:cNvSpPr>
          <a:spLocks noChangeShapeType="1"/>
        </xdr:cNvSpPr>
      </xdr:nvSpPr>
      <xdr:spPr bwMode="auto">
        <a:xfrm>
          <a:off x="333375" y="514350"/>
          <a:ext cx="21431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2</xdr:row>
      <xdr:rowOff>9525</xdr:rowOff>
    </xdr:from>
    <xdr:to>
      <xdr:col>2</xdr:col>
      <xdr:colOff>9525</xdr:colOff>
      <xdr:row>4</xdr:row>
      <xdr:rowOff>0</xdr:rowOff>
    </xdr:to>
    <xdr:sp macro="" textlink="">
      <xdr:nvSpPr>
        <xdr:cNvPr id="47760" name="Line 9">
          <a:extLst>
            <a:ext uri="{FF2B5EF4-FFF2-40B4-BE49-F238E27FC236}">
              <a16:creationId xmlns:a16="http://schemas.microsoft.com/office/drawing/2014/main" id="{F0BA36A6-FC24-4E94-8B5F-A4C95AD6E812}"/>
            </a:ext>
          </a:extLst>
        </xdr:cNvPr>
        <xdr:cNvSpPr>
          <a:spLocks noChangeShapeType="1"/>
        </xdr:cNvSpPr>
      </xdr:nvSpPr>
      <xdr:spPr bwMode="auto">
        <a:xfrm>
          <a:off x="276225" y="504825"/>
          <a:ext cx="2162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2</xdr:col>
      <xdr:colOff>9525</xdr:colOff>
      <xdr:row>4</xdr:row>
      <xdr:rowOff>0</xdr:rowOff>
    </xdr:to>
    <xdr:sp macro="" textlink="">
      <xdr:nvSpPr>
        <xdr:cNvPr id="47761" name="Line 10">
          <a:extLst>
            <a:ext uri="{FF2B5EF4-FFF2-40B4-BE49-F238E27FC236}">
              <a16:creationId xmlns:a16="http://schemas.microsoft.com/office/drawing/2014/main" id="{825865EE-5285-434C-B322-12B834729A33}"/>
            </a:ext>
          </a:extLst>
        </xdr:cNvPr>
        <xdr:cNvSpPr>
          <a:spLocks noChangeShapeType="1"/>
        </xdr:cNvSpPr>
      </xdr:nvSpPr>
      <xdr:spPr bwMode="auto">
        <a:xfrm>
          <a:off x="304800" y="523875"/>
          <a:ext cx="2133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9525</xdr:rowOff>
    </xdr:from>
    <xdr:to>
      <xdr:col>2</xdr:col>
      <xdr:colOff>9525</xdr:colOff>
      <xdr:row>4</xdr:row>
      <xdr:rowOff>0</xdr:rowOff>
    </xdr:to>
    <xdr:sp macro="" textlink="">
      <xdr:nvSpPr>
        <xdr:cNvPr id="47762" name="Line 11">
          <a:extLst>
            <a:ext uri="{FF2B5EF4-FFF2-40B4-BE49-F238E27FC236}">
              <a16:creationId xmlns:a16="http://schemas.microsoft.com/office/drawing/2014/main" id="{C86262B0-6E05-44CF-BD75-F8C8F3EBFB21}"/>
            </a:ext>
          </a:extLst>
        </xdr:cNvPr>
        <xdr:cNvSpPr>
          <a:spLocks noChangeShapeType="1"/>
        </xdr:cNvSpPr>
      </xdr:nvSpPr>
      <xdr:spPr bwMode="auto">
        <a:xfrm>
          <a:off x="323850" y="504825"/>
          <a:ext cx="21145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9525</xdr:colOff>
      <xdr:row>4</xdr:row>
      <xdr:rowOff>0</xdr:rowOff>
    </xdr:to>
    <xdr:sp macro="" textlink="">
      <xdr:nvSpPr>
        <xdr:cNvPr id="47763" name="Line 12">
          <a:extLst>
            <a:ext uri="{FF2B5EF4-FFF2-40B4-BE49-F238E27FC236}">
              <a16:creationId xmlns:a16="http://schemas.microsoft.com/office/drawing/2014/main" id="{551B1DBA-3DCC-4146-BA7A-FE976DBDD612}"/>
            </a:ext>
          </a:extLst>
        </xdr:cNvPr>
        <xdr:cNvSpPr>
          <a:spLocks noChangeShapeType="1"/>
        </xdr:cNvSpPr>
      </xdr:nvSpPr>
      <xdr:spPr bwMode="auto">
        <a:xfrm>
          <a:off x="323850" y="533400"/>
          <a:ext cx="2114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2</xdr:row>
      <xdr:rowOff>28575</xdr:rowOff>
    </xdr:from>
    <xdr:to>
      <xdr:col>2</xdr:col>
      <xdr:colOff>0</xdr:colOff>
      <xdr:row>4</xdr:row>
      <xdr:rowOff>0</xdr:rowOff>
    </xdr:to>
    <xdr:sp macro="" textlink="">
      <xdr:nvSpPr>
        <xdr:cNvPr id="47764" name="Line 13">
          <a:extLst>
            <a:ext uri="{FF2B5EF4-FFF2-40B4-BE49-F238E27FC236}">
              <a16:creationId xmlns:a16="http://schemas.microsoft.com/office/drawing/2014/main" id="{3911ADDF-939B-49CC-BB11-2CD4B6639EC6}"/>
            </a:ext>
          </a:extLst>
        </xdr:cNvPr>
        <xdr:cNvSpPr>
          <a:spLocks noChangeShapeType="1"/>
        </xdr:cNvSpPr>
      </xdr:nvSpPr>
      <xdr:spPr bwMode="auto">
        <a:xfrm>
          <a:off x="342900" y="523875"/>
          <a:ext cx="20859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</xdr:row>
      <xdr:rowOff>28575</xdr:rowOff>
    </xdr:from>
    <xdr:to>
      <xdr:col>2</xdr:col>
      <xdr:colOff>9525</xdr:colOff>
      <xdr:row>4</xdr:row>
      <xdr:rowOff>0</xdr:rowOff>
    </xdr:to>
    <xdr:sp macro="" textlink="">
      <xdr:nvSpPr>
        <xdr:cNvPr id="47765" name="Line 14">
          <a:extLst>
            <a:ext uri="{FF2B5EF4-FFF2-40B4-BE49-F238E27FC236}">
              <a16:creationId xmlns:a16="http://schemas.microsoft.com/office/drawing/2014/main" id="{074BF7BE-25C8-4E70-AD8E-FE741AD855B0}"/>
            </a:ext>
          </a:extLst>
        </xdr:cNvPr>
        <xdr:cNvSpPr>
          <a:spLocks noChangeShapeType="1"/>
        </xdr:cNvSpPr>
      </xdr:nvSpPr>
      <xdr:spPr bwMode="auto">
        <a:xfrm>
          <a:off x="333375" y="523875"/>
          <a:ext cx="21050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6289" name="Line 2">
          <a:extLst>
            <a:ext uri="{FF2B5EF4-FFF2-40B4-BE49-F238E27FC236}">
              <a16:creationId xmlns:a16="http://schemas.microsoft.com/office/drawing/2014/main" id="{5074E0EF-568F-42D5-9BF9-4BC247998E68}"/>
            </a:ext>
          </a:extLst>
        </xdr:cNvPr>
        <xdr:cNvSpPr>
          <a:spLocks noChangeShapeType="1"/>
        </xdr:cNvSpPr>
      </xdr:nvSpPr>
      <xdr:spPr bwMode="auto">
        <a:xfrm>
          <a:off x="619125" y="695325"/>
          <a:ext cx="1657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9525</xdr:rowOff>
    </xdr:from>
    <xdr:to>
      <xdr:col>1</xdr:col>
      <xdr:colOff>0</xdr:colOff>
      <xdr:row>3</xdr:row>
      <xdr:rowOff>9525</xdr:rowOff>
    </xdr:to>
    <xdr:sp macro="" textlink="">
      <xdr:nvSpPr>
        <xdr:cNvPr id="46290" name="Line 3">
          <a:extLst>
            <a:ext uri="{FF2B5EF4-FFF2-40B4-BE49-F238E27FC236}">
              <a16:creationId xmlns:a16="http://schemas.microsoft.com/office/drawing/2014/main" id="{CB72341C-84C2-44AA-87F1-45137F4899D9}"/>
            </a:ext>
          </a:extLst>
        </xdr:cNvPr>
        <xdr:cNvSpPr>
          <a:spLocks noChangeShapeType="1"/>
        </xdr:cNvSpPr>
      </xdr:nvSpPr>
      <xdr:spPr bwMode="auto">
        <a:xfrm>
          <a:off x="619125" y="70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190500</xdr:rowOff>
    </xdr:from>
    <xdr:to>
      <xdr:col>2</xdr:col>
      <xdr:colOff>9525</xdr:colOff>
      <xdr:row>5</xdr:row>
      <xdr:rowOff>0</xdr:rowOff>
    </xdr:to>
    <xdr:sp macro="" textlink="">
      <xdr:nvSpPr>
        <xdr:cNvPr id="46291" name="Line 4">
          <a:extLst>
            <a:ext uri="{FF2B5EF4-FFF2-40B4-BE49-F238E27FC236}">
              <a16:creationId xmlns:a16="http://schemas.microsoft.com/office/drawing/2014/main" id="{5D2B1344-D625-486A-8996-D20DA47F5462}"/>
            </a:ext>
          </a:extLst>
        </xdr:cNvPr>
        <xdr:cNvSpPr>
          <a:spLocks noChangeShapeType="1"/>
        </xdr:cNvSpPr>
      </xdr:nvSpPr>
      <xdr:spPr bwMode="auto">
        <a:xfrm>
          <a:off x="619125" y="685800"/>
          <a:ext cx="16668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dministrator/&#26700;&#38754;/&#39318;&#21019;&#24429;&#23665;&#39033;&#30446;&#65288;70%25&#25269;&#25276;&#29575;&#36151;1.5&#20159;&#65289;/&#27979;&#31639;/&#27979;&#31639;&#34920;&#8212;&#22303;&#22320;-&#30473;&#23665;&#39318;&#21019;&#22478;&#21335;&#37089;&#19968;&#234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dministrator/&#26700;&#38754;/&#39318;&#21019;&#24429;&#23665;&#39033;&#30446;&#65288;70%25&#25269;&#25276;&#29575;&#36151;1.5&#20159;&#65289;/&#27979;&#31639;/&#27979;&#31639;&#34920;-&#22303;&#22320;-&#25104;&#37117;&#40595;&#28246;&#29983;&#24577;&#22478;&#65288;&#21830;&#1999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比较法-住宅、综合"/>
      <sheetName val="剩余法-待开发"/>
      <sheetName val="剩余法-现房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比较法-住宅"/>
      <sheetName val="不动产收益法"/>
      <sheetName val="酒店收入计算"/>
      <sheetName val="成本逼近法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Sheet2"/>
      <sheetName val="土地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9">
          <cell r="K39" t="str">
            <v>抵押价格</v>
          </cell>
        </row>
        <row r="43">
          <cell r="C43">
            <v>0</v>
          </cell>
        </row>
        <row r="45">
          <cell r="C45" t="str">
            <v>——</v>
          </cell>
        </row>
        <row r="46">
          <cell r="C46" t="str">
            <v>——</v>
          </cell>
        </row>
        <row r="47">
          <cell r="C47" t="str">
            <v>无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面积"/>
      <sheetName val="数据-汇总表"/>
      <sheetName val="数据-取费表"/>
      <sheetName val="估价对象房地状况"/>
      <sheetName val="系统读取表"/>
      <sheetName val="结果表"/>
      <sheetName val="比较法-住宅、综合"/>
      <sheetName val="剩余法-待开发"/>
      <sheetName val="剩余法-现房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收益还原法"/>
      <sheetName val="地价"/>
      <sheetName val="不动产比较法-住宅"/>
      <sheetName val="不动产收益法"/>
      <sheetName val="酒店收入计算"/>
      <sheetName val="成本逼近法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土地案例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F27">
            <v>77146.755000000005</v>
          </cell>
        </row>
        <row r="31">
          <cell r="D31">
            <v>17837.400000000001</v>
          </cell>
        </row>
      </sheetData>
      <sheetData sheetId="14" refreshError="1"/>
      <sheetData sheetId="15" refreshError="1"/>
      <sheetData sheetId="16" refreshError="1"/>
      <sheetData sheetId="17" refreshError="1">
        <row r="19">
          <cell r="G19">
            <v>48722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 xr3:uid="{AEA406A1-0E4B-5B11-9CD5-51D6E497D94C}"/>
  </sheetViews>
  <sheetFormatPr defaultRowHeight="14.25"/>
  <sheetData/>
  <phoneticPr fontId="5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Y36"/>
  <sheetViews>
    <sheetView zoomScale="85" zoomScaleNormal="75" zoomScaleSheetLayoutView="70" workbookViewId="0" xr3:uid="{7BE570AB-09E9-518F-B8F7-3F91B7162CA9}">
      <selection activeCell="J31" sqref="J31"/>
    </sheetView>
  </sheetViews>
  <sheetFormatPr defaultRowHeight="14.25"/>
  <cols>
    <col min="1" max="1" width="6.375" style="40" customWidth="1"/>
    <col min="2" max="2" width="18.125" style="40" customWidth="1"/>
    <col min="3" max="3" width="7.625" style="216" customWidth="1"/>
    <col min="4" max="4" width="8.875" style="40" customWidth="1"/>
    <col min="5" max="6" width="9.125" style="40" customWidth="1"/>
    <col min="7" max="7" width="11.75" style="40" bestFit="1" customWidth="1"/>
    <col min="8" max="8" width="9.25" style="40" customWidth="1"/>
    <col min="9" max="9" width="11.75" style="40" bestFit="1" customWidth="1"/>
    <col min="10" max="10" width="9.5" style="40" customWidth="1"/>
    <col min="11" max="11" width="11.75" style="40" bestFit="1" customWidth="1"/>
    <col min="12" max="12" width="9.5" style="40" customWidth="1"/>
    <col min="13" max="13" width="8.25" style="40" customWidth="1"/>
    <col min="14" max="14" width="8.625" style="40" customWidth="1"/>
    <col min="15" max="15" width="8.125" style="40" customWidth="1"/>
    <col min="16" max="16" width="9.625" style="40" customWidth="1"/>
    <col min="17" max="17" width="7.5" style="40" hidden="1" customWidth="1"/>
    <col min="18" max="18" width="9.125" style="216" hidden="1" customWidth="1"/>
    <col min="19" max="19" width="13" style="216" bestFit="1" customWidth="1"/>
    <col min="20" max="20" width="11.25" style="216" bestFit="1" customWidth="1"/>
    <col min="21" max="21" width="11.75" style="151" bestFit="1" customWidth="1"/>
    <col min="22" max="22" width="11.25" style="40" bestFit="1" customWidth="1"/>
    <col min="23" max="23" width="11" style="40" bestFit="1" customWidth="1"/>
    <col min="24" max="24" width="10.625" style="40" bestFit="1" customWidth="1"/>
    <col min="25" max="16384" width="9" style="40"/>
  </cols>
  <sheetData>
    <row r="1" spans="1:25" ht="24" customHeight="1">
      <c r="A1" s="830" t="s">
        <v>446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830"/>
    </row>
    <row r="2" spans="1:25" ht="52.5" customHeight="1">
      <c r="A2" s="568" t="s">
        <v>730</v>
      </c>
      <c r="B2" s="568"/>
      <c r="C2" s="833" t="str">
        <f>主表8!B2</f>
        <v>安徽省芜湖市芜湖县荆江路以北 芜湖中路以东 世纪大道以西</v>
      </c>
      <c r="D2" s="833"/>
      <c r="E2" s="833"/>
      <c r="F2" s="833"/>
      <c r="G2" s="833"/>
      <c r="H2" s="833"/>
      <c r="I2" s="139"/>
      <c r="J2" s="139"/>
      <c r="K2" s="139"/>
      <c r="L2" s="139"/>
      <c r="M2" s="152" t="s">
        <v>447</v>
      </c>
      <c r="N2" s="152"/>
      <c r="O2" s="152"/>
      <c r="P2" s="152" t="s">
        <v>448</v>
      </c>
      <c r="Q2" s="152"/>
      <c r="R2" s="399"/>
      <c r="S2" s="399"/>
      <c r="T2" s="399"/>
    </row>
    <row r="3" spans="1:25" ht="24" customHeight="1">
      <c r="A3" s="831" t="s">
        <v>28</v>
      </c>
      <c r="B3" s="831" t="s">
        <v>731</v>
      </c>
      <c r="C3" s="831" t="s">
        <v>449</v>
      </c>
      <c r="D3" s="831" t="s">
        <v>450</v>
      </c>
      <c r="E3" s="836" t="str">
        <f>主表2!D3</f>
        <v>2018年</v>
      </c>
      <c r="F3" s="837"/>
      <c r="G3" s="836" t="str">
        <f>主表2!E3</f>
        <v>2019年</v>
      </c>
      <c r="H3" s="837"/>
      <c r="I3" s="836" t="str">
        <f>主表2!F3</f>
        <v>2020年</v>
      </c>
      <c r="J3" s="837"/>
      <c r="K3" s="836" t="str">
        <f>主表2!G3</f>
        <v>2021年</v>
      </c>
      <c r="L3" s="837"/>
      <c r="M3" s="836" t="str">
        <f>主表2!H3</f>
        <v>2022年</v>
      </c>
      <c r="N3" s="837"/>
      <c r="O3" s="836" t="str">
        <f>主表2!I3</f>
        <v>2023年</v>
      </c>
      <c r="P3" s="837"/>
      <c r="Q3" s="836" t="str">
        <f>主表2!J3</f>
        <v>2024年</v>
      </c>
      <c r="R3" s="837"/>
      <c r="S3" s="836" t="s">
        <v>732</v>
      </c>
      <c r="T3" s="837"/>
      <c r="U3" s="834" t="s">
        <v>628</v>
      </c>
    </row>
    <row r="4" spans="1:25" ht="24" customHeight="1">
      <c r="A4" s="832"/>
      <c r="B4" s="832"/>
      <c r="C4" s="832"/>
      <c r="D4" s="832"/>
      <c r="E4" s="493" t="s">
        <v>352</v>
      </c>
      <c r="F4" s="469" t="s">
        <v>9</v>
      </c>
      <c r="G4" s="493" t="s">
        <v>352</v>
      </c>
      <c r="H4" s="469" t="s">
        <v>9</v>
      </c>
      <c r="I4" s="493" t="s">
        <v>352</v>
      </c>
      <c r="J4" s="469" t="s">
        <v>9</v>
      </c>
      <c r="K4" s="493" t="s">
        <v>352</v>
      </c>
      <c r="L4" s="469" t="s">
        <v>9</v>
      </c>
      <c r="M4" s="493" t="s">
        <v>352</v>
      </c>
      <c r="N4" s="469" t="s">
        <v>9</v>
      </c>
      <c r="O4" s="493" t="s">
        <v>352</v>
      </c>
      <c r="P4" s="476" t="s">
        <v>9</v>
      </c>
      <c r="Q4" s="493" t="s">
        <v>352</v>
      </c>
      <c r="R4" s="476" t="s">
        <v>9</v>
      </c>
      <c r="S4" s="493" t="s">
        <v>602</v>
      </c>
      <c r="T4" s="476" t="s">
        <v>9</v>
      </c>
      <c r="U4" s="835"/>
    </row>
    <row r="5" spans="1:25" ht="24" customHeight="1">
      <c r="A5" s="469">
        <v>1</v>
      </c>
      <c r="B5" s="494" t="s">
        <v>9</v>
      </c>
      <c r="C5" s="469" t="s">
        <v>451</v>
      </c>
      <c r="D5" s="495"/>
      <c r="E5" s="477"/>
      <c r="F5" s="477">
        <f>SUM(F6:F11)</f>
        <v>23402</v>
      </c>
      <c r="G5" s="477"/>
      <c r="H5" s="477">
        <f>SUM(H6:H11)</f>
        <v>77705</v>
      </c>
      <c r="I5" s="477"/>
      <c r="J5" s="477">
        <f>SUM(J6:J11)</f>
        <v>18799</v>
      </c>
      <c r="K5" s="477"/>
      <c r="L5" s="477">
        <f>SUM(L6:L11)</f>
        <v>0</v>
      </c>
      <c r="M5" s="477"/>
      <c r="N5" s="477">
        <f>SUM(N6:N11)</f>
        <v>0</v>
      </c>
      <c r="O5" s="477"/>
      <c r="P5" s="477">
        <f>SUM(P6:P11)</f>
        <v>0</v>
      </c>
      <c r="Q5" s="496"/>
      <c r="R5" s="477">
        <f>SUM(R6:R11)</f>
        <v>0</v>
      </c>
      <c r="S5" s="496"/>
      <c r="T5" s="477">
        <f t="shared" ref="T5:T16" si="0">F5+H5+J5+L5+N5+P5+R5</f>
        <v>119906</v>
      </c>
      <c r="U5" s="155"/>
      <c r="V5" s="156"/>
      <c r="W5" s="156"/>
      <c r="X5" s="508">
        <f>主表7!E17</f>
        <v>0.87</v>
      </c>
      <c r="Y5" s="158">
        <f>X5</f>
        <v>0.87</v>
      </c>
    </row>
    <row r="6" spans="1:25" ht="24" customHeight="1">
      <c r="A6" s="476">
        <v>2</v>
      </c>
      <c r="B6" s="550" t="s">
        <v>907</v>
      </c>
      <c r="C6" s="476" t="s">
        <v>451</v>
      </c>
      <c r="D6" s="562">
        <v>5800</v>
      </c>
      <c r="E6" s="477">
        <f t="shared" ref="E6:E11" si="1">ROUND(U6*E19,0)</f>
        <v>23180</v>
      </c>
      <c r="F6" s="477">
        <f t="shared" ref="F6:F11" si="2">ROUND(D6*E6/10000,0)</f>
        <v>13444</v>
      </c>
      <c r="G6" s="497">
        <f t="shared" ref="G6:G11" si="3">ROUND(U6*G19,0)</f>
        <v>45636</v>
      </c>
      <c r="H6" s="477">
        <f t="shared" ref="H6:H11" si="4">ROUND(D6*G6/10000,0)</f>
        <v>26469</v>
      </c>
      <c r="I6" s="497">
        <f t="shared" ref="I6:I11" si="5">ROUND(U6*I19,0)</f>
        <v>3622</v>
      </c>
      <c r="J6" s="477">
        <f t="shared" ref="J6:J11" si="6">ROUND(I6*D6/10000,0)</f>
        <v>2101</v>
      </c>
      <c r="K6" s="497">
        <f t="shared" ref="K6:K11" si="7">ROUND(U6*K19,0)</f>
        <v>0</v>
      </c>
      <c r="L6" s="477">
        <f t="shared" ref="L6:L11" si="8">K6*D6/10000</f>
        <v>0</v>
      </c>
      <c r="M6" s="477">
        <f>U6*M19</f>
        <v>0</v>
      </c>
      <c r="N6" s="477">
        <f>M6*D6/10000</f>
        <v>0</v>
      </c>
      <c r="O6" s="477">
        <f>U6*O19</f>
        <v>0</v>
      </c>
      <c r="P6" s="477">
        <f>O6*D6/10000</f>
        <v>0</v>
      </c>
      <c r="Q6" s="477">
        <f>U6*Q19</f>
        <v>0</v>
      </c>
      <c r="R6" s="477">
        <f>Q6*D6/10000</f>
        <v>0</v>
      </c>
      <c r="S6" s="497">
        <f t="shared" ref="S6:S11" si="9">E6+G6+I6+K6+M6+O6+Q6</f>
        <v>72438</v>
      </c>
      <c r="T6" s="496">
        <f t="shared" si="0"/>
        <v>42014</v>
      </c>
      <c r="U6" s="352">
        <f>面积表!C54</f>
        <v>72438</v>
      </c>
      <c r="V6" s="352" t="s">
        <v>884</v>
      </c>
      <c r="X6" s="40">
        <f>ROUND(U6*$X$5,2)</f>
        <v>63021.06</v>
      </c>
      <c r="Y6" s="40">
        <f t="shared" ref="Y6:Y11" si="10">ROUND(D6*$Y$5,0)</f>
        <v>5046</v>
      </c>
    </row>
    <row r="7" spans="1:25" ht="24" customHeight="1">
      <c r="A7" s="469">
        <v>3</v>
      </c>
      <c r="B7" s="551" t="str">
        <f>面积表!B55</f>
        <v>小高层</v>
      </c>
      <c r="C7" s="476" t="s">
        <v>451</v>
      </c>
      <c r="D7" s="562">
        <v>6500</v>
      </c>
      <c r="E7" s="477">
        <f t="shared" si="1"/>
        <v>8618</v>
      </c>
      <c r="F7" s="477">
        <f t="shared" si="2"/>
        <v>5602</v>
      </c>
      <c r="G7" s="497">
        <f t="shared" si="3"/>
        <v>17235</v>
      </c>
      <c r="H7" s="477">
        <f t="shared" si="4"/>
        <v>11203</v>
      </c>
      <c r="I7" s="497">
        <f t="shared" si="5"/>
        <v>2873</v>
      </c>
      <c r="J7" s="477">
        <f t="shared" si="6"/>
        <v>1867</v>
      </c>
      <c r="K7" s="497">
        <f t="shared" si="7"/>
        <v>0</v>
      </c>
      <c r="L7" s="477">
        <f t="shared" si="8"/>
        <v>0</v>
      </c>
      <c r="M7" s="477">
        <f>U7*M20</f>
        <v>0</v>
      </c>
      <c r="N7" s="477">
        <f>M7*D7/10000</f>
        <v>0</v>
      </c>
      <c r="O7" s="477">
        <f>U7*O20</f>
        <v>0</v>
      </c>
      <c r="P7" s="477">
        <f>O7*D7/10000</f>
        <v>0</v>
      </c>
      <c r="Q7" s="477">
        <f>U7*Q20</f>
        <v>0</v>
      </c>
      <c r="R7" s="477">
        <f>Q7*D7/10000</f>
        <v>0</v>
      </c>
      <c r="S7" s="497">
        <f t="shared" si="9"/>
        <v>28726</v>
      </c>
      <c r="T7" s="496">
        <f t="shared" si="0"/>
        <v>18672</v>
      </c>
      <c r="U7" s="352">
        <f>面积表!C55</f>
        <v>28725</v>
      </c>
      <c r="V7" s="352">
        <v>4500</v>
      </c>
      <c r="X7" s="40">
        <f>ROUND(U7*$X$5,2)</f>
        <v>24990.75</v>
      </c>
      <c r="Y7" s="40">
        <f t="shared" si="10"/>
        <v>5655</v>
      </c>
    </row>
    <row r="8" spans="1:25" ht="24" customHeight="1">
      <c r="A8" s="476">
        <v>4</v>
      </c>
      <c r="B8" s="551" t="str">
        <f>面积表!B56</f>
        <v>叠拼别墅</v>
      </c>
      <c r="C8" s="476" t="s">
        <v>451</v>
      </c>
      <c r="D8" s="562">
        <v>8000</v>
      </c>
      <c r="E8" s="477">
        <f t="shared" si="1"/>
        <v>5445</v>
      </c>
      <c r="F8" s="477">
        <f t="shared" si="2"/>
        <v>4356</v>
      </c>
      <c r="G8" s="497">
        <f t="shared" si="3"/>
        <v>16335</v>
      </c>
      <c r="H8" s="477">
        <f t="shared" si="4"/>
        <v>13068</v>
      </c>
      <c r="I8" s="497">
        <f t="shared" si="5"/>
        <v>0</v>
      </c>
      <c r="J8" s="477">
        <f t="shared" si="6"/>
        <v>0</v>
      </c>
      <c r="K8" s="497">
        <f t="shared" si="7"/>
        <v>0</v>
      </c>
      <c r="L8" s="477">
        <f t="shared" si="8"/>
        <v>0</v>
      </c>
      <c r="M8" s="477">
        <f>U8*M21</f>
        <v>0</v>
      </c>
      <c r="N8" s="477">
        <f>M8*D8/10000</f>
        <v>0</v>
      </c>
      <c r="O8" s="477">
        <f>U8*O21</f>
        <v>0</v>
      </c>
      <c r="P8" s="477">
        <f>O8*D8/10000</f>
        <v>0</v>
      </c>
      <c r="Q8" s="477">
        <f>U8*Q21</f>
        <v>0</v>
      </c>
      <c r="R8" s="477">
        <f>Q8*D8/10000</f>
        <v>0</v>
      </c>
      <c r="S8" s="497">
        <f t="shared" si="9"/>
        <v>21780</v>
      </c>
      <c r="T8" s="496">
        <f t="shared" si="0"/>
        <v>17424</v>
      </c>
      <c r="U8" s="352">
        <f>面积表!C56</f>
        <v>21780</v>
      </c>
      <c r="V8" s="40">
        <v>50000</v>
      </c>
      <c r="X8" s="40">
        <f>ROUND(U8*$X$5,2)</f>
        <v>18948.599999999999</v>
      </c>
      <c r="Y8" s="40">
        <f t="shared" si="10"/>
        <v>6960</v>
      </c>
    </row>
    <row r="9" spans="1:25" ht="24" customHeight="1">
      <c r="A9" s="469">
        <v>5</v>
      </c>
      <c r="B9" s="537" t="str">
        <f>面积表!B58</f>
        <v>商业</v>
      </c>
      <c r="C9" s="476" t="s">
        <v>451</v>
      </c>
      <c r="D9" s="562">
        <v>18000</v>
      </c>
      <c r="E9" s="477">
        <f t="shared" si="1"/>
        <v>0</v>
      </c>
      <c r="F9" s="477">
        <f t="shared" si="2"/>
        <v>0</v>
      </c>
      <c r="G9" s="497">
        <f t="shared" si="3"/>
        <v>11804</v>
      </c>
      <c r="H9" s="477">
        <f t="shared" si="4"/>
        <v>21247</v>
      </c>
      <c r="I9" s="497">
        <f t="shared" si="5"/>
        <v>6356</v>
      </c>
      <c r="J9" s="477">
        <f t="shared" si="6"/>
        <v>11441</v>
      </c>
      <c r="K9" s="497">
        <f t="shared" si="7"/>
        <v>0</v>
      </c>
      <c r="L9" s="477">
        <f t="shared" si="8"/>
        <v>0</v>
      </c>
      <c r="M9" s="477">
        <f>U9*M22</f>
        <v>0</v>
      </c>
      <c r="N9" s="477">
        <f>M9*D9/10000</f>
        <v>0</v>
      </c>
      <c r="O9" s="477">
        <f>U9*O22</f>
        <v>0</v>
      </c>
      <c r="P9" s="477">
        <f>O9*D9/10000</f>
        <v>0</v>
      </c>
      <c r="Q9" s="477">
        <f>U9*Q22</f>
        <v>0</v>
      </c>
      <c r="R9" s="477">
        <f>Q9*D9/10000</f>
        <v>0</v>
      </c>
      <c r="S9" s="497">
        <f t="shared" si="9"/>
        <v>18160</v>
      </c>
      <c r="T9" s="496">
        <f t="shared" si="0"/>
        <v>32688</v>
      </c>
      <c r="U9" s="533">
        <f>面积表!C58</f>
        <v>18160</v>
      </c>
      <c r="V9" s="111">
        <v>200000</v>
      </c>
      <c r="X9" s="40">
        <f>ROUND(U9*$X$5,2)</f>
        <v>15799.2</v>
      </c>
      <c r="Y9" s="40">
        <f t="shared" si="10"/>
        <v>15660</v>
      </c>
    </row>
    <row r="10" spans="1:25" ht="24" customHeight="1">
      <c r="A10" s="469">
        <v>6</v>
      </c>
      <c r="B10" s="537" t="str">
        <f>面积表!B59</f>
        <v>LOFT</v>
      </c>
      <c r="C10" s="476" t="s">
        <v>451</v>
      </c>
      <c r="D10" s="562">
        <v>4500</v>
      </c>
      <c r="E10" s="477">
        <f t="shared" si="1"/>
        <v>0</v>
      </c>
      <c r="F10" s="477">
        <f t="shared" si="2"/>
        <v>0</v>
      </c>
      <c r="G10" s="497">
        <f t="shared" si="3"/>
        <v>2960</v>
      </c>
      <c r="H10" s="477">
        <f t="shared" si="4"/>
        <v>1332</v>
      </c>
      <c r="I10" s="497">
        <f t="shared" si="5"/>
        <v>1040</v>
      </c>
      <c r="J10" s="477">
        <f t="shared" si="6"/>
        <v>468</v>
      </c>
      <c r="K10" s="497">
        <f t="shared" si="7"/>
        <v>0</v>
      </c>
      <c r="L10" s="477">
        <f t="shared" si="8"/>
        <v>0</v>
      </c>
      <c r="M10" s="477"/>
      <c r="N10" s="477"/>
      <c r="O10" s="477"/>
      <c r="P10" s="477"/>
      <c r="Q10" s="477"/>
      <c r="R10" s="477"/>
      <c r="S10" s="497">
        <f t="shared" si="9"/>
        <v>4000</v>
      </c>
      <c r="T10" s="496">
        <f t="shared" si="0"/>
        <v>1800</v>
      </c>
      <c r="U10" s="533">
        <f>面积表!C59</f>
        <v>4000</v>
      </c>
      <c r="V10" s="111"/>
      <c r="Y10" s="40">
        <f t="shared" si="10"/>
        <v>3915</v>
      </c>
    </row>
    <row r="11" spans="1:25" ht="24" customHeight="1">
      <c r="A11" s="469">
        <v>7</v>
      </c>
      <c r="B11" s="537" t="str">
        <f>面积表!E62</f>
        <v>总可售车位（个）</v>
      </c>
      <c r="C11" s="664" t="s">
        <v>1050</v>
      </c>
      <c r="D11" s="562">
        <v>60000</v>
      </c>
      <c r="E11" s="477">
        <f t="shared" si="1"/>
        <v>0</v>
      </c>
      <c r="F11" s="477">
        <f t="shared" si="2"/>
        <v>0</v>
      </c>
      <c r="G11" s="497">
        <f t="shared" si="3"/>
        <v>731</v>
      </c>
      <c r="H11" s="477">
        <f t="shared" si="4"/>
        <v>4386</v>
      </c>
      <c r="I11" s="497">
        <f t="shared" si="5"/>
        <v>487</v>
      </c>
      <c r="J11" s="477">
        <f t="shared" si="6"/>
        <v>2922</v>
      </c>
      <c r="K11" s="497">
        <f t="shared" si="7"/>
        <v>0</v>
      </c>
      <c r="L11" s="477">
        <f t="shared" si="8"/>
        <v>0</v>
      </c>
      <c r="M11" s="477"/>
      <c r="N11" s="477"/>
      <c r="O11" s="477"/>
      <c r="P11" s="477"/>
      <c r="Q11" s="477"/>
      <c r="R11" s="477"/>
      <c r="S11" s="497">
        <f t="shared" si="9"/>
        <v>1218</v>
      </c>
      <c r="T11" s="496">
        <f t="shared" si="0"/>
        <v>7308</v>
      </c>
      <c r="U11" s="533">
        <f>面积表!F63</f>
        <v>1218</v>
      </c>
      <c r="V11" s="111"/>
      <c r="Y11" s="40">
        <f t="shared" si="10"/>
        <v>52200</v>
      </c>
    </row>
    <row r="12" spans="1:25" ht="24" customHeight="1">
      <c r="A12" s="469">
        <v>8</v>
      </c>
      <c r="B12" s="475" t="s">
        <v>240</v>
      </c>
      <c r="C12" s="476"/>
      <c r="D12" s="480"/>
      <c r="E12" s="477"/>
      <c r="F12" s="477">
        <f>SUM(F13:F16)</f>
        <v>702</v>
      </c>
      <c r="G12" s="477"/>
      <c r="H12" s="477">
        <f t="shared" ref="H12:R12" si="11">SUM(H13:H16)</f>
        <v>2331</v>
      </c>
      <c r="I12" s="477"/>
      <c r="J12" s="477">
        <f t="shared" si="11"/>
        <v>0</v>
      </c>
      <c r="K12" s="477"/>
      <c r="L12" s="477">
        <f t="shared" si="11"/>
        <v>0</v>
      </c>
      <c r="M12" s="477"/>
      <c r="N12" s="477">
        <f t="shared" si="11"/>
        <v>0</v>
      </c>
      <c r="O12" s="477"/>
      <c r="P12" s="477"/>
      <c r="Q12" s="477"/>
      <c r="R12" s="477">
        <f t="shared" si="11"/>
        <v>0</v>
      </c>
      <c r="S12" s="477"/>
      <c r="T12" s="477">
        <f t="shared" si="0"/>
        <v>3033</v>
      </c>
      <c r="U12" s="155"/>
      <c r="V12" s="40" t="e">
        <f>#REF!/35</f>
        <v>#REF!</v>
      </c>
    </row>
    <row r="13" spans="1:25" ht="24" customHeight="1">
      <c r="A13" s="469">
        <v>9</v>
      </c>
      <c r="B13" s="550" t="s">
        <v>913</v>
      </c>
      <c r="C13" s="665">
        <v>0.03</v>
      </c>
      <c r="D13" s="480"/>
      <c r="E13" s="477"/>
      <c r="F13" s="666">
        <f>ROUND(F5/(1+10%)*0.03,0)</f>
        <v>638</v>
      </c>
      <c r="G13" s="666"/>
      <c r="H13" s="666">
        <f>ROUND(H5/(1+10%)*0.03,0)</f>
        <v>2119</v>
      </c>
      <c r="I13" s="666"/>
      <c r="J13" s="707">
        <f>IF((P31-F13-H13)&lt;0,0,IF((P31-F13-H13)&gt;=0,(P31-F13-H13)))</f>
        <v>0</v>
      </c>
      <c r="K13" s="666"/>
      <c r="L13" s="666"/>
      <c r="M13" s="666"/>
      <c r="N13" s="666">
        <f>ROUND(N5*C13,0)</f>
        <v>0</v>
      </c>
      <c r="O13" s="666"/>
      <c r="P13" s="666"/>
      <c r="Q13" s="477"/>
      <c r="R13" s="477">
        <f>R5*C13</f>
        <v>0</v>
      </c>
      <c r="S13" s="477"/>
      <c r="T13" s="477">
        <f t="shared" si="0"/>
        <v>2757</v>
      </c>
      <c r="U13" s="155"/>
    </row>
    <row r="14" spans="1:25" ht="24" customHeight="1">
      <c r="A14" s="469">
        <v>10</v>
      </c>
      <c r="B14" s="475" t="s">
        <v>782</v>
      </c>
      <c r="C14" s="498">
        <f>基础数据!C16</f>
        <v>0.03</v>
      </c>
      <c r="D14" s="480"/>
      <c r="E14" s="477"/>
      <c r="F14" s="477">
        <f>F13*C14</f>
        <v>19</v>
      </c>
      <c r="G14" s="477"/>
      <c r="H14" s="477">
        <f>ROUND(H13*C14,0)</f>
        <v>64</v>
      </c>
      <c r="I14" s="477"/>
      <c r="J14" s="477">
        <f>ROUND(J13*C14,0)</f>
        <v>0</v>
      </c>
      <c r="K14" s="477"/>
      <c r="L14" s="477">
        <f>ROUND(L13*C14,0)</f>
        <v>0</v>
      </c>
      <c r="M14" s="477"/>
      <c r="N14" s="477">
        <f>N13*C14</f>
        <v>0</v>
      </c>
      <c r="O14" s="477"/>
      <c r="P14" s="477"/>
      <c r="Q14" s="477"/>
      <c r="R14" s="477">
        <f>R13*C14</f>
        <v>0</v>
      </c>
      <c r="S14" s="477"/>
      <c r="T14" s="477">
        <f t="shared" si="0"/>
        <v>83</v>
      </c>
      <c r="U14" s="155"/>
    </row>
    <row r="15" spans="1:25" ht="24" customHeight="1">
      <c r="A15" s="469">
        <v>11</v>
      </c>
      <c r="B15" s="475" t="s">
        <v>876</v>
      </c>
      <c r="C15" s="498">
        <v>0.02</v>
      </c>
      <c r="D15" s="480"/>
      <c r="E15" s="477"/>
      <c r="F15" s="477">
        <f>F13*C15</f>
        <v>13</v>
      </c>
      <c r="G15" s="477"/>
      <c r="H15" s="477">
        <f>ROUND(H13*C15,0)</f>
        <v>42</v>
      </c>
      <c r="I15" s="477"/>
      <c r="J15" s="477">
        <f>ROUND(J13*C15,0)</f>
        <v>0</v>
      </c>
      <c r="K15" s="477"/>
      <c r="L15" s="477">
        <f>ROUND(L13*C15,0)</f>
        <v>0</v>
      </c>
      <c r="M15" s="477"/>
      <c r="N15" s="477">
        <f>N13*C15</f>
        <v>0</v>
      </c>
      <c r="O15" s="477"/>
      <c r="P15" s="477"/>
      <c r="Q15" s="477"/>
      <c r="R15" s="477"/>
      <c r="S15" s="477"/>
      <c r="T15" s="477">
        <f t="shared" si="0"/>
        <v>55</v>
      </c>
      <c r="U15" s="155"/>
      <c r="V15" s="160">
        <f>U6+U7+U8+U9</f>
        <v>141103</v>
      </c>
    </row>
    <row r="16" spans="1:25" ht="24" customHeight="1">
      <c r="A16" s="469">
        <v>12</v>
      </c>
      <c r="B16" s="475" t="s">
        <v>783</v>
      </c>
      <c r="C16" s="498">
        <f>基础数据!C18</f>
        <v>0.05</v>
      </c>
      <c r="D16" s="480"/>
      <c r="E16" s="477"/>
      <c r="F16" s="477">
        <f>F13*C16</f>
        <v>32</v>
      </c>
      <c r="G16" s="477"/>
      <c r="H16" s="477">
        <f>ROUND(H13*C16,0)</f>
        <v>106</v>
      </c>
      <c r="I16" s="477"/>
      <c r="J16" s="477">
        <f>ROUND(J13*C16,0)</f>
        <v>0</v>
      </c>
      <c r="K16" s="477"/>
      <c r="L16" s="477">
        <f>ROUND(L13*C16,0)</f>
        <v>0</v>
      </c>
      <c r="M16" s="477"/>
      <c r="N16" s="477">
        <f>N13*C16</f>
        <v>0</v>
      </c>
      <c r="O16" s="477"/>
      <c r="P16" s="477"/>
      <c r="Q16" s="477"/>
      <c r="R16" s="477">
        <f>R13*C16</f>
        <v>0</v>
      </c>
      <c r="S16" s="477"/>
      <c r="T16" s="477">
        <f t="shared" si="0"/>
        <v>138</v>
      </c>
      <c r="U16" s="155"/>
      <c r="V16" s="40">
        <f>S19*U6+S20*U7+S21*U8+S22*U9</f>
        <v>141103</v>
      </c>
    </row>
    <row r="17" spans="1:22" ht="24" customHeight="1">
      <c r="A17" s="469">
        <v>13</v>
      </c>
      <c r="B17" s="475" t="s">
        <v>38</v>
      </c>
      <c r="C17" s="498"/>
      <c r="D17" s="480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155"/>
    </row>
    <row r="18" spans="1:22" ht="15">
      <c r="A18" s="159"/>
      <c r="B18" s="157" t="s">
        <v>452</v>
      </c>
      <c r="C18" s="412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412"/>
      <c r="S18" s="412"/>
      <c r="T18" s="412"/>
    </row>
    <row r="19" spans="1:22" ht="15">
      <c r="A19" s="159"/>
      <c r="B19" s="413" t="str">
        <f t="shared" ref="B19:B24" si="12">B6</f>
        <v xml:space="preserve"> 其中：高层住宅</v>
      </c>
      <c r="C19" s="412"/>
      <c r="D19" s="159"/>
      <c r="E19" s="686">
        <f>ROUNDDOWN(0.65*0.5,2)</f>
        <v>0.32</v>
      </c>
      <c r="F19" s="668"/>
      <c r="G19" s="667">
        <f>ROUND(25%+0.65*0.5+0.1*0.5,2)</f>
        <v>0.63</v>
      </c>
      <c r="H19" s="668"/>
      <c r="I19" s="667">
        <f>ROUND(0.1*0.5,2)</f>
        <v>0.05</v>
      </c>
      <c r="J19" s="415"/>
      <c r="K19" s="414"/>
      <c r="L19" s="415"/>
      <c r="M19" s="414"/>
      <c r="N19" s="415"/>
      <c r="O19" s="414"/>
      <c r="P19" s="415"/>
      <c r="Q19" s="414"/>
      <c r="R19" s="416"/>
      <c r="S19" s="467">
        <f>E19+G19+I19</f>
        <v>1</v>
      </c>
      <c r="T19" s="416"/>
    </row>
    <row r="20" spans="1:22" ht="15">
      <c r="A20" s="159"/>
      <c r="B20" s="418" t="str">
        <f t="shared" si="12"/>
        <v>小高层</v>
      </c>
      <c r="C20" s="412"/>
      <c r="D20" s="159"/>
      <c r="E20" s="669">
        <f>60%*0.5</f>
        <v>0.3</v>
      </c>
      <c r="F20" s="668"/>
      <c r="G20" s="669">
        <f>25%+60%*0.5+0.1*0.5</f>
        <v>0.6</v>
      </c>
      <c r="H20" s="668"/>
      <c r="I20" s="669">
        <f>ROUNDDOWN(0.05*0.5+0.1*0.5,2)+0.03</f>
        <v>0.1</v>
      </c>
      <c r="J20" s="415"/>
      <c r="K20" s="417"/>
      <c r="L20" s="415"/>
      <c r="M20" s="417"/>
      <c r="N20" s="415"/>
      <c r="O20" s="417"/>
      <c r="P20" s="415"/>
      <c r="Q20" s="417"/>
      <c r="R20" s="416"/>
      <c r="S20" s="467">
        <f t="shared" ref="S20:S28" si="13">E20+G20+I20</f>
        <v>1</v>
      </c>
      <c r="T20" s="416"/>
      <c r="U20" s="154"/>
      <c r="V20" s="141"/>
    </row>
    <row r="21" spans="1:22" ht="15">
      <c r="A21" s="159"/>
      <c r="B21" s="418" t="str">
        <f t="shared" si="12"/>
        <v>叠拼别墅</v>
      </c>
      <c r="C21" s="412"/>
      <c r="D21" s="159"/>
      <c r="E21" s="670">
        <f>50%*0.5</f>
        <v>0.25</v>
      </c>
      <c r="F21" s="671"/>
      <c r="G21" s="670">
        <f>50%+0.5*0.5</f>
        <v>0.75</v>
      </c>
      <c r="H21" s="671"/>
      <c r="I21" s="670"/>
      <c r="J21" s="159"/>
      <c r="K21" s="419"/>
      <c r="L21" s="159"/>
      <c r="M21" s="419"/>
      <c r="N21" s="159"/>
      <c r="O21" s="419"/>
      <c r="P21" s="159"/>
      <c r="Q21" s="419"/>
      <c r="R21" s="412"/>
      <c r="S21" s="467">
        <f t="shared" si="13"/>
        <v>1</v>
      </c>
      <c r="T21" s="412"/>
    </row>
    <row r="22" spans="1:22" ht="15">
      <c r="A22" s="159"/>
      <c r="B22" s="418" t="str">
        <f t="shared" si="12"/>
        <v>商业</v>
      </c>
      <c r="C22" s="412"/>
      <c r="D22" s="159"/>
      <c r="E22" s="672">
        <v>0</v>
      </c>
      <c r="F22" s="671"/>
      <c r="G22" s="672">
        <f>0.5+0.3*0.5</f>
        <v>0.65</v>
      </c>
      <c r="H22" s="671"/>
      <c r="I22" s="672">
        <f>20%+0.3*0.5</f>
        <v>0.35</v>
      </c>
      <c r="J22" s="159"/>
      <c r="K22" s="420"/>
      <c r="L22" s="159"/>
      <c r="M22" s="420"/>
      <c r="N22" s="159"/>
      <c r="O22" s="420"/>
      <c r="P22" s="159"/>
      <c r="Q22" s="420"/>
      <c r="R22" s="412"/>
      <c r="S22" s="467">
        <f t="shared" si="13"/>
        <v>1</v>
      </c>
      <c r="T22" s="412"/>
    </row>
    <row r="23" spans="1:22" ht="15">
      <c r="A23" s="159"/>
      <c r="B23" s="418" t="str">
        <f t="shared" si="12"/>
        <v>LOFT</v>
      </c>
      <c r="C23" s="412"/>
      <c r="D23" s="159"/>
      <c r="E23" s="673">
        <v>0</v>
      </c>
      <c r="F23" s="671"/>
      <c r="G23" s="673">
        <f>0.6+0.2*0.7</f>
        <v>0.74</v>
      </c>
      <c r="H23" s="671"/>
      <c r="I23" s="673">
        <f>0.2+0.2*0.3</f>
        <v>0.26</v>
      </c>
      <c r="J23" s="159"/>
      <c r="K23" s="518"/>
      <c r="L23" s="159"/>
      <c r="M23" s="518"/>
      <c r="N23" s="159"/>
      <c r="O23" s="518"/>
      <c r="P23" s="159"/>
      <c r="Q23" s="518"/>
      <c r="R23" s="412"/>
      <c r="S23" s="467">
        <f t="shared" si="13"/>
        <v>1</v>
      </c>
      <c r="T23" s="412"/>
    </row>
    <row r="24" spans="1:22" ht="15">
      <c r="A24" s="159"/>
      <c r="B24" s="418" t="str">
        <f t="shared" si="12"/>
        <v>总可售车位（个）</v>
      </c>
      <c r="C24" s="412"/>
      <c r="D24" s="159"/>
      <c r="E24" s="674">
        <v>0</v>
      </c>
      <c r="F24" s="671"/>
      <c r="G24" s="674">
        <v>0.6</v>
      </c>
      <c r="H24" s="671"/>
      <c r="I24" s="674">
        <v>0.4</v>
      </c>
      <c r="J24" s="159"/>
      <c r="K24" s="519"/>
      <c r="L24" s="159"/>
      <c r="M24" s="519"/>
      <c r="N24" s="159"/>
      <c r="O24" s="519"/>
      <c r="P24" s="159"/>
      <c r="Q24" s="519"/>
      <c r="R24" s="412"/>
      <c r="S24" s="467">
        <f t="shared" si="13"/>
        <v>1</v>
      </c>
      <c r="T24" s="412"/>
    </row>
    <row r="25" spans="1:22" ht="15" hidden="1">
      <c r="A25" s="159"/>
      <c r="B25" s="418"/>
      <c r="C25" s="412"/>
      <c r="D25" s="159"/>
      <c r="E25" s="520">
        <v>0</v>
      </c>
      <c r="F25" s="159"/>
      <c r="G25" s="520">
        <v>0</v>
      </c>
      <c r="H25" s="159"/>
      <c r="I25" s="520">
        <v>0</v>
      </c>
      <c r="J25" s="159"/>
      <c r="K25" s="520"/>
      <c r="L25" s="159"/>
      <c r="M25" s="520"/>
      <c r="N25" s="159"/>
      <c r="O25" s="520"/>
      <c r="P25" s="159"/>
      <c r="Q25" s="520"/>
      <c r="R25" s="412"/>
      <c r="S25" s="467">
        <f t="shared" si="13"/>
        <v>0</v>
      </c>
      <c r="T25" s="412"/>
    </row>
    <row r="26" spans="1:22" ht="15" hidden="1">
      <c r="A26" s="159"/>
      <c r="B26" s="418"/>
      <c r="C26" s="412"/>
      <c r="D26" s="159"/>
      <c r="E26" s="421">
        <v>0</v>
      </c>
      <c r="F26" s="159"/>
      <c r="G26" s="421">
        <v>0</v>
      </c>
      <c r="H26" s="159"/>
      <c r="I26" s="421">
        <v>0</v>
      </c>
      <c r="J26" s="159"/>
      <c r="K26" s="421">
        <v>0</v>
      </c>
      <c r="L26" s="159"/>
      <c r="M26" s="421"/>
      <c r="N26" s="159"/>
      <c r="O26" s="421"/>
      <c r="P26" s="159"/>
      <c r="Q26" s="421"/>
      <c r="R26" s="412"/>
      <c r="S26" s="467">
        <f t="shared" si="13"/>
        <v>0</v>
      </c>
      <c r="T26" s="412"/>
    </row>
    <row r="27" spans="1:22" ht="15" hidden="1">
      <c r="A27" s="159"/>
      <c r="B27" s="418"/>
      <c r="C27" s="412"/>
      <c r="D27" s="159"/>
      <c r="E27" s="422">
        <v>0</v>
      </c>
      <c r="F27" s="159"/>
      <c r="G27" s="422">
        <v>0</v>
      </c>
      <c r="H27" s="159"/>
      <c r="I27" s="422">
        <v>0</v>
      </c>
      <c r="J27" s="159"/>
      <c r="K27" s="422">
        <v>0</v>
      </c>
      <c r="L27" s="159"/>
      <c r="M27" s="422"/>
      <c r="N27" s="159"/>
      <c r="O27" s="422"/>
      <c r="P27" s="159"/>
      <c r="Q27" s="422"/>
      <c r="R27" s="412"/>
      <c r="S27" s="467">
        <f t="shared" si="13"/>
        <v>0</v>
      </c>
      <c r="T27" s="412"/>
    </row>
    <row r="28" spans="1:22" ht="15" hidden="1">
      <c r="A28" s="159"/>
      <c r="B28" s="418"/>
      <c r="C28" s="412"/>
      <c r="D28" s="159"/>
      <c r="E28" s="423"/>
      <c r="F28" s="159"/>
      <c r="G28" s="423">
        <v>1</v>
      </c>
      <c r="H28" s="159"/>
      <c r="I28" s="423">
        <v>0</v>
      </c>
      <c r="J28" s="159"/>
      <c r="K28" s="423">
        <v>0</v>
      </c>
      <c r="L28" s="159"/>
      <c r="M28" s="423"/>
      <c r="N28" s="159"/>
      <c r="O28" s="423"/>
      <c r="P28" s="159"/>
      <c r="Q28" s="423"/>
      <c r="R28" s="412"/>
      <c r="S28" s="467">
        <f t="shared" si="13"/>
        <v>1</v>
      </c>
      <c r="T28" s="412"/>
    </row>
    <row r="30" spans="1:22" ht="15" thickBot="1"/>
    <row r="31" spans="1:22" ht="15.75" thickBot="1">
      <c r="O31" s="687" t="s">
        <v>1051</v>
      </c>
      <c r="P31" s="688">
        <f>ROUND((T5-主表2!K14)/(1+10%)*10%-(主表2!K21+主表2!K30*0.5+主表2!K31*0.5+主表2!K32*0.3+主表2!K34)/(1+6%)*6%-(主表2!K26)/(1+10%)*10%,0)</f>
        <v>2635</v>
      </c>
    </row>
    <row r="33" spans="7:20">
      <c r="G33" s="40">
        <f>G19*U6</f>
        <v>45635.94</v>
      </c>
      <c r="I33" s="40">
        <f>I19*U6+I20*U7+I21*U8</f>
        <v>6494.4</v>
      </c>
      <c r="K33" s="40" t="e">
        <f>K19*U6+K21*U8+K22*面积表!#REF!</f>
        <v>#REF!</v>
      </c>
      <c r="M33" s="40" t="e">
        <f>M21*U8+M22*面积表!#REF!</f>
        <v>#REF!</v>
      </c>
      <c r="T33" s="541" t="e">
        <f>U6+U7+U8+面积表!#REF!</f>
        <v>#REF!</v>
      </c>
    </row>
    <row r="36" spans="7:20">
      <c r="G36" s="40" t="e">
        <f>G33/T33</f>
        <v>#REF!</v>
      </c>
      <c r="I36" s="40" t="e">
        <f>I33/T33</f>
        <v>#REF!</v>
      </c>
      <c r="K36" s="40" t="e">
        <f>K33/T33</f>
        <v>#REF!</v>
      </c>
      <c r="M36" s="40" t="e">
        <f>M33/T33</f>
        <v>#REF!</v>
      </c>
    </row>
  </sheetData>
  <customSheetViews>
    <customSheetView guid="{33FE80C0-0EDF-11D4-8B3D-001060002050}" scale="75" showPageBreaks="1" showRuler="0" topLeftCell="K10">
      <selection activeCell="T22" sqref="T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 r:id="rId1"/>
      <headerFooter alignWithMargins="0"/>
    </customSheetView>
    <customSheetView guid="{62777320-11E7-11D4-8B3D-00E098726125}" scale="75" showRuler="0" topLeftCell="K10">
      <selection activeCell="T22" sqref="T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 r:id="rId2"/>
      <headerFooter alignWithMargins="0"/>
    </customSheetView>
  </customSheetViews>
  <mergeCells count="15">
    <mergeCell ref="U3:U4"/>
    <mergeCell ref="S3:T3"/>
    <mergeCell ref="G3:H3"/>
    <mergeCell ref="E3:F3"/>
    <mergeCell ref="Q3:R3"/>
    <mergeCell ref="O3:P3"/>
    <mergeCell ref="M3:N3"/>
    <mergeCell ref="K3:L3"/>
    <mergeCell ref="I3:J3"/>
    <mergeCell ref="A1:T1"/>
    <mergeCell ref="C3:C4"/>
    <mergeCell ref="D3:D4"/>
    <mergeCell ref="B3:B4"/>
    <mergeCell ref="A3:A4"/>
    <mergeCell ref="C2:H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7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BI207"/>
  <sheetViews>
    <sheetView topLeftCell="C1" zoomScaleNormal="100" zoomScaleSheetLayoutView="100" workbookViewId="0" xr3:uid="{65FA3815-DCC1-5481-872F-D2879ED395ED}">
      <selection activeCell="D36" sqref="D36"/>
    </sheetView>
  </sheetViews>
  <sheetFormatPr defaultRowHeight="14.25"/>
  <cols>
    <col min="1" max="1" width="3.375" style="40" customWidth="1"/>
    <col min="2" max="2" width="11.5" style="40" bestFit="1" customWidth="1"/>
    <col min="3" max="3" width="45" style="216" bestFit="1" customWidth="1"/>
    <col min="4" max="4" width="12" style="216" customWidth="1"/>
    <col min="5" max="5" width="11.625" style="216" customWidth="1"/>
    <col min="6" max="6" width="12.75" style="216" bestFit="1" customWidth="1"/>
    <col min="7" max="7" width="11.875" style="40" bestFit="1" customWidth="1"/>
    <col min="8" max="8" width="10.625" style="40" customWidth="1"/>
    <col min="9" max="9" width="11.25" style="40" customWidth="1"/>
    <col min="10" max="10" width="11.25" style="40" hidden="1" customWidth="1"/>
    <col min="11" max="11" width="12.75" style="216" bestFit="1" customWidth="1"/>
    <col min="12" max="12" width="11.125" style="40" customWidth="1"/>
    <col min="13" max="13" width="12.25" style="138" bestFit="1" customWidth="1"/>
    <col min="14" max="14" width="8.875" style="40" customWidth="1"/>
    <col min="15" max="15" width="15.875" style="40" customWidth="1"/>
    <col min="16" max="16" width="12.25" style="216" customWidth="1"/>
    <col min="17" max="17" width="10.75" style="216" customWidth="1"/>
    <col min="18" max="18" width="10.5" style="40" customWidth="1"/>
    <col min="19" max="16384" width="9" style="40"/>
  </cols>
  <sheetData>
    <row r="1" spans="1:15" ht="33" customHeight="1">
      <c r="A1" s="137"/>
      <c r="B1" s="868" t="s">
        <v>733</v>
      </c>
      <c r="C1" s="868"/>
      <c r="D1" s="868"/>
      <c r="E1" s="868"/>
      <c r="F1" s="868"/>
      <c r="G1" s="868"/>
      <c r="H1" s="868"/>
      <c r="I1" s="868"/>
      <c r="J1" s="868"/>
      <c r="K1" s="868"/>
      <c r="L1" s="142"/>
    </row>
    <row r="2" spans="1:15" ht="65.25" customHeight="1">
      <c r="A2" s="137"/>
      <c r="B2" s="568" t="s">
        <v>803</v>
      </c>
      <c r="C2" s="571"/>
      <c r="D2" s="833" t="str">
        <f>基础数据!C4</f>
        <v>安徽省芜湖市芜湖县荆江路以北 芜湖中路以东 世纪大道以西</v>
      </c>
      <c r="E2" s="833"/>
      <c r="F2" s="833"/>
      <c r="G2" s="833"/>
      <c r="H2" s="833"/>
      <c r="I2" s="869" t="s">
        <v>27</v>
      </c>
      <c r="J2" s="869"/>
      <c r="K2" s="869"/>
    </row>
    <row r="3" spans="1:15" ht="20.100000000000001" customHeight="1">
      <c r="A3" s="137"/>
      <c r="B3" s="475" t="s">
        <v>28</v>
      </c>
      <c r="C3" s="476" t="s">
        <v>724</v>
      </c>
      <c r="D3" s="476" t="str">
        <f>CONCATENATE(TEXT(基础数据!C5,"@"),"年")</f>
        <v>2018年</v>
      </c>
      <c r="E3" s="476" t="str">
        <f>CONCATENATE(TEXT(基础数据!C5+1,"@"),"年")</f>
        <v>2019年</v>
      </c>
      <c r="F3" s="476" t="str">
        <f>CONCATENATE(TEXT(基础数据!C5+2,"@"),"年")</f>
        <v>2020年</v>
      </c>
      <c r="G3" s="476" t="str">
        <f>CONCATENATE(TEXT(基础数据!C5+3,"@"),"年")</f>
        <v>2021年</v>
      </c>
      <c r="H3" s="476" t="str">
        <f>CONCATENATE(TEXT(基础数据!C5+4,"@"),"年")</f>
        <v>2022年</v>
      </c>
      <c r="I3" s="476" t="str">
        <f>CONCATENATE(TEXT(基础数据!$C$5+5,"@"),"年")</f>
        <v>2023年</v>
      </c>
      <c r="J3" s="476" t="str">
        <f>CONCATENATE(TEXT(基础数据!$C$5+6,"@"),"年")</f>
        <v>2024年</v>
      </c>
      <c r="K3" s="476" t="s">
        <v>786</v>
      </c>
      <c r="M3" s="61"/>
      <c r="N3" s="66"/>
    </row>
    <row r="4" spans="1:15" ht="20.100000000000001" customHeight="1">
      <c r="A4" s="137"/>
      <c r="B4" s="476">
        <v>1</v>
      </c>
      <c r="C4" s="473" t="s">
        <v>734</v>
      </c>
      <c r="D4" s="477">
        <f>SUM(D5:D11)</f>
        <v>62526</v>
      </c>
      <c r="E4" s="477">
        <f t="shared" ref="E4:J4" si="0">SUM(E5:E10)</f>
        <v>26363</v>
      </c>
      <c r="F4" s="477">
        <f t="shared" si="0"/>
        <v>12549</v>
      </c>
      <c r="G4" s="477">
        <f t="shared" si="0"/>
        <v>0</v>
      </c>
      <c r="H4" s="477">
        <f t="shared" si="0"/>
        <v>0</v>
      </c>
      <c r="I4" s="477">
        <f t="shared" si="0"/>
        <v>0</v>
      </c>
      <c r="J4" s="477">
        <f t="shared" si="0"/>
        <v>0</v>
      </c>
      <c r="K4" s="477">
        <f t="shared" ref="K4:K11" si="1">SUM(D4:J4)</f>
        <v>101438</v>
      </c>
      <c r="L4" s="138">
        <f>L9/K4</f>
        <v>1.4786999999999999</v>
      </c>
      <c r="M4" s="61">
        <f t="shared" ref="M4:M9" si="2">K4/$K$13</f>
        <v>1</v>
      </c>
      <c r="N4" s="66"/>
    </row>
    <row r="5" spans="1:15" ht="20.100000000000001" customHeight="1">
      <c r="A5" s="137"/>
      <c r="B5" s="476">
        <v>2</v>
      </c>
      <c r="C5" s="560" t="str">
        <f>面积表!E3&amp;面积表!F3</f>
        <v>五矿信托股东借款</v>
      </c>
      <c r="D5" s="477">
        <v>18800</v>
      </c>
      <c r="E5" s="558"/>
      <c r="F5" s="477"/>
      <c r="G5" s="477"/>
      <c r="H5" s="477"/>
      <c r="I5" s="477"/>
      <c r="J5" s="477"/>
      <c r="K5" s="477">
        <f>SUM(D5:J5)</f>
        <v>18800</v>
      </c>
      <c r="L5" s="40">
        <f>J75</f>
        <v>0</v>
      </c>
      <c r="M5" s="61">
        <f t="shared" si="2"/>
        <v>0.18529999999999999</v>
      </c>
      <c r="N5" s="66"/>
    </row>
    <row r="6" spans="1:15" ht="20.100000000000001" customHeight="1">
      <c r="A6" s="137"/>
      <c r="B6" s="476">
        <v>3</v>
      </c>
      <c r="C6" s="560"/>
      <c r="D6" s="477"/>
      <c r="E6" s="477"/>
      <c r="F6" s="477"/>
      <c r="G6" s="477"/>
      <c r="H6" s="477"/>
      <c r="I6" s="477"/>
      <c r="J6" s="477"/>
      <c r="K6" s="477"/>
      <c r="L6" s="142">
        <f>D15+D16+E17+E18+K21</f>
        <v>41163</v>
      </c>
      <c r="M6" s="61">
        <f t="shared" si="2"/>
        <v>0</v>
      </c>
      <c r="N6" s="66"/>
    </row>
    <row r="7" spans="1:15" ht="20.100000000000001" customHeight="1">
      <c r="A7" s="137"/>
      <c r="B7" s="476">
        <v>4</v>
      </c>
      <c r="C7" s="664" t="s">
        <v>542</v>
      </c>
      <c r="D7" s="477">
        <f>面积表!G4+面积表!G6</f>
        <v>25000</v>
      </c>
      <c r="E7" s="477">
        <f>面积表!G8</f>
        <v>0</v>
      </c>
      <c r="F7" s="477"/>
      <c r="G7" s="477"/>
      <c r="H7" s="477"/>
      <c r="I7" s="477"/>
      <c r="J7" s="477"/>
      <c r="K7" s="477">
        <f t="shared" si="1"/>
        <v>25000</v>
      </c>
      <c r="M7" s="61">
        <f t="shared" si="2"/>
        <v>0.2465</v>
      </c>
      <c r="N7" s="66"/>
      <c r="O7" s="142">
        <f>K7+K9</f>
        <v>25000</v>
      </c>
    </row>
    <row r="8" spans="1:15" ht="20.100000000000001" customHeight="1">
      <c r="A8" s="137"/>
      <c r="B8" s="476">
        <v>5</v>
      </c>
      <c r="C8" s="560"/>
      <c r="D8" s="477"/>
      <c r="E8" s="477"/>
      <c r="F8" s="477"/>
      <c r="G8" s="477"/>
      <c r="H8" s="477"/>
      <c r="I8" s="477"/>
      <c r="J8" s="477">
        <f>J13</f>
        <v>0</v>
      </c>
      <c r="K8" s="477">
        <f t="shared" si="1"/>
        <v>0</v>
      </c>
      <c r="M8" s="61">
        <f t="shared" si="2"/>
        <v>0</v>
      </c>
      <c r="N8" s="66"/>
    </row>
    <row r="9" spans="1:15" ht="20.100000000000001" customHeight="1">
      <c r="A9" s="137"/>
      <c r="B9" s="476">
        <v>6</v>
      </c>
      <c r="C9" s="552"/>
      <c r="D9" s="477"/>
      <c r="E9" s="477"/>
      <c r="F9" s="477"/>
      <c r="G9" s="477"/>
      <c r="H9" s="477"/>
      <c r="I9" s="477"/>
      <c r="J9" s="477"/>
      <c r="K9" s="477">
        <f t="shared" si="1"/>
        <v>0</v>
      </c>
      <c r="L9" s="142">
        <v>150000</v>
      </c>
      <c r="M9" s="61">
        <f t="shared" si="2"/>
        <v>0</v>
      </c>
      <c r="N9" s="66">
        <f>ROUND(K13*30%,0)</f>
        <v>30431</v>
      </c>
      <c r="O9" s="138">
        <f>1-M5-M8</f>
        <v>0.81469999999999998</v>
      </c>
    </row>
    <row r="10" spans="1:15" ht="20.100000000000001" customHeight="1">
      <c r="A10" s="137"/>
      <c r="B10" s="476">
        <v>7</v>
      </c>
      <c r="C10" s="552" t="s">
        <v>914</v>
      </c>
      <c r="D10" s="477">
        <f>D13-D5-D7</f>
        <v>18726</v>
      </c>
      <c r="E10" s="477">
        <f>E13</f>
        <v>26363</v>
      </c>
      <c r="F10" s="477">
        <f>F13</f>
        <v>12549</v>
      </c>
      <c r="G10" s="477">
        <f>G13</f>
        <v>0</v>
      </c>
      <c r="H10" s="477"/>
      <c r="I10" s="477"/>
      <c r="J10" s="477"/>
      <c r="K10" s="477">
        <f t="shared" si="1"/>
        <v>57638</v>
      </c>
      <c r="L10" s="142"/>
      <c r="M10" s="61"/>
      <c r="N10" s="66"/>
      <c r="O10" s="138"/>
    </row>
    <row r="11" spans="1:15" ht="20.100000000000001" customHeight="1">
      <c r="A11" s="137"/>
      <c r="B11" s="476">
        <v>8</v>
      </c>
      <c r="C11" s="557" t="s">
        <v>920</v>
      </c>
      <c r="D11" s="477"/>
      <c r="E11" s="477">
        <f>面积表!K10</f>
        <v>0</v>
      </c>
      <c r="F11" s="477"/>
      <c r="G11" s="477"/>
      <c r="H11" s="477"/>
      <c r="I11" s="477"/>
      <c r="J11" s="477"/>
      <c r="K11" s="477">
        <f t="shared" si="1"/>
        <v>0</v>
      </c>
      <c r="L11" s="142">
        <f>E8+E11</f>
        <v>0</v>
      </c>
      <c r="M11" s="61"/>
      <c r="N11" s="66"/>
      <c r="O11" s="138"/>
    </row>
    <row r="12" spans="1:15" ht="20.100000000000001" customHeight="1">
      <c r="A12" s="137"/>
      <c r="B12" s="476" t="s">
        <v>3</v>
      </c>
      <c r="C12" s="476"/>
      <c r="D12" s="477"/>
      <c r="E12" s="477"/>
      <c r="F12" s="477"/>
      <c r="G12" s="477"/>
      <c r="H12" s="477"/>
      <c r="I12" s="477"/>
      <c r="J12" s="477"/>
      <c r="K12" s="477"/>
      <c r="M12" s="61"/>
      <c r="N12" s="66"/>
    </row>
    <row r="13" spans="1:15" ht="20.100000000000001" customHeight="1">
      <c r="A13" s="137"/>
      <c r="B13" s="476">
        <v>9</v>
      </c>
      <c r="C13" s="473" t="s">
        <v>735</v>
      </c>
      <c r="D13" s="477">
        <f t="shared" ref="D13:J13" si="3">ROUND(D14+D21+D26+D30+D31+D32+D33+D34+D35,0)</f>
        <v>62526</v>
      </c>
      <c r="E13" s="477">
        <f t="shared" si="3"/>
        <v>26363</v>
      </c>
      <c r="F13" s="477">
        <f t="shared" si="3"/>
        <v>12549</v>
      </c>
      <c r="G13" s="477">
        <f t="shared" si="3"/>
        <v>0</v>
      </c>
      <c r="H13" s="477">
        <f t="shared" si="3"/>
        <v>0</v>
      </c>
      <c r="I13" s="477">
        <f t="shared" si="3"/>
        <v>0</v>
      </c>
      <c r="J13" s="477">
        <f t="shared" si="3"/>
        <v>0</v>
      </c>
      <c r="K13" s="477">
        <f>ROUND(K14+K21+K26+K30+K31+K32+K33+K34+K35,0)</f>
        <v>101438</v>
      </c>
      <c r="L13" s="142">
        <f>K14+K21+K26+K30+K31+K32+K33+K34</f>
        <v>101438</v>
      </c>
      <c r="M13" s="61"/>
      <c r="N13" s="66"/>
    </row>
    <row r="14" spans="1:15" ht="20.100000000000001" customHeight="1">
      <c r="A14" s="137"/>
      <c r="B14" s="476">
        <v>10</v>
      </c>
      <c r="C14" s="478" t="s">
        <v>828</v>
      </c>
      <c r="D14" s="477">
        <f t="shared" ref="D14:J14" si="4">ROUND(SUM(D15:D20),0)</f>
        <v>41603</v>
      </c>
      <c r="E14" s="477">
        <f t="shared" si="4"/>
        <v>0</v>
      </c>
      <c r="F14" s="477">
        <f t="shared" si="4"/>
        <v>0</v>
      </c>
      <c r="G14" s="477">
        <f t="shared" si="4"/>
        <v>0</v>
      </c>
      <c r="H14" s="477">
        <f t="shared" si="4"/>
        <v>0</v>
      </c>
      <c r="I14" s="477">
        <f t="shared" si="4"/>
        <v>0</v>
      </c>
      <c r="J14" s="477">
        <f t="shared" si="4"/>
        <v>0</v>
      </c>
      <c r="K14" s="477">
        <f>SUM(D14:J14)</f>
        <v>41603</v>
      </c>
      <c r="L14" s="142">
        <f t="shared" ref="L14:L27" si="5">D46</f>
        <v>41603</v>
      </c>
      <c r="M14" s="61">
        <f>K14/$K$13</f>
        <v>0.41010000000000002</v>
      </c>
      <c r="N14" s="66"/>
    </row>
    <row r="15" spans="1:15" ht="20.100000000000001" customHeight="1">
      <c r="A15" s="137"/>
      <c r="B15" s="476">
        <v>11</v>
      </c>
      <c r="C15" s="472" t="str">
        <f t="shared" ref="C15:D17" si="6">C47</f>
        <v>其中：政府土地收益</v>
      </c>
      <c r="D15" s="477">
        <f t="shared" si="6"/>
        <v>39200</v>
      </c>
      <c r="E15" s="477">
        <f>L15-D15</f>
        <v>0</v>
      </c>
      <c r="F15" s="479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f t="shared" ref="K15:K38" si="7">SUM(D15:J15)</f>
        <v>39200</v>
      </c>
      <c r="L15" s="142">
        <f t="shared" si="5"/>
        <v>39200</v>
      </c>
      <c r="M15" s="61">
        <f t="shared" ref="M15:M38" si="8">K15/$K$13</f>
        <v>0.38640000000000002</v>
      </c>
      <c r="N15" s="66"/>
    </row>
    <row r="16" spans="1:15" ht="20.100000000000001" customHeight="1">
      <c r="A16" s="137"/>
      <c r="B16" s="476">
        <v>12</v>
      </c>
      <c r="C16" s="472" t="str">
        <f t="shared" si="6"/>
        <v>土地开发补偿费</v>
      </c>
      <c r="D16" s="477">
        <f t="shared" si="6"/>
        <v>0</v>
      </c>
      <c r="E16" s="477">
        <f>L16-D16</f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f t="shared" si="7"/>
        <v>0</v>
      </c>
      <c r="L16" s="142">
        <f t="shared" si="5"/>
        <v>0</v>
      </c>
      <c r="M16" s="61">
        <f t="shared" si="8"/>
        <v>0</v>
      </c>
      <c r="N16" s="66"/>
    </row>
    <row r="17" spans="1:14" ht="20.100000000000001" customHeight="1">
      <c r="A17" s="137"/>
      <c r="B17" s="476">
        <v>13</v>
      </c>
      <c r="C17" s="472" t="str">
        <f t="shared" si="6"/>
        <v>购地税费</v>
      </c>
      <c r="D17" s="477">
        <f t="shared" si="6"/>
        <v>1568</v>
      </c>
      <c r="E17" s="477"/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f t="shared" si="7"/>
        <v>1568</v>
      </c>
      <c r="L17" s="142">
        <f t="shared" si="5"/>
        <v>1568</v>
      </c>
      <c r="M17" s="61">
        <f t="shared" si="8"/>
        <v>1.55E-2</v>
      </c>
      <c r="N17" s="66"/>
    </row>
    <row r="18" spans="1:14" ht="20.100000000000001" customHeight="1">
      <c r="A18" s="137"/>
      <c r="B18" s="476">
        <v>14</v>
      </c>
      <c r="C18" s="472" t="str">
        <f>C50</f>
        <v xml:space="preserve"> 补交政府土地收益及契税</v>
      </c>
      <c r="D18" s="477">
        <v>0</v>
      </c>
      <c r="E18" s="477">
        <f>D50</f>
        <v>0</v>
      </c>
      <c r="F18" s="477"/>
      <c r="G18" s="480"/>
      <c r="H18" s="480"/>
      <c r="I18" s="480"/>
      <c r="J18" s="480"/>
      <c r="K18" s="477">
        <f t="shared" si="7"/>
        <v>0</v>
      </c>
      <c r="L18" s="142">
        <f>D50</f>
        <v>0</v>
      </c>
      <c r="M18" s="61"/>
      <c r="N18" s="66"/>
    </row>
    <row r="19" spans="1:14" ht="20.100000000000001" customHeight="1">
      <c r="A19" s="137"/>
      <c r="B19" s="476">
        <v>15</v>
      </c>
      <c r="C19" s="472" t="str">
        <f>C51</f>
        <v>城市基础设施建设费</v>
      </c>
      <c r="D19" s="477">
        <f>D51</f>
        <v>835</v>
      </c>
      <c r="E19" s="477"/>
      <c r="F19" s="477"/>
      <c r="G19" s="477"/>
      <c r="H19" s="477"/>
      <c r="I19" s="480"/>
      <c r="J19" s="480"/>
      <c r="K19" s="477">
        <f t="shared" si="7"/>
        <v>835</v>
      </c>
      <c r="L19" s="142">
        <f t="shared" si="5"/>
        <v>835</v>
      </c>
      <c r="M19" s="61">
        <f t="shared" si="8"/>
        <v>8.2000000000000007E-3</v>
      </c>
      <c r="N19" s="66"/>
    </row>
    <row r="20" spans="1:14" ht="20.100000000000001" customHeight="1">
      <c r="A20" s="137"/>
      <c r="B20" s="476">
        <v>16</v>
      </c>
      <c r="C20" s="472" t="str">
        <f>C52</f>
        <v>红线外市政</v>
      </c>
      <c r="D20" s="477"/>
      <c r="E20" s="513"/>
      <c r="F20" s="477">
        <f>L20*0.6</f>
        <v>0</v>
      </c>
      <c r="G20" s="477">
        <f>L20-F20</f>
        <v>0</v>
      </c>
      <c r="H20" s="477"/>
      <c r="I20" s="480"/>
      <c r="J20" s="480"/>
      <c r="K20" s="477">
        <f t="shared" si="7"/>
        <v>0</v>
      </c>
      <c r="L20" s="142">
        <f t="shared" si="5"/>
        <v>0</v>
      </c>
      <c r="M20" s="61"/>
      <c r="N20" s="66"/>
    </row>
    <row r="21" spans="1:14" ht="20.100000000000001" customHeight="1">
      <c r="A21" s="137"/>
      <c r="B21" s="476">
        <v>17</v>
      </c>
      <c r="C21" s="473" t="s">
        <v>804</v>
      </c>
      <c r="D21" s="477">
        <f>ROUND(SUM(D22:D25),1)</f>
        <v>1963</v>
      </c>
      <c r="E21" s="477">
        <f t="shared" ref="E21:J21" si="9">SUM(E22:E25)</f>
        <v>0</v>
      </c>
      <c r="F21" s="477">
        <f t="shared" si="9"/>
        <v>0</v>
      </c>
      <c r="G21" s="477">
        <f t="shared" si="9"/>
        <v>0</v>
      </c>
      <c r="H21" s="477">
        <f t="shared" si="9"/>
        <v>0</v>
      </c>
      <c r="I21" s="477">
        <f t="shared" si="9"/>
        <v>0</v>
      </c>
      <c r="J21" s="477">
        <f t="shared" si="9"/>
        <v>0</v>
      </c>
      <c r="K21" s="477">
        <f t="shared" si="7"/>
        <v>1963</v>
      </c>
      <c r="L21" s="142">
        <f t="shared" si="5"/>
        <v>1963</v>
      </c>
      <c r="M21" s="61">
        <f t="shared" si="8"/>
        <v>1.9400000000000001E-2</v>
      </c>
      <c r="N21" s="67" t="s">
        <v>355</v>
      </c>
    </row>
    <row r="22" spans="1:14" ht="20.100000000000001" customHeight="1">
      <c r="A22" s="137"/>
      <c r="B22" s="476">
        <v>18</v>
      </c>
      <c r="C22" s="472" t="s">
        <v>642</v>
      </c>
      <c r="D22" s="691">
        <f>L22</f>
        <v>935</v>
      </c>
      <c r="E22" s="691">
        <f>L22-D22</f>
        <v>0</v>
      </c>
      <c r="F22" s="691">
        <v>0</v>
      </c>
      <c r="G22" s="691">
        <v>0</v>
      </c>
      <c r="H22" s="691">
        <v>0</v>
      </c>
      <c r="I22" s="477">
        <v>0</v>
      </c>
      <c r="J22" s="477">
        <v>0</v>
      </c>
      <c r="K22" s="477">
        <f>ROUND(SUM(D22:J22),1)</f>
        <v>935</v>
      </c>
      <c r="L22" s="142">
        <f t="shared" si="5"/>
        <v>935</v>
      </c>
      <c r="M22" s="61">
        <f t="shared" si="8"/>
        <v>9.1999999999999998E-3</v>
      </c>
      <c r="N22" s="66"/>
    </row>
    <row r="23" spans="1:14" ht="20.100000000000001" customHeight="1">
      <c r="A23" s="137"/>
      <c r="B23" s="476">
        <v>19</v>
      </c>
      <c r="C23" s="472" t="s">
        <v>822</v>
      </c>
      <c r="D23" s="691">
        <f>L23</f>
        <v>431</v>
      </c>
      <c r="E23" s="691">
        <f>L23-D23</f>
        <v>0</v>
      </c>
      <c r="F23" s="691">
        <v>0</v>
      </c>
      <c r="G23" s="691">
        <v>0</v>
      </c>
      <c r="H23" s="691">
        <v>0</v>
      </c>
      <c r="I23" s="477">
        <v>0</v>
      </c>
      <c r="J23" s="477">
        <v>0</v>
      </c>
      <c r="K23" s="477">
        <f t="shared" si="7"/>
        <v>431</v>
      </c>
      <c r="L23" s="142">
        <f t="shared" si="5"/>
        <v>431</v>
      </c>
      <c r="M23" s="61">
        <f t="shared" si="8"/>
        <v>4.1999999999999997E-3</v>
      </c>
      <c r="N23" s="66"/>
    </row>
    <row r="24" spans="1:14" ht="20.100000000000001" customHeight="1">
      <c r="A24" s="137"/>
      <c r="B24" s="476">
        <v>20</v>
      </c>
      <c r="C24" s="472" t="s">
        <v>823</v>
      </c>
      <c r="D24" s="691">
        <f>L24</f>
        <v>597</v>
      </c>
      <c r="E24" s="691"/>
      <c r="F24" s="691"/>
      <c r="G24" s="691"/>
      <c r="H24" s="691"/>
      <c r="I24" s="477"/>
      <c r="J24" s="477"/>
      <c r="K24" s="477">
        <f t="shared" si="7"/>
        <v>597</v>
      </c>
      <c r="L24" s="142">
        <f t="shared" si="5"/>
        <v>597</v>
      </c>
      <c r="M24" s="61">
        <f t="shared" si="8"/>
        <v>5.8999999999999999E-3</v>
      </c>
      <c r="N24" s="66"/>
    </row>
    <row r="25" spans="1:14" ht="20.100000000000001" customHeight="1">
      <c r="A25" s="137"/>
      <c r="B25" s="476">
        <v>21</v>
      </c>
      <c r="C25" s="472" t="s">
        <v>824</v>
      </c>
      <c r="D25" s="691"/>
      <c r="E25" s="691"/>
      <c r="F25" s="691"/>
      <c r="G25" s="691"/>
      <c r="H25" s="691"/>
      <c r="I25" s="477"/>
      <c r="J25" s="477"/>
      <c r="K25" s="477">
        <f t="shared" si="7"/>
        <v>0</v>
      </c>
      <c r="L25" s="142">
        <f t="shared" si="5"/>
        <v>0</v>
      </c>
      <c r="M25" s="61">
        <f t="shared" si="8"/>
        <v>0</v>
      </c>
      <c r="N25" s="66"/>
    </row>
    <row r="26" spans="1:14" ht="20.100000000000001" customHeight="1">
      <c r="A26" s="137"/>
      <c r="B26" s="476">
        <v>22</v>
      </c>
      <c r="C26" s="473" t="s">
        <v>805</v>
      </c>
      <c r="D26" s="691">
        <f>ROUND(SUM(D27:D29),1)</f>
        <v>12139</v>
      </c>
      <c r="E26" s="691">
        <f t="shared" ref="E26:J26" si="10">SUM(E27:E29)</f>
        <v>20763</v>
      </c>
      <c r="F26" s="691">
        <f>SUM(F27:F29)</f>
        <v>10216</v>
      </c>
      <c r="G26" s="691">
        <f t="shared" si="10"/>
        <v>0</v>
      </c>
      <c r="H26" s="691">
        <f t="shared" si="10"/>
        <v>0</v>
      </c>
      <c r="I26" s="477">
        <f t="shared" si="10"/>
        <v>0</v>
      </c>
      <c r="J26" s="477">
        <f t="shared" si="10"/>
        <v>0</v>
      </c>
      <c r="K26" s="477">
        <f t="shared" si="7"/>
        <v>43118</v>
      </c>
      <c r="L26" s="142">
        <f t="shared" si="5"/>
        <v>43118</v>
      </c>
      <c r="M26" s="61">
        <f t="shared" si="8"/>
        <v>0.42509999999999998</v>
      </c>
      <c r="N26" s="66"/>
    </row>
    <row r="27" spans="1:14" ht="20.100000000000001" customHeight="1">
      <c r="A27" s="137"/>
      <c r="B27" s="476">
        <v>23</v>
      </c>
      <c r="C27" s="472" t="s">
        <v>242</v>
      </c>
      <c r="D27" s="692">
        <f>ROUND($L$27*D40,0)</f>
        <v>9353</v>
      </c>
      <c r="E27" s="692">
        <f>ROUND($L$27*E40,0)</f>
        <v>15589</v>
      </c>
      <c r="F27" s="692">
        <f>ROUND($L$27*F40,0)</f>
        <v>6236</v>
      </c>
      <c r="G27" s="691"/>
      <c r="H27" s="691"/>
      <c r="I27" s="477"/>
      <c r="J27" s="477"/>
      <c r="K27" s="477">
        <f t="shared" si="7"/>
        <v>31178</v>
      </c>
      <c r="L27" s="142">
        <f t="shared" si="5"/>
        <v>31178</v>
      </c>
      <c r="M27" s="61">
        <f t="shared" si="8"/>
        <v>0.30740000000000001</v>
      </c>
      <c r="N27" s="66"/>
    </row>
    <row r="28" spans="1:14" ht="20.100000000000001" customHeight="1">
      <c r="A28" s="137"/>
      <c r="B28" s="476">
        <v>24</v>
      </c>
      <c r="C28" s="472" t="s">
        <v>825</v>
      </c>
      <c r="D28" s="693">
        <f>ROUND($L$28*D41,0)</f>
        <v>1194</v>
      </c>
      <c r="E28" s="693">
        <f>ROUND($L$28*E41,0)</f>
        <v>1990</v>
      </c>
      <c r="F28" s="693">
        <f>ROUND($L$28*F41,0)</f>
        <v>796</v>
      </c>
      <c r="G28" s="691"/>
      <c r="H28" s="691"/>
      <c r="I28" s="477"/>
      <c r="J28" s="477"/>
      <c r="K28" s="477">
        <f>SUM(D28:J28)</f>
        <v>3980</v>
      </c>
      <c r="L28" s="142">
        <f>D69</f>
        <v>3980</v>
      </c>
      <c r="M28" s="61">
        <f t="shared" si="8"/>
        <v>3.9199999999999999E-2</v>
      </c>
      <c r="N28" s="66"/>
    </row>
    <row r="29" spans="1:14" ht="20.100000000000001" customHeight="1">
      <c r="A29" s="137"/>
      <c r="B29" s="476">
        <v>25</v>
      </c>
      <c r="C29" s="472" t="s">
        <v>826</v>
      </c>
      <c r="D29" s="694">
        <f>ROUND($L$29*D42,0)</f>
        <v>1592</v>
      </c>
      <c r="E29" s="694">
        <f>ROUND($L$29*E42,0)</f>
        <v>3184</v>
      </c>
      <c r="F29" s="694">
        <f>ROUND($L$29*F42,0)</f>
        <v>3184</v>
      </c>
      <c r="G29" s="691"/>
      <c r="H29" s="691"/>
      <c r="I29" s="477"/>
      <c r="J29" s="477"/>
      <c r="K29" s="477">
        <f>SUM(D29:J29)</f>
        <v>7960</v>
      </c>
      <c r="L29" s="142">
        <f>D70</f>
        <v>7960</v>
      </c>
      <c r="M29" s="61">
        <f t="shared" si="8"/>
        <v>7.85E-2</v>
      </c>
      <c r="N29" s="67" t="s">
        <v>356</v>
      </c>
    </row>
    <row r="30" spans="1:14" ht="20.100000000000001" customHeight="1">
      <c r="A30" s="137"/>
      <c r="B30" s="476">
        <v>26</v>
      </c>
      <c r="C30" s="473" t="str">
        <f t="shared" ref="C30:C35" si="11">C72</f>
        <v>（四）开发间接费用</v>
      </c>
      <c r="D30" s="691">
        <f>ROUND($L$30*0.25,0)</f>
        <v>755</v>
      </c>
      <c r="E30" s="691">
        <f>ROUND($L$30*0.4,0)</f>
        <v>1207</v>
      </c>
      <c r="F30" s="691">
        <f>L30-D30-E30</f>
        <v>1056</v>
      </c>
      <c r="G30" s="691"/>
      <c r="H30" s="691"/>
      <c r="I30" s="477"/>
      <c r="J30" s="477"/>
      <c r="K30" s="477">
        <f t="shared" si="7"/>
        <v>3018</v>
      </c>
      <c r="L30" s="142">
        <f t="shared" ref="L30:L35" si="12">D72</f>
        <v>3018</v>
      </c>
      <c r="M30" s="61">
        <f t="shared" si="8"/>
        <v>2.98E-2</v>
      </c>
      <c r="N30" s="67" t="s">
        <v>357</v>
      </c>
    </row>
    <row r="31" spans="1:14" ht="20.100000000000001" customHeight="1">
      <c r="A31" s="137"/>
      <c r="B31" s="476">
        <v>27</v>
      </c>
      <c r="C31" s="478" t="str">
        <f t="shared" si="11"/>
        <v>（五）销售费用</v>
      </c>
      <c r="D31" s="691">
        <f>ROUND(底表1!F5*主表2!F73,0)</f>
        <v>468</v>
      </c>
      <c r="E31" s="691">
        <f>ROUND(底表1!H5*主表2!F73,0)</f>
        <v>1554</v>
      </c>
      <c r="F31" s="691">
        <f>ROUND(底表1!J5*F73,0)</f>
        <v>376</v>
      </c>
      <c r="G31" s="691">
        <f>L31-D31-E31-F31</f>
        <v>0</v>
      </c>
      <c r="H31" s="691">
        <f>ROUND(底表1!M5*主表2!G73,0)</f>
        <v>0</v>
      </c>
      <c r="I31" s="481"/>
      <c r="J31" s="481">
        <f>底表1!R5*$F$73</f>
        <v>0</v>
      </c>
      <c r="K31" s="477">
        <f>SUM(D31:J31)</f>
        <v>2398</v>
      </c>
      <c r="L31" s="142">
        <f t="shared" si="12"/>
        <v>2398</v>
      </c>
      <c r="M31" s="61">
        <f t="shared" si="8"/>
        <v>2.3599999999999999E-2</v>
      </c>
      <c r="N31" s="67" t="s">
        <v>358</v>
      </c>
    </row>
    <row r="32" spans="1:14" ht="20.100000000000001" customHeight="1">
      <c r="A32" s="137"/>
      <c r="B32" s="476">
        <v>28</v>
      </c>
      <c r="C32" s="478" t="str">
        <f t="shared" si="11"/>
        <v>（六）管理费用</v>
      </c>
      <c r="D32" s="691">
        <f>(D14+D21+D26+D30)*$F$74</f>
        <v>1694</v>
      </c>
      <c r="E32" s="691">
        <f>(E14+E21+E26+E30)*$F$74</f>
        <v>659</v>
      </c>
      <c r="F32" s="691">
        <f>L32-D32-E32</f>
        <v>338</v>
      </c>
      <c r="G32" s="691">
        <f>(G14+G21+G26+G30)*$F$74</f>
        <v>0</v>
      </c>
      <c r="H32" s="691">
        <f>(H14+H21+H26+H30)*$F$74</f>
        <v>0</v>
      </c>
      <c r="I32" s="477">
        <f>(I14+I21+I26+I30)*$F$74</f>
        <v>0</v>
      </c>
      <c r="J32" s="477">
        <f>(J14+J21+J26+J30)*$F$74</f>
        <v>0</v>
      </c>
      <c r="K32" s="477">
        <f t="shared" si="7"/>
        <v>2691</v>
      </c>
      <c r="L32" s="142">
        <f t="shared" si="12"/>
        <v>2691</v>
      </c>
      <c r="M32" s="61">
        <f t="shared" si="8"/>
        <v>2.6499999999999999E-2</v>
      </c>
      <c r="N32" s="67" t="s">
        <v>359</v>
      </c>
    </row>
    <row r="33" spans="1:18" ht="20.100000000000001" customHeight="1">
      <c r="A33" s="137"/>
      <c r="B33" s="476">
        <v>29</v>
      </c>
      <c r="C33" s="478" t="str">
        <f t="shared" si="11"/>
        <v>（七）财务费用</v>
      </c>
      <c r="D33" s="699">
        <f>D75/2</f>
        <v>1081</v>
      </c>
      <c r="E33" s="700">
        <f>D33</f>
        <v>1081</v>
      </c>
      <c r="F33" s="563"/>
      <c r="G33" s="563"/>
      <c r="H33" s="563"/>
      <c r="I33" s="477"/>
      <c r="J33" s="477"/>
      <c r="K33" s="477">
        <f t="shared" si="7"/>
        <v>2162</v>
      </c>
      <c r="L33" s="142">
        <f t="shared" si="12"/>
        <v>2162</v>
      </c>
      <c r="M33" s="61">
        <f t="shared" si="8"/>
        <v>2.1299999999999999E-2</v>
      </c>
      <c r="N33" s="67" t="s">
        <v>360</v>
      </c>
    </row>
    <row r="34" spans="1:18" ht="20.100000000000001" customHeight="1">
      <c r="A34" s="137"/>
      <c r="B34" s="476">
        <v>30</v>
      </c>
      <c r="C34" s="478" t="str">
        <f t="shared" si="11"/>
        <v>（八）不可预见费用</v>
      </c>
      <c r="D34" s="477">
        <f>ROUND((D14+D21+D26+D30)*$F$76,0)</f>
        <v>2823</v>
      </c>
      <c r="E34" s="477">
        <f>ROUND((E14+E21+E26+E30)*$F$76,0)</f>
        <v>1099</v>
      </c>
      <c r="F34" s="477">
        <f>L34-D34-E34</f>
        <v>563</v>
      </c>
      <c r="G34" s="477">
        <f>ROUND((G14+G21+G26+G30)*$F$76,0)</f>
        <v>0</v>
      </c>
      <c r="H34" s="477">
        <f>ROUND((H14+H21+H26+H30)*$F$76,0)</f>
        <v>0</v>
      </c>
      <c r="I34" s="477">
        <f>ROUND((I14+I21+I26+I30)*F76,0)</f>
        <v>0</v>
      </c>
      <c r="J34" s="477">
        <f>ROUND((J14+J21+J26+J30)*K76,0)</f>
        <v>0</v>
      </c>
      <c r="K34" s="477">
        <f t="shared" si="7"/>
        <v>4485</v>
      </c>
      <c r="L34" s="142">
        <f t="shared" si="12"/>
        <v>4485</v>
      </c>
      <c r="M34" s="61">
        <f t="shared" si="8"/>
        <v>4.4200000000000003E-2</v>
      </c>
      <c r="N34" s="67" t="s">
        <v>361</v>
      </c>
    </row>
    <row r="35" spans="1:18" ht="20.100000000000001" customHeight="1">
      <c r="A35" s="137"/>
      <c r="B35" s="476">
        <v>31</v>
      </c>
      <c r="C35" s="478" t="str">
        <f t="shared" si="11"/>
        <v>（九）相关税费</v>
      </c>
      <c r="D35" s="477"/>
      <c r="E35" s="477"/>
      <c r="F35" s="477"/>
      <c r="G35" s="477"/>
      <c r="H35" s="477"/>
      <c r="I35" s="477"/>
      <c r="J35" s="477"/>
      <c r="K35" s="477">
        <f t="shared" si="7"/>
        <v>0</v>
      </c>
      <c r="L35" s="142">
        <f t="shared" si="12"/>
        <v>0</v>
      </c>
      <c r="M35" s="61">
        <f t="shared" si="8"/>
        <v>0</v>
      </c>
      <c r="N35" s="143" t="s">
        <v>362</v>
      </c>
    </row>
    <row r="36" spans="1:18" ht="20.100000000000001" customHeight="1">
      <c r="A36" s="137"/>
      <c r="B36" s="476">
        <v>32</v>
      </c>
      <c r="C36" s="510" t="s">
        <v>837</v>
      </c>
      <c r="D36" s="477">
        <f>ROUND(D14+D21+D26+D30+D34+D35,0)</f>
        <v>59283</v>
      </c>
      <c r="E36" s="477">
        <f t="shared" ref="E36:J36" si="13">E14+E21+E26+E30+E34+E35</f>
        <v>23069</v>
      </c>
      <c r="F36" s="477">
        <f t="shared" si="13"/>
        <v>11835</v>
      </c>
      <c r="G36" s="477">
        <f t="shared" si="13"/>
        <v>0</v>
      </c>
      <c r="H36" s="477">
        <f t="shared" si="13"/>
        <v>0</v>
      </c>
      <c r="I36" s="477">
        <f t="shared" si="13"/>
        <v>0</v>
      </c>
      <c r="J36" s="477">
        <f t="shared" si="13"/>
        <v>0</v>
      </c>
      <c r="K36" s="477">
        <f t="shared" si="7"/>
        <v>94187</v>
      </c>
      <c r="M36" s="61">
        <f t="shared" si="8"/>
        <v>0.92849999999999999</v>
      </c>
      <c r="N36" s="66"/>
    </row>
    <row r="37" spans="1:18" ht="20.100000000000001" customHeight="1">
      <c r="A37" s="137"/>
      <c r="B37" s="476">
        <v>33</v>
      </c>
      <c r="C37" s="510" t="s">
        <v>838</v>
      </c>
      <c r="D37" s="477">
        <f>ROUND(D31+D32+D33,0)</f>
        <v>3243</v>
      </c>
      <c r="E37" s="477">
        <f t="shared" ref="E37:J37" si="14">E31+E32+E33</f>
        <v>3294</v>
      </c>
      <c r="F37" s="477">
        <f>F31+F32+F33</f>
        <v>714</v>
      </c>
      <c r="G37" s="477">
        <f>G31+G32+G33</f>
        <v>0</v>
      </c>
      <c r="H37" s="477">
        <f t="shared" si="14"/>
        <v>0</v>
      </c>
      <c r="I37" s="477">
        <f t="shared" si="14"/>
        <v>0</v>
      </c>
      <c r="J37" s="477">
        <f t="shared" si="14"/>
        <v>0</v>
      </c>
      <c r="K37" s="477">
        <f t="shared" si="7"/>
        <v>7251</v>
      </c>
      <c r="M37" s="61">
        <f t="shared" si="8"/>
        <v>7.1499999999999994E-2</v>
      </c>
      <c r="N37" s="66" t="s">
        <v>3</v>
      </c>
    </row>
    <row r="38" spans="1:18" ht="20.100000000000001" customHeight="1">
      <c r="A38" s="137"/>
      <c r="B38" s="476">
        <v>34</v>
      </c>
      <c r="C38" s="473" t="s">
        <v>806</v>
      </c>
      <c r="D38" s="477">
        <f t="shared" ref="D38:J38" si="15">D13-D33</f>
        <v>61445</v>
      </c>
      <c r="E38" s="477">
        <f t="shared" si="15"/>
        <v>25282</v>
      </c>
      <c r="F38" s="477">
        <f t="shared" si="15"/>
        <v>12549</v>
      </c>
      <c r="G38" s="477">
        <f t="shared" si="15"/>
        <v>0</v>
      </c>
      <c r="H38" s="477">
        <f t="shared" si="15"/>
        <v>0</v>
      </c>
      <c r="I38" s="477">
        <f t="shared" si="15"/>
        <v>0</v>
      </c>
      <c r="J38" s="477">
        <f t="shared" si="15"/>
        <v>0</v>
      </c>
      <c r="K38" s="477">
        <f t="shared" si="7"/>
        <v>99276</v>
      </c>
      <c r="M38" s="61">
        <f t="shared" si="8"/>
        <v>0.97870000000000001</v>
      </c>
      <c r="N38" s="66"/>
    </row>
    <row r="39" spans="1:18">
      <c r="B39" s="482"/>
      <c r="C39" s="479"/>
      <c r="D39" s="706">
        <f>D13/$K$13</f>
        <v>0.61639999999999995</v>
      </c>
      <c r="E39" s="706">
        <f>E13/$K$13</f>
        <v>0.25990000000000002</v>
      </c>
      <c r="F39" s="706">
        <f>F13/$K$13</f>
        <v>0.1237</v>
      </c>
      <c r="G39" s="479"/>
      <c r="H39" s="479"/>
      <c r="I39" s="482"/>
      <c r="J39" s="482"/>
      <c r="K39" s="479"/>
    </row>
    <row r="40" spans="1:18" ht="15">
      <c r="C40" s="509" t="str">
        <f>C27</f>
        <v>其中：建安工程费</v>
      </c>
      <c r="D40" s="474">
        <v>0.3</v>
      </c>
      <c r="E40" s="474">
        <v>0.5</v>
      </c>
      <c r="F40" s="474">
        <v>0.2</v>
      </c>
      <c r="G40" s="158"/>
      <c r="H40" s="158"/>
    </row>
    <row r="41" spans="1:18" ht="15">
      <c r="C41" s="509" t="str">
        <f>C28</f>
        <v xml:space="preserve">      附属工程费</v>
      </c>
      <c r="D41" s="474">
        <v>0.3</v>
      </c>
      <c r="E41" s="474">
        <v>0.5</v>
      </c>
      <c r="F41" s="474">
        <v>0.2</v>
      </c>
      <c r="G41" s="158"/>
      <c r="H41" s="158"/>
    </row>
    <row r="42" spans="1:18" ht="15">
      <c r="C42" s="509" t="str">
        <f>C29</f>
        <v xml:space="preserve">     室外工程费</v>
      </c>
      <c r="D42" s="221">
        <v>0.2</v>
      </c>
      <c r="E42" s="474">
        <v>0.4</v>
      </c>
      <c r="F42" s="474">
        <v>0.4</v>
      </c>
    </row>
    <row r="43" spans="1:18">
      <c r="D43" s="221">
        <f>D4/$K$4</f>
        <v>0.61639999999999995</v>
      </c>
      <c r="E43" s="221">
        <f>E4/$K$4</f>
        <v>0.25990000000000002</v>
      </c>
      <c r="F43" s="221">
        <f>F4/$K$4</f>
        <v>0.1237</v>
      </c>
      <c r="G43" s="221">
        <f>G4/$K$4</f>
        <v>0</v>
      </c>
      <c r="H43" s="138"/>
      <c r="I43" s="138"/>
      <c r="J43" s="138"/>
      <c r="K43" s="221"/>
    </row>
    <row r="44" spans="1:18">
      <c r="I44" s="156"/>
      <c r="J44" s="156"/>
      <c r="K44" s="390"/>
      <c r="L44" s="156"/>
      <c r="M44" s="358"/>
      <c r="N44" s="333"/>
      <c r="O44" s="333"/>
      <c r="P44" s="333"/>
      <c r="Q44" s="333"/>
    </row>
    <row r="45" spans="1:18" s="34" customFormat="1" ht="18" customHeight="1">
      <c r="B45" s="145"/>
      <c r="C45" s="144" t="s">
        <v>623</v>
      </c>
      <c r="D45" s="845" t="s">
        <v>526</v>
      </c>
      <c r="E45" s="870"/>
      <c r="F45" s="845" t="s">
        <v>625</v>
      </c>
      <c r="G45" s="870"/>
      <c r="H45" s="845" t="s">
        <v>450</v>
      </c>
      <c r="I45" s="846"/>
      <c r="J45" s="389"/>
      <c r="K45" s="336" t="s">
        <v>624</v>
      </c>
      <c r="L45" s="132"/>
      <c r="M45" s="132"/>
      <c r="N45" s="844" t="s">
        <v>863</v>
      </c>
      <c r="O45" s="844"/>
      <c r="P45" s="844"/>
      <c r="Q45" s="844"/>
      <c r="R45" s="844"/>
    </row>
    <row r="46" spans="1:18" ht="16.5">
      <c r="B46" s="146"/>
      <c r="C46" s="217" t="s">
        <v>598</v>
      </c>
      <c r="D46" s="863">
        <f>SUM(D47:E52)</f>
        <v>41603</v>
      </c>
      <c r="E46" s="864"/>
      <c r="F46" s="864"/>
      <c r="G46" s="864"/>
      <c r="H46" s="864"/>
      <c r="I46" s="864"/>
      <c r="J46" s="864"/>
      <c r="K46" s="865"/>
      <c r="L46" s="702">
        <f>D46/D78</f>
        <v>0.41010000000000002</v>
      </c>
      <c r="M46" s="690">
        <f>ROUND(D46/F59*10000,0)</f>
        <v>2091</v>
      </c>
      <c r="N46" s="844" t="s">
        <v>314</v>
      </c>
      <c r="O46" s="844" t="s">
        <v>842</v>
      </c>
      <c r="P46" s="521" t="s">
        <v>843</v>
      </c>
      <c r="Q46" s="521" t="s">
        <v>845</v>
      </c>
      <c r="R46" s="844" t="s">
        <v>847</v>
      </c>
    </row>
    <row r="47" spans="1:18" ht="48">
      <c r="B47" s="146"/>
      <c r="C47" s="218" t="s">
        <v>834</v>
      </c>
      <c r="D47" s="840">
        <f>面积表!B23/10000</f>
        <v>39200</v>
      </c>
      <c r="E47" s="841"/>
      <c r="F47" s="857" t="s">
        <v>836</v>
      </c>
      <c r="G47" s="774"/>
      <c r="H47" s="773"/>
      <c r="I47" s="774"/>
      <c r="J47" s="387"/>
      <c r="K47" s="218"/>
      <c r="L47" s="702"/>
      <c r="M47" s="335"/>
      <c r="N47" s="844"/>
      <c r="O47" s="844"/>
      <c r="P47" s="521" t="s">
        <v>844</v>
      </c>
      <c r="Q47" s="521" t="s">
        <v>846</v>
      </c>
      <c r="R47" s="844"/>
    </row>
    <row r="48" spans="1:18" ht="15">
      <c r="B48" s="146"/>
      <c r="C48" s="218" t="s">
        <v>835</v>
      </c>
      <c r="D48" s="842">
        <f>面积表!B24</f>
        <v>0</v>
      </c>
      <c r="E48" s="843"/>
      <c r="F48" s="857" t="s">
        <v>836</v>
      </c>
      <c r="G48" s="774"/>
      <c r="H48" s="773"/>
      <c r="I48" s="774"/>
      <c r="J48" s="387"/>
      <c r="K48" s="218"/>
      <c r="L48" s="702"/>
      <c r="M48" s="334"/>
      <c r="N48" s="522">
        <v>1</v>
      </c>
      <c r="O48" s="522" t="s">
        <v>848</v>
      </c>
      <c r="P48" s="522">
        <f>SUM(P49:P51)</f>
        <v>90679</v>
      </c>
      <c r="Q48" s="522">
        <v>90679</v>
      </c>
      <c r="R48" s="522">
        <v>0</v>
      </c>
    </row>
    <row r="49" spans="2:21" s="504" customFormat="1" ht="15">
      <c r="B49" s="500"/>
      <c r="C49" s="218" t="s">
        <v>875</v>
      </c>
      <c r="D49" s="879">
        <f>ROUND((D47+D48)*F49,0)</f>
        <v>1568</v>
      </c>
      <c r="E49" s="880"/>
      <c r="F49" s="847">
        <v>0.04</v>
      </c>
      <c r="G49" s="848"/>
      <c r="H49" s="877"/>
      <c r="I49" s="878"/>
      <c r="J49" s="502"/>
      <c r="K49" s="501"/>
      <c r="L49" s="703"/>
      <c r="M49" s="503"/>
      <c r="N49" s="522">
        <v>1.1000000000000001</v>
      </c>
      <c r="O49" s="522" t="s">
        <v>849</v>
      </c>
      <c r="P49" s="522">
        <v>43190</v>
      </c>
      <c r="Q49" s="522">
        <v>0</v>
      </c>
      <c r="R49" s="522">
        <v>43190</v>
      </c>
    </row>
    <row r="50" spans="2:21" s="504" customFormat="1" ht="15">
      <c r="B50" s="500"/>
      <c r="C50" s="218" t="s">
        <v>840</v>
      </c>
      <c r="D50" s="838"/>
      <c r="E50" s="839"/>
      <c r="F50" s="906" t="s">
        <v>905</v>
      </c>
      <c r="G50" s="848"/>
      <c r="H50" s="514"/>
      <c r="I50" s="515"/>
      <c r="J50" s="516"/>
      <c r="K50" s="502"/>
      <c r="L50" s="703"/>
      <c r="M50" s="503"/>
      <c r="N50" s="522">
        <v>1.2</v>
      </c>
      <c r="O50" s="522" t="s">
        <v>850</v>
      </c>
      <c r="P50" s="522">
        <v>44848</v>
      </c>
      <c r="Q50" s="522">
        <v>0</v>
      </c>
      <c r="R50" s="522">
        <v>44848</v>
      </c>
    </row>
    <row r="51" spans="2:21" ht="15">
      <c r="B51" s="146"/>
      <c r="C51" s="675" t="s">
        <v>831</v>
      </c>
      <c r="D51" s="861">
        <f>ROUND((F51*G51+H51*I51)/10000,0)</f>
        <v>835</v>
      </c>
      <c r="E51" s="862"/>
      <c r="F51" s="676">
        <f>面积表!C53</f>
        <v>122943</v>
      </c>
      <c r="G51" s="677">
        <v>40</v>
      </c>
      <c r="H51" s="676">
        <f>面积表!C57+面积表!C60+面积表!B63+面积表!B65</f>
        <v>68667</v>
      </c>
      <c r="I51" s="677">
        <v>50</v>
      </c>
      <c r="J51" s="676"/>
      <c r="K51" s="689"/>
      <c r="L51" s="702"/>
      <c r="M51" s="690"/>
      <c r="N51" s="522">
        <v>1.3</v>
      </c>
      <c r="O51" s="522" t="s">
        <v>851</v>
      </c>
      <c r="P51" s="522">
        <v>2641</v>
      </c>
      <c r="Q51" s="522">
        <v>0</v>
      </c>
      <c r="R51" s="522">
        <v>2641</v>
      </c>
    </row>
    <row r="52" spans="2:21" ht="15">
      <c r="B52" s="146"/>
      <c r="C52" s="678" t="s">
        <v>906</v>
      </c>
      <c r="D52" s="860">
        <f>ROUND(F52*H52/10000,0)</f>
        <v>0</v>
      </c>
      <c r="E52" s="860"/>
      <c r="F52" s="888">
        <f>F59</f>
        <v>198997</v>
      </c>
      <c r="G52" s="889"/>
      <c r="H52" s="904">
        <v>0</v>
      </c>
      <c r="I52" s="905"/>
      <c r="J52" s="531"/>
      <c r="K52" s="530"/>
      <c r="L52" s="702"/>
      <c r="M52" s="332"/>
      <c r="N52" s="522"/>
      <c r="O52" s="522"/>
      <c r="P52" s="522"/>
      <c r="Q52" s="522"/>
      <c r="R52" s="522"/>
    </row>
    <row r="53" spans="2:21" ht="15">
      <c r="B53" s="146"/>
      <c r="C53" s="217" t="s">
        <v>599</v>
      </c>
      <c r="D53" s="863">
        <f>SUM(D54:D57)</f>
        <v>1963</v>
      </c>
      <c r="E53" s="864"/>
      <c r="F53" s="864"/>
      <c r="G53" s="864"/>
      <c r="H53" s="864"/>
      <c r="I53" s="864"/>
      <c r="J53" s="864"/>
      <c r="K53" s="865"/>
      <c r="L53" s="702">
        <f>D53/D78</f>
        <v>1.9400000000000001E-2</v>
      </c>
      <c r="M53" s="704">
        <f>ROUND(D53/F59*10000,0)</f>
        <v>99</v>
      </c>
      <c r="N53" s="522">
        <v>2</v>
      </c>
      <c r="O53" s="522" t="s">
        <v>852</v>
      </c>
      <c r="P53" s="522">
        <v>1615</v>
      </c>
      <c r="Q53" s="522">
        <v>1046</v>
      </c>
      <c r="R53" s="522">
        <v>569</v>
      </c>
    </row>
    <row r="54" spans="2:21" ht="15">
      <c r="B54" s="146"/>
      <c r="C54" s="219" t="s">
        <v>621</v>
      </c>
      <c r="D54" s="851">
        <f>ROUND(D59*F54,0)</f>
        <v>935</v>
      </c>
      <c r="E54" s="852"/>
      <c r="F54" s="855">
        <v>0.03</v>
      </c>
      <c r="G54" s="856"/>
      <c r="H54" s="849"/>
      <c r="I54" s="850"/>
      <c r="J54" s="388"/>
      <c r="K54" s="357"/>
      <c r="L54" s="702"/>
      <c r="M54" s="147"/>
      <c r="N54" s="522">
        <v>3</v>
      </c>
      <c r="O54" s="522" t="s">
        <v>853</v>
      </c>
      <c r="P54" s="522">
        <v>47093</v>
      </c>
      <c r="Q54" s="522">
        <v>0</v>
      </c>
      <c r="R54" s="522">
        <v>47093</v>
      </c>
    </row>
    <row r="55" spans="2:21" ht="15">
      <c r="B55" s="146"/>
      <c r="C55" s="219" t="s">
        <v>622</v>
      </c>
      <c r="D55" s="851">
        <f>ROUND(D58*F55,0)</f>
        <v>431</v>
      </c>
      <c r="E55" s="852"/>
      <c r="F55" s="858">
        <v>0.01</v>
      </c>
      <c r="G55" s="859"/>
      <c r="H55" s="849"/>
      <c r="I55" s="850"/>
      <c r="J55" s="388"/>
      <c r="K55" s="401"/>
      <c r="L55" s="702"/>
      <c r="M55" s="147"/>
      <c r="N55" s="522">
        <v>3.1</v>
      </c>
      <c r="O55" s="522" t="s">
        <v>854</v>
      </c>
      <c r="P55" s="522">
        <v>43800</v>
      </c>
      <c r="Q55" s="522">
        <v>0</v>
      </c>
      <c r="R55" s="522">
        <v>43800</v>
      </c>
    </row>
    <row r="56" spans="2:21" ht="15">
      <c r="B56" s="146"/>
      <c r="C56" s="218" t="s">
        <v>619</v>
      </c>
      <c r="D56" s="853">
        <f>ROUND(F56*H56/10000,0)</f>
        <v>597</v>
      </c>
      <c r="E56" s="854"/>
      <c r="F56" s="885">
        <f>F59</f>
        <v>198997</v>
      </c>
      <c r="G56" s="850"/>
      <c r="H56" s="900">
        <v>30</v>
      </c>
      <c r="I56" s="901"/>
      <c r="J56" s="388"/>
      <c r="K56" s="401"/>
      <c r="L56" s="702"/>
      <c r="M56" s="147"/>
      <c r="N56" s="522">
        <v>4</v>
      </c>
      <c r="O56" s="522" t="s">
        <v>855</v>
      </c>
      <c r="P56" s="522">
        <v>331</v>
      </c>
      <c r="Q56" s="522">
        <v>331</v>
      </c>
      <c r="R56" s="522">
        <v>0</v>
      </c>
    </row>
    <row r="57" spans="2:21" ht="15">
      <c r="B57" s="146"/>
      <c r="C57" s="532" t="s">
        <v>620</v>
      </c>
      <c r="D57" s="897"/>
      <c r="E57" s="898"/>
      <c r="F57" s="883"/>
      <c r="G57" s="884"/>
      <c r="H57" s="849"/>
      <c r="I57" s="850"/>
      <c r="J57" s="388"/>
      <c r="K57" s="357"/>
      <c r="L57" s="702"/>
      <c r="M57" s="147"/>
      <c r="N57" s="522">
        <v>5</v>
      </c>
      <c r="O57" s="522" t="s">
        <v>856</v>
      </c>
      <c r="P57" s="522">
        <v>422</v>
      </c>
      <c r="Q57" s="522">
        <v>147</v>
      </c>
      <c r="R57" s="522">
        <v>275</v>
      </c>
    </row>
    <row r="58" spans="2:21" ht="15">
      <c r="B58" s="146"/>
      <c r="C58" s="217" t="s">
        <v>600</v>
      </c>
      <c r="D58" s="851">
        <f>D59+D69+D70</f>
        <v>43118</v>
      </c>
      <c r="E58" s="899"/>
      <c r="F58" s="899"/>
      <c r="G58" s="899"/>
      <c r="H58" s="899"/>
      <c r="I58" s="899"/>
      <c r="J58" s="899"/>
      <c r="K58" s="852"/>
      <c r="L58" s="702">
        <f>D58/D78</f>
        <v>0.42509999999999998</v>
      </c>
      <c r="M58" s="704">
        <f>ROUND(D58/$F$59*10000,0)</f>
        <v>2167</v>
      </c>
      <c r="N58" s="522">
        <v>6</v>
      </c>
      <c r="O58" s="522" t="s">
        <v>857</v>
      </c>
      <c r="P58" s="522">
        <v>16921</v>
      </c>
      <c r="Q58" s="522">
        <v>0</v>
      </c>
      <c r="R58" s="522">
        <v>16921</v>
      </c>
    </row>
    <row r="59" spans="2:21" ht="15">
      <c r="B59" s="146"/>
      <c r="C59" s="646" t="s">
        <v>601</v>
      </c>
      <c r="D59" s="851">
        <f>SUM(D60:E68)</f>
        <v>31178</v>
      </c>
      <c r="E59" s="852"/>
      <c r="F59" s="840">
        <f>SUM(F60:G68)</f>
        <v>198997</v>
      </c>
      <c r="G59" s="841"/>
      <c r="H59" s="849" t="s">
        <v>450</v>
      </c>
      <c r="I59" s="850"/>
      <c r="J59" s="388"/>
      <c r="K59" s="357">
        <v>0</v>
      </c>
      <c r="L59" s="702">
        <f>D59/D78</f>
        <v>0.30740000000000001</v>
      </c>
      <c r="M59" s="704">
        <f>ROUND(D59/$F$59*10000,0)</f>
        <v>1567</v>
      </c>
      <c r="N59" s="522">
        <v>7</v>
      </c>
      <c r="O59" s="522" t="s">
        <v>858</v>
      </c>
      <c r="P59" s="522">
        <v>2109</v>
      </c>
      <c r="Q59" s="522">
        <v>0</v>
      </c>
      <c r="R59" s="522">
        <v>2109</v>
      </c>
    </row>
    <row r="60" spans="2:21" ht="15">
      <c r="B60" s="146"/>
      <c r="C60" s="549" t="str">
        <f>面积表!B54</f>
        <v>高层</v>
      </c>
      <c r="D60" s="851">
        <f>ROUND(F60*H60/10000,0)</f>
        <v>10141</v>
      </c>
      <c r="E60" s="852"/>
      <c r="F60" s="851">
        <f>面积表!C54</f>
        <v>72438</v>
      </c>
      <c r="G60" s="852"/>
      <c r="H60" s="895">
        <v>1400</v>
      </c>
      <c r="I60" s="896"/>
      <c r="J60" s="540" t="s">
        <v>885</v>
      </c>
      <c r="K60" s="357"/>
      <c r="L60" s="34"/>
      <c r="M60" s="704"/>
      <c r="N60" s="522">
        <v>8</v>
      </c>
      <c r="O60" s="522" t="s">
        <v>859</v>
      </c>
      <c r="P60" s="522">
        <v>3749</v>
      </c>
      <c r="Q60" s="522">
        <v>0</v>
      </c>
      <c r="R60" s="522">
        <v>3749</v>
      </c>
    </row>
    <row r="61" spans="2:21" ht="15">
      <c r="B61" s="146"/>
      <c r="C61" s="549" t="str">
        <f>面积表!B55</f>
        <v>小高层</v>
      </c>
      <c r="D61" s="851">
        <f t="shared" ref="D61:D68" si="16">ROUND(F61*H61/10000,0)</f>
        <v>4022</v>
      </c>
      <c r="E61" s="852"/>
      <c r="F61" s="851">
        <f>面积表!C55</f>
        <v>28725</v>
      </c>
      <c r="G61" s="852"/>
      <c r="H61" s="895">
        <v>1400</v>
      </c>
      <c r="I61" s="896"/>
      <c r="J61" s="540" t="s">
        <v>885</v>
      </c>
      <c r="K61" s="357"/>
      <c r="L61" s="34"/>
      <c r="M61" s="704"/>
      <c r="N61" s="522"/>
      <c r="O61" s="522"/>
      <c r="P61" s="522"/>
      <c r="Q61" s="522"/>
      <c r="R61" s="522"/>
    </row>
    <row r="62" spans="2:21" ht="15">
      <c r="B62" s="146"/>
      <c r="C62" s="549" t="str">
        <f>面积表!B56</f>
        <v>叠拼别墅</v>
      </c>
      <c r="D62" s="851">
        <f t="shared" si="16"/>
        <v>3485</v>
      </c>
      <c r="E62" s="852"/>
      <c r="F62" s="851">
        <f>面积表!C56</f>
        <v>21780</v>
      </c>
      <c r="G62" s="852"/>
      <c r="H62" s="895">
        <v>1600</v>
      </c>
      <c r="I62" s="896"/>
      <c r="J62" s="540"/>
      <c r="K62" s="357"/>
      <c r="L62" s="34"/>
      <c r="M62" s="704"/>
      <c r="N62" s="522"/>
      <c r="O62" s="522"/>
      <c r="P62" s="522"/>
      <c r="Q62" s="522"/>
      <c r="R62" s="522"/>
    </row>
    <row r="63" spans="2:21" ht="15">
      <c r="B63" s="146"/>
      <c r="C63" s="549" t="str">
        <f>面积表!B58</f>
        <v>商业</v>
      </c>
      <c r="D63" s="851">
        <f t="shared" si="16"/>
        <v>3269</v>
      </c>
      <c r="E63" s="852"/>
      <c r="F63" s="851">
        <f>面积表!C58</f>
        <v>18160</v>
      </c>
      <c r="G63" s="852"/>
      <c r="H63" s="895">
        <v>1800</v>
      </c>
      <c r="I63" s="896"/>
      <c r="J63" s="388"/>
      <c r="K63" s="357"/>
      <c r="L63" s="34"/>
      <c r="M63" s="704"/>
      <c r="N63" s="522">
        <v>9</v>
      </c>
      <c r="O63" s="522" t="s">
        <v>860</v>
      </c>
      <c r="P63" s="522">
        <v>1774</v>
      </c>
      <c r="Q63" s="522">
        <v>0</v>
      </c>
      <c r="R63" s="522">
        <v>1774</v>
      </c>
    </row>
    <row r="64" spans="2:21" ht="15">
      <c r="B64" s="146"/>
      <c r="C64" s="549" t="str">
        <f>面积表!B59</f>
        <v>LOFT</v>
      </c>
      <c r="D64" s="851">
        <f t="shared" si="16"/>
        <v>560</v>
      </c>
      <c r="E64" s="852"/>
      <c r="F64" s="851">
        <f>面积表!C59</f>
        <v>4000</v>
      </c>
      <c r="G64" s="852"/>
      <c r="H64" s="895">
        <v>1400</v>
      </c>
      <c r="I64" s="896"/>
      <c r="J64" s="388"/>
      <c r="K64" s="357"/>
      <c r="L64" s="34"/>
      <c r="M64" s="704"/>
      <c r="N64" s="522">
        <v>10</v>
      </c>
      <c r="O64" s="522" t="s">
        <v>861</v>
      </c>
      <c r="P64" s="522">
        <v>14364</v>
      </c>
      <c r="Q64" s="522">
        <v>0</v>
      </c>
      <c r="R64" s="522">
        <v>14364</v>
      </c>
      <c r="S64" s="156"/>
      <c r="T64" s="156"/>
      <c r="U64" s="156"/>
    </row>
    <row r="65" spans="2:21" ht="15">
      <c r="B65" s="146"/>
      <c r="C65" s="538" t="str">
        <f>面积表!A63</f>
        <v>地下非人防地库面积</v>
      </c>
      <c r="D65" s="851">
        <f t="shared" si="16"/>
        <v>7304</v>
      </c>
      <c r="E65" s="852"/>
      <c r="F65" s="851">
        <f>面积表!B63</f>
        <v>40577</v>
      </c>
      <c r="G65" s="852"/>
      <c r="H65" s="895">
        <v>1800</v>
      </c>
      <c r="I65" s="896"/>
      <c r="J65" s="388"/>
      <c r="K65" s="357"/>
      <c r="L65" s="34"/>
      <c r="M65" s="704"/>
      <c r="N65" s="522"/>
      <c r="O65" s="522"/>
      <c r="P65" s="522"/>
      <c r="Q65" s="522"/>
      <c r="R65" s="522"/>
      <c r="S65" s="156"/>
      <c r="T65" s="156"/>
      <c r="U65" s="156"/>
    </row>
    <row r="66" spans="2:21" ht="15">
      <c r="B66" s="146"/>
      <c r="C66" s="538" t="str">
        <f>面积表!A64</f>
        <v>地下人防地库面积</v>
      </c>
      <c r="D66" s="851">
        <f t="shared" si="16"/>
        <v>1330</v>
      </c>
      <c r="E66" s="852"/>
      <c r="F66" s="851">
        <f>面积表!B64</f>
        <v>7387</v>
      </c>
      <c r="G66" s="852"/>
      <c r="H66" s="895">
        <v>1800</v>
      </c>
      <c r="I66" s="896"/>
      <c r="J66" s="388"/>
      <c r="K66" s="357"/>
      <c r="L66" s="34"/>
      <c r="M66" s="704"/>
      <c r="N66" s="522"/>
      <c r="O66" s="522"/>
      <c r="P66" s="522"/>
      <c r="Q66" s="522"/>
      <c r="R66" s="522"/>
      <c r="S66" s="156"/>
      <c r="T66" s="156"/>
      <c r="U66" s="156"/>
    </row>
    <row r="67" spans="2:21" ht="15">
      <c r="B67" s="146"/>
      <c r="C67" s="538" t="str">
        <f>面积表!A65</f>
        <v>地下其他面积</v>
      </c>
      <c r="D67" s="851">
        <f t="shared" si="16"/>
        <v>594</v>
      </c>
      <c r="E67" s="852"/>
      <c r="F67" s="851">
        <f>面积表!B65</f>
        <v>3300</v>
      </c>
      <c r="G67" s="852"/>
      <c r="H67" s="895">
        <v>1800</v>
      </c>
      <c r="I67" s="896"/>
      <c r="J67" s="388"/>
      <c r="K67" s="357"/>
      <c r="L67" s="34"/>
      <c r="M67" s="704"/>
      <c r="N67" s="522"/>
      <c r="O67" s="522"/>
      <c r="P67" s="522"/>
      <c r="Q67" s="522"/>
      <c r="R67" s="522"/>
      <c r="S67" s="156"/>
      <c r="T67" s="156"/>
      <c r="U67" s="156"/>
    </row>
    <row r="68" spans="2:21" ht="15">
      <c r="B68" s="146"/>
      <c r="C68" s="538" t="str">
        <f>面积表!A61</f>
        <v>配套</v>
      </c>
      <c r="D68" s="851">
        <f t="shared" si="16"/>
        <v>473</v>
      </c>
      <c r="E68" s="852"/>
      <c r="F68" s="851">
        <f>面积表!C61</f>
        <v>2630</v>
      </c>
      <c r="G68" s="852"/>
      <c r="H68" s="895">
        <v>1800</v>
      </c>
      <c r="I68" s="896"/>
      <c r="J68" s="388"/>
      <c r="K68" s="357"/>
      <c r="L68" s="34"/>
      <c r="M68" s="704"/>
      <c r="N68" s="522"/>
      <c r="O68" s="522"/>
      <c r="P68" s="522"/>
      <c r="Q68" s="522"/>
      <c r="R68" s="522"/>
      <c r="S68" s="156"/>
      <c r="T68" s="156"/>
      <c r="U68" s="156"/>
    </row>
    <row r="69" spans="2:21" ht="15">
      <c r="B69" s="146"/>
      <c r="C69" s="680" t="s">
        <v>1042</v>
      </c>
      <c r="D69" s="893">
        <f>ROUND(F69*H69/10000,0)</f>
        <v>3980</v>
      </c>
      <c r="E69" s="894"/>
      <c r="F69" s="893">
        <f>F59</f>
        <v>198997</v>
      </c>
      <c r="G69" s="894"/>
      <c r="H69" s="871">
        <v>200</v>
      </c>
      <c r="I69" s="872"/>
      <c r="J69" s="388"/>
      <c r="K69" s="357"/>
      <c r="L69" s="34"/>
      <c r="M69" s="704">
        <f t="shared" ref="M69:M78" si="17">ROUND(D69/$F$59*10000,0)</f>
        <v>200</v>
      </c>
      <c r="N69" s="522"/>
      <c r="O69" s="522"/>
      <c r="P69" s="522"/>
      <c r="Q69" s="522"/>
      <c r="R69" s="522"/>
      <c r="S69" s="156"/>
      <c r="T69" s="156"/>
      <c r="U69" s="156"/>
    </row>
    <row r="70" spans="2:21" ht="15">
      <c r="B70" s="146"/>
      <c r="C70" s="679" t="s">
        <v>1043</v>
      </c>
      <c r="D70" s="902">
        <f>ROUND(F70*H70/10000,0)</f>
        <v>7960</v>
      </c>
      <c r="E70" s="903"/>
      <c r="F70" s="892">
        <f>F59</f>
        <v>198997</v>
      </c>
      <c r="G70" s="891"/>
      <c r="H70" s="890">
        <v>400</v>
      </c>
      <c r="I70" s="891"/>
      <c r="J70" s="388"/>
      <c r="K70" s="357"/>
      <c r="L70" s="34"/>
      <c r="M70" s="704">
        <f t="shared" si="17"/>
        <v>400</v>
      </c>
      <c r="N70" s="522">
        <v>11</v>
      </c>
      <c r="O70" s="522" t="s">
        <v>862</v>
      </c>
      <c r="P70" s="522">
        <v>1413</v>
      </c>
      <c r="Q70" s="522">
        <v>0</v>
      </c>
      <c r="R70" s="522">
        <v>1413</v>
      </c>
      <c r="S70" s="156"/>
      <c r="T70" s="156"/>
      <c r="U70" s="156"/>
    </row>
    <row r="71" spans="2:21" ht="15">
      <c r="B71" s="146"/>
      <c r="C71" s="219"/>
      <c r="D71" s="851"/>
      <c r="E71" s="852"/>
      <c r="F71" s="885"/>
      <c r="G71" s="850"/>
      <c r="H71" s="881"/>
      <c r="I71" s="882"/>
      <c r="J71" s="388"/>
      <c r="K71" s="357"/>
      <c r="L71" s="34"/>
      <c r="M71" s="704"/>
      <c r="N71" s="522"/>
      <c r="O71" s="522" t="s">
        <v>841</v>
      </c>
      <c r="P71" s="522">
        <v>180469</v>
      </c>
      <c r="Q71" s="522">
        <v>92203</v>
      </c>
      <c r="R71" s="522">
        <v>88266</v>
      </c>
      <c r="S71" s="156"/>
      <c r="T71" s="156"/>
      <c r="U71" s="156"/>
    </row>
    <row r="72" spans="2:21">
      <c r="B72" s="146"/>
      <c r="C72" s="701" t="s">
        <v>1052</v>
      </c>
      <c r="D72" s="863">
        <f>ROUND(D58*F72,0)</f>
        <v>3018</v>
      </c>
      <c r="E72" s="865"/>
      <c r="F72" s="875">
        <v>7.0000000000000007E-2</v>
      </c>
      <c r="G72" s="876"/>
      <c r="H72" s="773"/>
      <c r="I72" s="774"/>
      <c r="J72" s="387"/>
      <c r="K72" s="218"/>
      <c r="L72" s="702">
        <f t="shared" ref="L72:L77" si="18">D72/$D$78</f>
        <v>2.98E-2</v>
      </c>
      <c r="M72" s="704">
        <f t="shared" si="17"/>
        <v>152</v>
      </c>
      <c r="N72" s="36"/>
      <c r="O72" s="156"/>
      <c r="P72" s="390"/>
      <c r="Q72" s="390"/>
      <c r="R72" s="156"/>
      <c r="S72" s="156"/>
      <c r="T72" s="156"/>
      <c r="U72" s="156"/>
    </row>
    <row r="73" spans="2:21">
      <c r="B73" s="146"/>
      <c r="C73" s="217" t="s">
        <v>869</v>
      </c>
      <c r="D73" s="863">
        <f>ROUND(底表1!T5*主表2!F73,0)</f>
        <v>2398</v>
      </c>
      <c r="E73" s="865"/>
      <c r="F73" s="873">
        <v>0.02</v>
      </c>
      <c r="G73" s="874"/>
      <c r="H73" s="773"/>
      <c r="I73" s="774"/>
      <c r="J73" s="387"/>
      <c r="K73" s="218"/>
      <c r="L73" s="702">
        <f t="shared" si="18"/>
        <v>2.3599999999999999E-2</v>
      </c>
      <c r="M73" s="704">
        <f t="shared" si="17"/>
        <v>121</v>
      </c>
      <c r="N73" s="36"/>
      <c r="O73" s="156"/>
      <c r="P73" s="390">
        <f>P48+P53+P54+P56+P57+P58+P59+P60+P63+P64+P70</f>
        <v>180470</v>
      </c>
      <c r="Q73" s="390">
        <f>Q48+Q53+Q54+Q56+Q57+Q58+Q59+Q60+Q63+Q64+Q70</f>
        <v>92203</v>
      </c>
      <c r="R73" s="390">
        <f>R48+R53+R54+R56+R57+R58+R59+R60+R63+R64+R70</f>
        <v>88267</v>
      </c>
      <c r="S73" s="156"/>
      <c r="T73" s="156"/>
      <c r="U73" s="156"/>
    </row>
    <row r="74" spans="2:21">
      <c r="B74" s="146"/>
      <c r="C74" s="217" t="s">
        <v>870</v>
      </c>
      <c r="D74" s="863">
        <f>(D46+D53+D58+D72)*F74</f>
        <v>2691</v>
      </c>
      <c r="E74" s="865"/>
      <c r="F74" s="886">
        <v>0.03</v>
      </c>
      <c r="G74" s="887"/>
      <c r="H74" s="773"/>
      <c r="I74" s="774"/>
      <c r="J74" s="387"/>
      <c r="K74" s="218"/>
      <c r="L74" s="702">
        <f t="shared" si="18"/>
        <v>2.6499999999999999E-2</v>
      </c>
      <c r="M74" s="704">
        <f t="shared" si="17"/>
        <v>135</v>
      </c>
      <c r="N74" s="36"/>
      <c r="O74" s="156"/>
      <c r="P74" s="390"/>
      <c r="Q74" s="390"/>
      <c r="R74" s="156"/>
      <c r="S74" s="156"/>
      <c r="T74" s="156"/>
      <c r="U74" s="156"/>
    </row>
    <row r="75" spans="2:21">
      <c r="B75" s="146"/>
      <c r="C75" s="217" t="s">
        <v>871</v>
      </c>
      <c r="D75" s="861">
        <f>面积表!M3</f>
        <v>2162</v>
      </c>
      <c r="E75" s="862"/>
      <c r="F75" s="866">
        <f>基础数据!C9</f>
        <v>0.115</v>
      </c>
      <c r="G75" s="867"/>
      <c r="H75" s="773"/>
      <c r="I75" s="774"/>
      <c r="J75" s="539"/>
      <c r="K75" s="499"/>
      <c r="L75" s="702">
        <f t="shared" si="18"/>
        <v>2.1299999999999999E-2</v>
      </c>
      <c r="M75" s="704">
        <f t="shared" si="17"/>
        <v>109</v>
      </c>
      <c r="N75" s="36"/>
      <c r="O75" s="156"/>
      <c r="P75" s="390"/>
      <c r="Q75" s="390"/>
      <c r="R75" s="156"/>
      <c r="S75" s="156"/>
      <c r="T75" s="156"/>
      <c r="U75" s="156"/>
    </row>
    <row r="76" spans="2:21">
      <c r="B76" s="146"/>
      <c r="C76" s="646" t="s">
        <v>872</v>
      </c>
      <c r="D76" s="863">
        <f>(D46+D53+D58+D72)*F76</f>
        <v>4485</v>
      </c>
      <c r="E76" s="865"/>
      <c r="F76" s="886">
        <v>0.05</v>
      </c>
      <c r="G76" s="887"/>
      <c r="H76" s="773"/>
      <c r="I76" s="774"/>
      <c r="J76" s="387"/>
      <c r="K76" s="218"/>
      <c r="L76" s="702">
        <f t="shared" si="18"/>
        <v>4.4200000000000003E-2</v>
      </c>
      <c r="M76" s="704">
        <f t="shared" si="17"/>
        <v>225</v>
      </c>
      <c r="N76" s="36"/>
      <c r="O76" s="156"/>
      <c r="P76" s="390"/>
      <c r="Q76" s="390"/>
      <c r="R76" s="156"/>
      <c r="S76" s="156"/>
      <c r="T76" s="156"/>
      <c r="U76" s="156"/>
    </row>
    <row r="77" spans="2:21" ht="15">
      <c r="B77" s="146"/>
      <c r="C77" s="217" t="s">
        <v>873</v>
      </c>
      <c r="D77" s="863">
        <f>D58*F77</f>
        <v>0</v>
      </c>
      <c r="E77" s="865"/>
      <c r="F77" s="875">
        <v>0</v>
      </c>
      <c r="G77" s="876"/>
      <c r="H77" s="773"/>
      <c r="I77" s="774"/>
      <c r="J77" s="387"/>
      <c r="K77" s="218"/>
      <c r="L77" s="702">
        <f t="shared" si="18"/>
        <v>0</v>
      </c>
      <c r="M77" s="704">
        <f t="shared" si="17"/>
        <v>0</v>
      </c>
      <c r="N77" s="36"/>
      <c r="O77" s="524" t="s">
        <v>865</v>
      </c>
      <c r="P77" s="525" t="s">
        <v>450</v>
      </c>
      <c r="Q77" s="525" t="s">
        <v>866</v>
      </c>
      <c r="R77" s="524" t="s">
        <v>526</v>
      </c>
      <c r="S77" s="156"/>
      <c r="T77" s="156"/>
      <c r="U77" s="156"/>
    </row>
    <row r="78" spans="2:21">
      <c r="B78" s="146"/>
      <c r="C78" s="471" t="s">
        <v>297</v>
      </c>
      <c r="D78" s="863">
        <f>D46+D53+D58+D72+D73+D74+D75+D76+D77</f>
        <v>101438</v>
      </c>
      <c r="E78" s="865"/>
      <c r="F78" s="875"/>
      <c r="G78" s="876"/>
      <c r="H78" s="773"/>
      <c r="I78" s="774"/>
      <c r="J78" s="387"/>
      <c r="K78" s="218"/>
      <c r="L78" s="702">
        <f>L46+L53+L58+L72+L73+L74+L75+L76+L77</f>
        <v>1</v>
      </c>
      <c r="M78" s="704">
        <f t="shared" si="17"/>
        <v>5097</v>
      </c>
      <c r="N78" s="36"/>
      <c r="O78" s="350" t="e">
        <f>#REF!</f>
        <v>#REF!</v>
      </c>
      <c r="P78" s="390">
        <v>6523</v>
      </c>
      <c r="Q78" s="390" t="e">
        <f>#REF!</f>
        <v>#REF!</v>
      </c>
      <c r="R78" s="156" t="e">
        <f>ROUND(P78*Q78/10000,0)</f>
        <v>#REF!</v>
      </c>
      <c r="S78" s="156"/>
      <c r="T78" s="156"/>
      <c r="U78" s="156"/>
    </row>
    <row r="79" spans="2:21">
      <c r="B79" s="396"/>
      <c r="C79" s="350"/>
      <c r="D79" s="350"/>
      <c r="E79" s="350"/>
      <c r="F79" s="350"/>
      <c r="G79" s="350"/>
      <c r="H79" s="505"/>
      <c r="I79" s="350"/>
      <c r="J79" s="350"/>
      <c r="K79" s="350"/>
      <c r="L79" s="34"/>
      <c r="M79" s="147"/>
      <c r="N79" s="349"/>
      <c r="O79" s="350" t="e">
        <f>#REF!</f>
        <v>#REF!</v>
      </c>
      <c r="P79" s="398">
        <f>P78+240</f>
        <v>6763</v>
      </c>
      <c r="Q79" s="346" t="e">
        <f>#REF!</f>
        <v>#REF!</v>
      </c>
      <c r="R79" s="156" t="e">
        <f t="shared" ref="R79:R86" si="19">ROUND(P79*Q79/10000,0)</f>
        <v>#REF!</v>
      </c>
      <c r="S79" s="346"/>
      <c r="T79" s="346"/>
      <c r="U79" s="156"/>
    </row>
    <row r="80" spans="2:21">
      <c r="B80" s="354"/>
      <c r="C80" s="354"/>
      <c r="D80" s="354"/>
      <c r="E80" s="354"/>
      <c r="F80" s="354"/>
      <c r="G80" s="354"/>
      <c r="H80" s="354"/>
      <c r="I80" s="354"/>
      <c r="J80" s="354"/>
      <c r="K80" s="354"/>
      <c r="L80" s="523" t="s">
        <v>864</v>
      </c>
      <c r="M80" s="147"/>
      <c r="N80" s="36"/>
      <c r="O80" s="350" t="e">
        <f>#REF!</f>
        <v>#REF!</v>
      </c>
      <c r="P80" s="526">
        <f>P79</f>
        <v>6763</v>
      </c>
      <c r="Q80" s="390" t="e">
        <f>#REF!</f>
        <v>#REF!</v>
      </c>
      <c r="R80" s="156" t="e">
        <f t="shared" si="19"/>
        <v>#REF!</v>
      </c>
      <c r="S80" s="156"/>
      <c r="T80" s="156"/>
      <c r="U80" s="156"/>
    </row>
    <row r="81" spans="2:61">
      <c r="B81" s="354"/>
      <c r="C81" s="354"/>
      <c r="D81" s="354"/>
      <c r="E81" s="354"/>
      <c r="F81" s="354"/>
      <c r="G81" s="354"/>
      <c r="H81" s="354"/>
      <c r="I81" s="354"/>
      <c r="J81" s="354"/>
      <c r="K81" s="354"/>
      <c r="L81" s="34"/>
      <c r="M81" s="147"/>
      <c r="N81" s="36"/>
      <c r="O81" s="350" t="e">
        <f>#REF!</f>
        <v>#REF!</v>
      </c>
      <c r="P81" s="390"/>
      <c r="Q81" s="390"/>
      <c r="R81" s="156">
        <f t="shared" si="19"/>
        <v>0</v>
      </c>
      <c r="S81" s="156"/>
      <c r="T81" s="156"/>
      <c r="U81" s="156"/>
    </row>
    <row r="82" spans="2:61" ht="15">
      <c r="B82" s="354"/>
      <c r="C82" s="5"/>
      <c r="D82"/>
      <c r="E82"/>
      <c r="F82"/>
      <c r="G82"/>
      <c r="H82"/>
      <c r="I82" s="354"/>
      <c r="J82" s="354"/>
      <c r="K82" s="354"/>
      <c r="L82" s="34"/>
      <c r="M82" s="147"/>
      <c r="N82" s="36"/>
      <c r="O82" s="350" t="e">
        <f>#REF!</f>
        <v>#REF!</v>
      </c>
      <c r="P82" s="390"/>
      <c r="Q82" s="390"/>
      <c r="R82" s="156">
        <f t="shared" si="19"/>
        <v>0</v>
      </c>
      <c r="S82" s="156"/>
      <c r="T82" s="156"/>
      <c r="U82" s="156"/>
    </row>
    <row r="83" spans="2:61" ht="15">
      <c r="B83" s="354"/>
      <c r="C83" s="5"/>
      <c r="D83" s="5"/>
      <c r="E83"/>
      <c r="F83"/>
      <c r="G83"/>
      <c r="H83"/>
      <c r="I83" s="354"/>
      <c r="J83" s="354"/>
      <c r="K83" s="354"/>
      <c r="L83" s="34"/>
      <c r="M83" s="147"/>
      <c r="N83" s="36"/>
      <c r="O83" s="350" t="e">
        <f>#REF!</f>
        <v>#REF!</v>
      </c>
      <c r="P83" s="390"/>
      <c r="Q83" s="390"/>
      <c r="R83" s="156">
        <f t="shared" si="19"/>
        <v>0</v>
      </c>
      <c r="S83" s="156"/>
      <c r="T83" s="156"/>
      <c r="U83" s="156"/>
    </row>
    <row r="84" spans="2:61" s="348" customFormat="1" ht="15">
      <c r="B84" s="354"/>
      <c r="C84" s="5"/>
      <c r="D84"/>
      <c r="E84"/>
      <c r="F84"/>
      <c r="G84"/>
      <c r="H84"/>
      <c r="I84" s="354"/>
      <c r="J84" s="354"/>
      <c r="K84" s="354"/>
      <c r="L84" s="350"/>
      <c r="M84" s="350"/>
      <c r="N84" s="350"/>
      <c r="O84" s="350" t="e">
        <f>#REF!</f>
        <v>#REF!</v>
      </c>
      <c r="P84" s="350"/>
      <c r="Q84" s="350"/>
      <c r="R84" s="156">
        <f t="shared" si="19"/>
        <v>0</v>
      </c>
      <c r="S84" s="350"/>
      <c r="T84" s="354"/>
      <c r="U84" s="354"/>
      <c r="V84" s="354"/>
      <c r="W84" s="354"/>
      <c r="X84" s="354"/>
      <c r="Y84" s="354"/>
      <c r="Z84" s="354"/>
      <c r="AA84" s="354"/>
      <c r="AB84" s="354"/>
      <c r="AC84" s="354"/>
      <c r="AD84" s="354"/>
      <c r="AE84" s="354"/>
      <c r="AF84" s="354"/>
      <c r="AG84" s="354"/>
      <c r="AH84" s="354"/>
      <c r="AI84" s="354"/>
      <c r="AJ84" s="354"/>
      <c r="AK84" s="354"/>
      <c r="AL84" s="354"/>
      <c r="AM84" s="354"/>
      <c r="AN84" s="354"/>
      <c r="AO84" s="354"/>
      <c r="AP84" s="354"/>
      <c r="AQ84" s="354"/>
      <c r="AR84" s="354"/>
      <c r="AS84" s="354"/>
      <c r="AT84" s="354"/>
      <c r="AU84" s="354"/>
      <c r="AV84" s="354"/>
      <c r="AW84" s="354"/>
      <c r="AX84" s="354"/>
      <c r="AY84" s="354"/>
      <c r="AZ84" s="354"/>
      <c r="BA84" s="354"/>
      <c r="BB84" s="354"/>
      <c r="BC84" s="354"/>
      <c r="BD84" s="354"/>
      <c r="BE84" s="354"/>
      <c r="BF84" s="354"/>
      <c r="BG84" s="354"/>
      <c r="BH84" s="354"/>
      <c r="BI84" s="354"/>
    </row>
    <row r="85" spans="2:61" s="348" customFormat="1" ht="15">
      <c r="B85" s="354"/>
      <c r="C85" s="5"/>
      <c r="D85"/>
      <c r="E85"/>
      <c r="F85"/>
      <c r="G85"/>
      <c r="H85"/>
      <c r="I85" s="354"/>
      <c r="J85" s="354"/>
      <c r="K85" s="354"/>
      <c r="L85" s="354"/>
      <c r="M85" s="356"/>
      <c r="N85" s="354"/>
      <c r="O85" s="350" t="e">
        <f>#REF!</f>
        <v>#REF!</v>
      </c>
      <c r="P85" s="354"/>
      <c r="Q85" s="354"/>
      <c r="R85" s="156">
        <f t="shared" si="19"/>
        <v>0</v>
      </c>
      <c r="S85" s="354"/>
      <c r="T85" s="354"/>
      <c r="U85" s="354"/>
      <c r="V85" s="354"/>
      <c r="W85" s="354"/>
      <c r="X85" s="354"/>
      <c r="Y85" s="354"/>
      <c r="Z85" s="354"/>
      <c r="AA85" s="354"/>
      <c r="AB85" s="354"/>
      <c r="AC85" s="354"/>
      <c r="AD85" s="354"/>
      <c r="AE85" s="354"/>
      <c r="AF85" s="354"/>
      <c r="AG85" s="354"/>
      <c r="AH85" s="354"/>
      <c r="AI85" s="354"/>
      <c r="AJ85" s="354"/>
      <c r="AK85" s="354"/>
      <c r="AL85" s="354"/>
      <c r="AM85" s="354"/>
      <c r="AN85" s="354"/>
      <c r="AO85" s="354"/>
      <c r="AP85" s="354"/>
      <c r="AQ85" s="354"/>
      <c r="AR85" s="354"/>
      <c r="AS85" s="354"/>
      <c r="AT85" s="354"/>
      <c r="AU85" s="354"/>
      <c r="AV85" s="354"/>
      <c r="AW85" s="354"/>
      <c r="AX85" s="354"/>
      <c r="AY85" s="354"/>
      <c r="AZ85" s="354"/>
      <c r="BA85" s="354"/>
      <c r="BB85" s="354"/>
      <c r="BC85" s="354"/>
      <c r="BD85" s="354"/>
      <c r="BE85" s="354"/>
      <c r="BF85" s="354"/>
      <c r="BG85" s="354"/>
      <c r="BH85" s="354"/>
      <c r="BI85" s="354"/>
    </row>
    <row r="86" spans="2:61" s="348" customFormat="1" ht="15">
      <c r="B86" s="354"/>
      <c r="C86" s="5"/>
      <c r="D86"/>
      <c r="E86"/>
      <c r="F86"/>
      <c r="G86"/>
      <c r="H86"/>
      <c r="I86" s="354"/>
      <c r="J86" s="354"/>
      <c r="K86" s="354"/>
      <c r="L86" s="354"/>
      <c r="M86" s="356"/>
      <c r="N86" s="354"/>
      <c r="O86" s="350" t="e">
        <f>#REF!</f>
        <v>#REF!</v>
      </c>
      <c r="P86" s="354"/>
      <c r="Q86" s="354"/>
      <c r="R86" s="156">
        <f t="shared" si="19"/>
        <v>0</v>
      </c>
      <c r="S86" s="354"/>
      <c r="T86" s="354"/>
      <c r="U86" s="354"/>
      <c r="V86" s="354"/>
      <c r="W86" s="354"/>
      <c r="X86" s="354"/>
      <c r="Y86" s="354"/>
      <c r="Z86" s="354"/>
      <c r="AA86" s="354"/>
      <c r="AB86" s="354"/>
      <c r="AC86" s="354"/>
      <c r="AD86" s="354"/>
      <c r="AE86" s="354"/>
      <c r="AF86" s="354"/>
      <c r="AG86" s="354"/>
      <c r="AH86" s="354"/>
      <c r="AI86" s="354"/>
      <c r="AJ86" s="354"/>
      <c r="AK86" s="354"/>
      <c r="AL86" s="354"/>
      <c r="AM86" s="354"/>
      <c r="AN86" s="354"/>
      <c r="AO86" s="354"/>
      <c r="AP86" s="354"/>
      <c r="AQ86" s="354"/>
      <c r="AR86" s="354"/>
      <c r="AS86" s="354"/>
      <c r="AT86" s="354"/>
      <c r="AU86" s="354"/>
      <c r="AV86" s="354"/>
      <c r="AW86" s="354"/>
      <c r="AX86" s="354"/>
      <c r="AY86" s="354"/>
      <c r="AZ86" s="354"/>
      <c r="BA86" s="354"/>
      <c r="BB86" s="354"/>
      <c r="BC86" s="354"/>
      <c r="BD86" s="354"/>
      <c r="BE86" s="354"/>
      <c r="BF86" s="354"/>
      <c r="BG86" s="354"/>
      <c r="BH86" s="354"/>
      <c r="BI86" s="354"/>
    </row>
    <row r="87" spans="2:61" s="348" customFormat="1" ht="15">
      <c r="B87" s="354"/>
      <c r="C87" s="5"/>
      <c r="D87"/>
      <c r="E87"/>
      <c r="F87"/>
      <c r="G87" s="517"/>
      <c r="H87"/>
      <c r="I87" s="354"/>
      <c r="J87" s="354"/>
      <c r="K87" s="354"/>
      <c r="L87" s="354"/>
      <c r="M87" s="356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  <c r="AA87" s="354"/>
      <c r="AB87" s="354"/>
      <c r="AC87" s="354"/>
      <c r="AD87" s="354"/>
      <c r="AE87" s="354"/>
      <c r="AF87" s="354"/>
      <c r="AG87" s="354"/>
      <c r="AH87" s="354"/>
      <c r="AI87" s="354"/>
      <c r="AJ87" s="354"/>
      <c r="AK87" s="354"/>
      <c r="AL87" s="354"/>
      <c r="AM87" s="354"/>
      <c r="AN87" s="354"/>
      <c r="AO87" s="354"/>
      <c r="AP87" s="354"/>
      <c r="AQ87" s="354"/>
      <c r="AR87" s="354"/>
      <c r="AS87" s="354"/>
      <c r="AT87" s="354"/>
      <c r="AU87" s="354"/>
      <c r="AV87" s="354"/>
      <c r="AW87" s="354"/>
      <c r="AX87" s="354"/>
      <c r="AY87" s="354"/>
      <c r="AZ87" s="354"/>
      <c r="BA87" s="354"/>
      <c r="BB87" s="354"/>
      <c r="BC87" s="354"/>
      <c r="BD87" s="354"/>
      <c r="BE87" s="354"/>
      <c r="BF87" s="354"/>
      <c r="BG87" s="354"/>
      <c r="BH87" s="354"/>
      <c r="BI87" s="354"/>
    </row>
    <row r="88" spans="2:61" s="348" customFormat="1">
      <c r="B88" s="354"/>
      <c r="C88" s="354"/>
      <c r="D88" s="354"/>
      <c r="E88" s="354"/>
      <c r="F88" s="354"/>
      <c r="G88" s="354"/>
      <c r="H88" s="354"/>
      <c r="I88" s="354"/>
      <c r="J88" s="354"/>
      <c r="K88" s="354"/>
      <c r="L88" s="354"/>
      <c r="M88" s="356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  <c r="AA88" s="354"/>
      <c r="AB88" s="354"/>
      <c r="AC88" s="354"/>
      <c r="AD88" s="354"/>
      <c r="AE88" s="354"/>
      <c r="AF88" s="354"/>
      <c r="AG88" s="354"/>
      <c r="AH88" s="354"/>
      <c r="AI88" s="354"/>
      <c r="AJ88" s="354"/>
      <c r="AK88" s="354"/>
      <c r="AL88" s="354"/>
      <c r="AM88" s="354"/>
      <c r="AN88" s="354"/>
      <c r="AO88" s="354"/>
      <c r="AP88" s="354"/>
      <c r="AQ88" s="354"/>
      <c r="AR88" s="354"/>
      <c r="AS88" s="354"/>
      <c r="AT88" s="354"/>
      <c r="AU88" s="354"/>
      <c r="AV88" s="354"/>
      <c r="AW88" s="354"/>
      <c r="AX88" s="354"/>
      <c r="AY88" s="354"/>
      <c r="AZ88" s="354"/>
      <c r="BA88" s="354"/>
      <c r="BB88" s="354"/>
      <c r="BC88" s="354"/>
      <c r="BD88" s="354"/>
      <c r="BE88" s="354"/>
      <c r="BF88" s="354"/>
      <c r="BG88" s="354"/>
      <c r="BH88" s="354"/>
      <c r="BI88" s="354"/>
    </row>
    <row r="89" spans="2:61" s="348" customFormat="1">
      <c r="B89" s="354"/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6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  <c r="AA89" s="354"/>
      <c r="AB89" s="354"/>
      <c r="AC89" s="354"/>
      <c r="AD89" s="354"/>
      <c r="AE89" s="354"/>
      <c r="AF89" s="354"/>
      <c r="AG89" s="354"/>
      <c r="AH89" s="354"/>
      <c r="AI89" s="354"/>
      <c r="AJ89" s="354"/>
      <c r="AK89" s="354"/>
      <c r="AL89" s="354"/>
      <c r="AM89" s="354"/>
      <c r="AN89" s="354"/>
      <c r="AO89" s="354"/>
      <c r="AP89" s="354"/>
      <c r="AQ89" s="354"/>
      <c r="AR89" s="354"/>
      <c r="AS89" s="354"/>
      <c r="AT89" s="354"/>
      <c r="AU89" s="354"/>
      <c r="AV89" s="354"/>
      <c r="AW89" s="354"/>
      <c r="AX89" s="354"/>
      <c r="AY89" s="354"/>
      <c r="AZ89" s="354"/>
      <c r="BA89" s="354"/>
      <c r="BB89" s="354"/>
      <c r="BC89" s="354"/>
      <c r="BD89" s="354"/>
      <c r="BE89" s="354"/>
      <c r="BF89" s="354"/>
      <c r="BG89" s="354"/>
      <c r="BH89" s="354"/>
      <c r="BI89" s="354"/>
    </row>
    <row r="90" spans="2:61" s="348" customFormat="1">
      <c r="B90" s="354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6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  <c r="AH90" s="354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4"/>
      <c r="AX90" s="354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</row>
    <row r="91" spans="2:61" s="348" customFormat="1">
      <c r="B91" s="354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6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4"/>
      <c r="AH91" s="354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4"/>
      <c r="AX91" s="354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</row>
    <row r="92" spans="2:61" s="348" customFormat="1">
      <c r="B92" s="354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6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  <c r="AH92" s="354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4"/>
      <c r="AX92" s="354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</row>
    <row r="93" spans="2:61" s="348" customFormat="1">
      <c r="B93" s="354"/>
      <c r="C93" s="354"/>
      <c r="D93" s="354"/>
      <c r="E93" s="354"/>
      <c r="F93" s="354"/>
      <c r="G93" s="354"/>
      <c r="H93" s="354"/>
      <c r="I93" s="354"/>
      <c r="J93" s="354"/>
      <c r="K93" s="354"/>
      <c r="L93" s="354"/>
      <c r="M93" s="356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4"/>
      <c r="Z93" s="354"/>
      <c r="AA93" s="354"/>
      <c r="AB93" s="354"/>
      <c r="AC93" s="354"/>
      <c r="AD93" s="354"/>
      <c r="AE93" s="354"/>
      <c r="AF93" s="354"/>
      <c r="AG93" s="354"/>
      <c r="AH93" s="354"/>
      <c r="AI93" s="354"/>
      <c r="AJ93" s="354"/>
      <c r="AK93" s="354"/>
      <c r="AL93" s="354"/>
      <c r="AM93" s="354"/>
      <c r="AN93" s="354"/>
      <c r="AO93" s="354"/>
      <c r="AP93" s="354"/>
      <c r="AQ93" s="354"/>
      <c r="AR93" s="354"/>
      <c r="AS93" s="354"/>
      <c r="AT93" s="354"/>
      <c r="AU93" s="354"/>
      <c r="AV93" s="354"/>
      <c r="AW93" s="354"/>
      <c r="AX93" s="354"/>
      <c r="AY93" s="354"/>
      <c r="AZ93" s="354"/>
      <c r="BA93" s="354"/>
      <c r="BB93" s="354"/>
      <c r="BC93" s="354"/>
      <c r="BD93" s="354"/>
      <c r="BE93" s="354"/>
      <c r="BF93" s="354"/>
      <c r="BG93" s="354"/>
      <c r="BH93" s="354"/>
      <c r="BI93" s="354"/>
    </row>
    <row r="94" spans="2:61" s="348" customFormat="1">
      <c r="B94" s="354"/>
      <c r="C94" s="354"/>
      <c r="D94" s="354"/>
      <c r="E94" s="354"/>
      <c r="F94" s="354"/>
      <c r="G94" s="354"/>
      <c r="H94" s="354"/>
      <c r="I94" s="354"/>
      <c r="J94" s="354"/>
      <c r="K94" s="354"/>
      <c r="L94" s="354"/>
      <c r="M94" s="356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4"/>
      <c r="Y94" s="354"/>
      <c r="Z94" s="354"/>
      <c r="AA94" s="354"/>
      <c r="AB94" s="354"/>
      <c r="AC94" s="354"/>
      <c r="AD94" s="354"/>
      <c r="AE94" s="354"/>
      <c r="AF94" s="354"/>
      <c r="AG94" s="354"/>
      <c r="AH94" s="354"/>
      <c r="AI94" s="354"/>
      <c r="AJ94" s="354"/>
      <c r="AK94" s="354"/>
      <c r="AL94" s="354"/>
      <c r="AM94" s="354"/>
      <c r="AN94" s="354"/>
      <c r="AO94" s="354"/>
      <c r="AP94" s="354"/>
      <c r="AQ94" s="354"/>
      <c r="AR94" s="354"/>
      <c r="AS94" s="354"/>
      <c r="AT94" s="354"/>
      <c r="AU94" s="354"/>
      <c r="AV94" s="354"/>
      <c r="AW94" s="354"/>
      <c r="AX94" s="354"/>
      <c r="AY94" s="354"/>
      <c r="AZ94" s="354"/>
      <c r="BA94" s="354"/>
      <c r="BB94" s="354"/>
      <c r="BC94" s="354"/>
      <c r="BD94" s="354"/>
      <c r="BE94" s="354"/>
      <c r="BF94" s="354"/>
      <c r="BG94" s="354"/>
      <c r="BH94" s="354"/>
      <c r="BI94" s="354"/>
    </row>
    <row r="95" spans="2:61" s="348" customFormat="1">
      <c r="B95" s="354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6"/>
      <c r="N95" s="354"/>
      <c r="O95" s="354"/>
      <c r="P95" s="354"/>
      <c r="Q95" s="354"/>
      <c r="R95" s="354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4"/>
      <c r="AH95" s="354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4"/>
      <c r="AX95" s="354"/>
      <c r="AY95" s="354"/>
      <c r="AZ95" s="354"/>
      <c r="BA95" s="354"/>
      <c r="BB95" s="354"/>
      <c r="BC95" s="354"/>
      <c r="BD95" s="354"/>
      <c r="BE95" s="354"/>
      <c r="BF95" s="354"/>
      <c r="BG95" s="354"/>
      <c r="BH95" s="354"/>
      <c r="BI95" s="354"/>
    </row>
    <row r="96" spans="2:61" s="348" customFormat="1">
      <c r="B96" s="354"/>
      <c r="C96" s="354"/>
      <c r="D96" s="354"/>
      <c r="E96" s="354"/>
      <c r="F96" s="354"/>
      <c r="G96" s="354"/>
      <c r="H96" s="354"/>
      <c r="I96" s="354"/>
      <c r="J96" s="354"/>
      <c r="K96" s="354"/>
      <c r="L96" s="354"/>
      <c r="M96" s="356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  <c r="AA96" s="354"/>
      <c r="AB96" s="354"/>
      <c r="AC96" s="354"/>
      <c r="AD96" s="354"/>
      <c r="AE96" s="354"/>
      <c r="AF96" s="354"/>
      <c r="AG96" s="354"/>
      <c r="AH96" s="354"/>
      <c r="AI96" s="354"/>
      <c r="AJ96" s="354"/>
      <c r="AK96" s="354"/>
      <c r="AL96" s="354"/>
      <c r="AM96" s="354"/>
      <c r="AN96" s="354"/>
      <c r="AO96" s="354"/>
      <c r="AP96" s="354"/>
      <c r="AQ96" s="354"/>
      <c r="AR96" s="354"/>
      <c r="AS96" s="354"/>
      <c r="AT96" s="354"/>
      <c r="AU96" s="354"/>
      <c r="AV96" s="354"/>
      <c r="AW96" s="354"/>
      <c r="AX96" s="354"/>
      <c r="AY96" s="354"/>
      <c r="AZ96" s="354"/>
      <c r="BA96" s="354"/>
      <c r="BB96" s="354"/>
      <c r="BC96" s="354"/>
      <c r="BD96" s="354"/>
      <c r="BE96" s="354"/>
      <c r="BF96" s="354"/>
      <c r="BG96" s="354"/>
      <c r="BH96" s="354"/>
      <c r="BI96" s="354"/>
    </row>
    <row r="97" spans="2:61" s="348" customFormat="1">
      <c r="B97" s="354"/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6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354"/>
      <c r="AO97" s="354"/>
      <c r="AP97" s="354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54"/>
      <c r="BC97" s="354"/>
      <c r="BD97" s="354"/>
      <c r="BE97" s="354"/>
      <c r="BF97" s="354"/>
      <c r="BG97" s="354"/>
      <c r="BH97" s="354"/>
      <c r="BI97" s="354"/>
    </row>
    <row r="98" spans="2:61" s="348" customFormat="1">
      <c r="B98" s="354"/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6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4"/>
      <c r="AI98" s="354"/>
      <c r="AJ98" s="354"/>
      <c r="AK98" s="354"/>
      <c r="AL98" s="354"/>
      <c r="AM98" s="354"/>
      <c r="AN98" s="354"/>
      <c r="AO98" s="354"/>
      <c r="AP98" s="354"/>
      <c r="AQ98" s="354"/>
      <c r="AR98" s="354"/>
      <c r="AS98" s="354"/>
      <c r="AT98" s="354"/>
      <c r="AU98" s="354"/>
      <c r="AV98" s="354"/>
      <c r="AW98" s="354"/>
      <c r="AX98" s="354"/>
      <c r="AY98" s="354"/>
      <c r="AZ98" s="354"/>
      <c r="BA98" s="354"/>
      <c r="BB98" s="354"/>
      <c r="BC98" s="354"/>
      <c r="BD98" s="354"/>
      <c r="BE98" s="354"/>
      <c r="BF98" s="354"/>
      <c r="BG98" s="354"/>
      <c r="BH98" s="354"/>
      <c r="BI98" s="354"/>
    </row>
    <row r="99" spans="2:61" s="348" customFormat="1">
      <c r="B99" s="354"/>
      <c r="C99" s="354"/>
      <c r="D99" s="354"/>
      <c r="E99" s="354"/>
      <c r="F99" s="354"/>
      <c r="G99" s="354"/>
      <c r="H99" s="354"/>
      <c r="I99" s="354"/>
      <c r="J99" s="354"/>
      <c r="K99" s="354"/>
      <c r="L99" s="354"/>
      <c r="M99" s="356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354"/>
      <c r="Z99" s="354"/>
      <c r="AA99" s="354"/>
      <c r="AB99" s="354"/>
      <c r="AC99" s="354"/>
      <c r="AD99" s="354"/>
      <c r="AE99" s="354"/>
      <c r="AF99" s="354"/>
      <c r="AG99" s="354"/>
      <c r="AH99" s="354"/>
      <c r="AI99" s="354"/>
      <c r="AJ99" s="354"/>
      <c r="AK99" s="354"/>
      <c r="AL99" s="354"/>
      <c r="AM99" s="354"/>
      <c r="AN99" s="354"/>
      <c r="AO99" s="354"/>
      <c r="AP99" s="354"/>
      <c r="AQ99" s="354"/>
      <c r="AR99" s="354"/>
      <c r="AS99" s="354"/>
      <c r="AT99" s="354"/>
      <c r="AU99" s="354"/>
      <c r="AV99" s="354"/>
      <c r="AW99" s="354"/>
      <c r="AX99" s="354"/>
      <c r="AY99" s="354"/>
      <c r="AZ99" s="354"/>
      <c r="BA99" s="354"/>
      <c r="BB99" s="354"/>
      <c r="BC99" s="354"/>
      <c r="BD99" s="354"/>
      <c r="BE99" s="354"/>
      <c r="BF99" s="354"/>
      <c r="BG99" s="354"/>
      <c r="BH99" s="354"/>
      <c r="BI99" s="354"/>
    </row>
    <row r="100" spans="2:61" s="348" customFormat="1">
      <c r="B100" s="354"/>
      <c r="C100" s="354"/>
      <c r="D100" s="354"/>
      <c r="E100" s="354"/>
      <c r="F100" s="354"/>
      <c r="G100" s="354"/>
      <c r="H100" s="354"/>
      <c r="I100" s="354"/>
      <c r="J100" s="354"/>
      <c r="K100" s="354"/>
      <c r="L100" s="354"/>
      <c r="M100" s="356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  <c r="AE100" s="354"/>
      <c r="AF100" s="354"/>
      <c r="AG100" s="354"/>
      <c r="AH100" s="354"/>
      <c r="AI100" s="354"/>
      <c r="AJ100" s="354"/>
      <c r="AK100" s="354"/>
      <c r="AL100" s="354"/>
      <c r="AM100" s="354"/>
      <c r="AN100" s="354"/>
      <c r="AO100" s="354"/>
      <c r="AP100" s="354"/>
      <c r="AQ100" s="354"/>
      <c r="AR100" s="354"/>
      <c r="AS100" s="354"/>
      <c r="AT100" s="354"/>
      <c r="AU100" s="354"/>
      <c r="AV100" s="354"/>
      <c r="AW100" s="354"/>
      <c r="AX100" s="354"/>
      <c r="AY100" s="354"/>
      <c r="AZ100" s="354"/>
      <c r="BA100" s="354"/>
      <c r="BB100" s="354"/>
      <c r="BC100" s="354"/>
      <c r="BD100" s="354"/>
      <c r="BE100" s="354"/>
      <c r="BF100" s="354"/>
      <c r="BG100" s="354"/>
      <c r="BH100" s="354"/>
      <c r="BI100" s="354"/>
    </row>
    <row r="101" spans="2:61" s="348" customFormat="1">
      <c r="B101" s="354"/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6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  <c r="AA101" s="354"/>
      <c r="AB101" s="354"/>
      <c r="AC101" s="354"/>
      <c r="AD101" s="354"/>
      <c r="AE101" s="354"/>
      <c r="AF101" s="354"/>
      <c r="AG101" s="354"/>
      <c r="AH101" s="354"/>
      <c r="AI101" s="354"/>
      <c r="AJ101" s="354"/>
      <c r="AK101" s="354"/>
      <c r="AL101" s="354"/>
      <c r="AM101" s="354"/>
      <c r="AN101" s="354"/>
      <c r="AO101" s="354"/>
      <c r="AP101" s="354"/>
      <c r="AQ101" s="354"/>
      <c r="AR101" s="354"/>
      <c r="AS101" s="354"/>
      <c r="AT101" s="354"/>
      <c r="AU101" s="354"/>
      <c r="AV101" s="354"/>
      <c r="AW101" s="354"/>
      <c r="AX101" s="354"/>
      <c r="AY101" s="354"/>
      <c r="AZ101" s="354"/>
      <c r="BA101" s="354"/>
      <c r="BB101" s="354"/>
      <c r="BC101" s="354"/>
      <c r="BD101" s="354"/>
      <c r="BE101" s="354"/>
      <c r="BF101" s="354"/>
      <c r="BG101" s="354"/>
      <c r="BH101" s="354"/>
      <c r="BI101" s="354"/>
    </row>
    <row r="102" spans="2:61" s="348" customFormat="1">
      <c r="B102" s="354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6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4"/>
      <c r="AX102" s="354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</row>
    <row r="103" spans="2:61" s="348" customFormat="1">
      <c r="B103" s="354"/>
      <c r="C103" s="354"/>
      <c r="D103" s="354"/>
      <c r="E103" s="354"/>
      <c r="F103" s="354"/>
      <c r="G103" s="354"/>
      <c r="H103" s="354"/>
      <c r="I103" s="354"/>
      <c r="J103" s="354"/>
      <c r="K103" s="354"/>
      <c r="L103" s="354"/>
      <c r="M103" s="356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  <c r="AA103" s="354"/>
      <c r="AB103" s="354"/>
      <c r="AC103" s="354"/>
      <c r="AD103" s="354"/>
      <c r="AE103" s="354"/>
      <c r="AF103" s="354"/>
      <c r="AG103" s="354"/>
      <c r="AH103" s="354"/>
      <c r="AI103" s="354"/>
      <c r="AJ103" s="354"/>
      <c r="AK103" s="354"/>
      <c r="AL103" s="354"/>
      <c r="AM103" s="354"/>
      <c r="AN103" s="354"/>
      <c r="AO103" s="354"/>
      <c r="AP103" s="354"/>
      <c r="AQ103" s="354"/>
      <c r="AR103" s="354"/>
      <c r="AS103" s="354"/>
      <c r="AT103" s="354"/>
      <c r="AU103" s="354"/>
      <c r="AV103" s="354"/>
      <c r="AW103" s="354"/>
      <c r="AX103" s="354"/>
      <c r="AY103" s="354"/>
      <c r="AZ103" s="354"/>
      <c r="BA103" s="354"/>
      <c r="BB103" s="354"/>
      <c r="BC103" s="354"/>
      <c r="BD103" s="354"/>
      <c r="BE103" s="354"/>
      <c r="BF103" s="354"/>
      <c r="BG103" s="354"/>
      <c r="BH103" s="354"/>
      <c r="BI103" s="354"/>
    </row>
    <row r="104" spans="2:61" s="348" customFormat="1">
      <c r="B104" s="354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6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4"/>
      <c r="AH104" s="354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4"/>
      <c r="AX104" s="354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</row>
    <row r="105" spans="2:61" s="348" customFormat="1">
      <c r="B105" s="354"/>
      <c r="C105" s="354"/>
      <c r="D105" s="354"/>
      <c r="E105" s="354"/>
      <c r="F105" s="354"/>
      <c r="G105" s="354"/>
      <c r="H105" s="354"/>
      <c r="I105" s="354"/>
      <c r="J105" s="354"/>
      <c r="K105" s="354"/>
      <c r="L105" s="354"/>
      <c r="M105" s="356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4"/>
      <c r="Z105" s="354"/>
      <c r="AA105" s="354"/>
      <c r="AB105" s="354"/>
      <c r="AC105" s="354"/>
      <c r="AD105" s="354"/>
      <c r="AE105" s="354"/>
      <c r="AF105" s="354"/>
      <c r="AG105" s="354"/>
      <c r="AH105" s="354"/>
      <c r="AI105" s="354"/>
      <c r="AJ105" s="354"/>
      <c r="AK105" s="354"/>
      <c r="AL105" s="354"/>
      <c r="AM105" s="354"/>
      <c r="AN105" s="354"/>
      <c r="AO105" s="354"/>
      <c r="AP105" s="354"/>
      <c r="AQ105" s="354"/>
      <c r="AR105" s="354"/>
      <c r="AS105" s="354"/>
      <c r="AT105" s="354"/>
      <c r="AU105" s="354"/>
      <c r="AV105" s="354"/>
      <c r="AW105" s="354"/>
      <c r="AX105" s="354"/>
      <c r="AY105" s="354"/>
      <c r="AZ105" s="354"/>
      <c r="BA105" s="354"/>
      <c r="BB105" s="354"/>
      <c r="BC105" s="354"/>
      <c r="BD105" s="354"/>
      <c r="BE105" s="354"/>
      <c r="BF105" s="354"/>
      <c r="BG105" s="354"/>
      <c r="BH105" s="354"/>
      <c r="BI105" s="354"/>
    </row>
    <row r="106" spans="2:61" s="348" customFormat="1">
      <c r="B106" s="354"/>
      <c r="C106" s="354"/>
      <c r="D106" s="354"/>
      <c r="E106" s="354"/>
      <c r="F106" s="354"/>
      <c r="G106" s="354"/>
      <c r="H106" s="354"/>
      <c r="I106" s="354"/>
      <c r="J106" s="354"/>
      <c r="K106" s="354"/>
      <c r="L106" s="354"/>
      <c r="M106" s="356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  <c r="AA106" s="354"/>
      <c r="AB106" s="354"/>
      <c r="AC106" s="354"/>
      <c r="AD106" s="354"/>
      <c r="AE106" s="354"/>
      <c r="AF106" s="354"/>
      <c r="AG106" s="354"/>
      <c r="AH106" s="354"/>
      <c r="AI106" s="354"/>
      <c r="AJ106" s="354"/>
      <c r="AK106" s="354"/>
      <c r="AL106" s="354"/>
      <c r="AM106" s="354"/>
      <c r="AN106" s="354"/>
      <c r="AO106" s="354"/>
      <c r="AP106" s="354"/>
      <c r="AQ106" s="354"/>
      <c r="AR106" s="354"/>
      <c r="AS106" s="354"/>
      <c r="AT106" s="354"/>
      <c r="AU106" s="354"/>
      <c r="AV106" s="354"/>
      <c r="AW106" s="354"/>
      <c r="AX106" s="354"/>
      <c r="AY106" s="354"/>
      <c r="AZ106" s="354"/>
      <c r="BA106" s="354"/>
      <c r="BB106" s="354"/>
      <c r="BC106" s="354"/>
      <c r="BD106" s="354"/>
      <c r="BE106" s="354"/>
      <c r="BF106" s="354"/>
      <c r="BG106" s="354"/>
      <c r="BH106" s="354"/>
      <c r="BI106" s="354"/>
    </row>
    <row r="107" spans="2:61" s="348" customFormat="1">
      <c r="B107" s="354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6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4"/>
      <c r="AH107" s="354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4"/>
      <c r="AX107" s="354"/>
      <c r="AY107" s="354"/>
      <c r="AZ107" s="354"/>
      <c r="BA107" s="354"/>
      <c r="BB107" s="354"/>
      <c r="BC107" s="354"/>
      <c r="BD107" s="354"/>
      <c r="BE107" s="354"/>
      <c r="BF107" s="354"/>
      <c r="BG107" s="354"/>
      <c r="BH107" s="354"/>
      <c r="BI107" s="354"/>
    </row>
    <row r="108" spans="2:61" s="348" customFormat="1">
      <c r="B108" s="354"/>
      <c r="C108" s="354"/>
      <c r="D108" s="354"/>
      <c r="E108" s="354"/>
      <c r="F108" s="354"/>
      <c r="G108" s="354"/>
      <c r="H108" s="354"/>
      <c r="I108" s="354"/>
      <c r="J108" s="354"/>
      <c r="K108" s="354"/>
      <c r="L108" s="354"/>
      <c r="M108" s="356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  <c r="AA108" s="354"/>
      <c r="AB108" s="354"/>
      <c r="AC108" s="354"/>
      <c r="AD108" s="354"/>
      <c r="AE108" s="354"/>
      <c r="AF108" s="354"/>
      <c r="AG108" s="354"/>
      <c r="AH108" s="354"/>
      <c r="AI108" s="354"/>
      <c r="AJ108" s="354"/>
      <c r="AK108" s="354"/>
      <c r="AL108" s="354"/>
      <c r="AM108" s="354"/>
      <c r="AN108" s="354"/>
      <c r="AO108" s="354"/>
      <c r="AP108" s="354"/>
      <c r="AQ108" s="354"/>
      <c r="AR108" s="354"/>
      <c r="AS108" s="354"/>
      <c r="AT108" s="354"/>
      <c r="AU108" s="354"/>
      <c r="AV108" s="354"/>
      <c r="AW108" s="354"/>
      <c r="AX108" s="354"/>
      <c r="AY108" s="354"/>
      <c r="AZ108" s="354"/>
      <c r="BA108" s="354"/>
      <c r="BB108" s="354"/>
      <c r="BC108" s="354"/>
      <c r="BD108" s="354"/>
      <c r="BE108" s="354"/>
      <c r="BF108" s="354"/>
      <c r="BG108" s="354"/>
      <c r="BH108" s="354"/>
      <c r="BI108" s="354"/>
    </row>
    <row r="109" spans="2:61" s="348" customFormat="1">
      <c r="B109" s="354"/>
      <c r="C109" s="354"/>
      <c r="D109" s="354"/>
      <c r="E109" s="354"/>
      <c r="F109" s="354"/>
      <c r="G109" s="354"/>
      <c r="H109" s="354"/>
      <c r="I109" s="354"/>
      <c r="J109" s="354"/>
      <c r="K109" s="354"/>
      <c r="L109" s="354"/>
      <c r="M109" s="356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  <c r="AA109" s="354"/>
      <c r="AB109" s="354"/>
      <c r="AC109" s="354"/>
      <c r="AD109" s="354"/>
      <c r="AE109" s="354"/>
      <c r="AF109" s="354"/>
      <c r="AG109" s="354"/>
      <c r="AH109" s="354"/>
      <c r="AI109" s="354"/>
      <c r="AJ109" s="354"/>
      <c r="AK109" s="354"/>
      <c r="AL109" s="354"/>
      <c r="AM109" s="354"/>
      <c r="AN109" s="354"/>
      <c r="AO109" s="354"/>
      <c r="AP109" s="354"/>
      <c r="AQ109" s="354"/>
      <c r="AR109" s="354"/>
      <c r="AS109" s="354"/>
      <c r="AT109" s="354"/>
      <c r="AU109" s="354"/>
      <c r="AV109" s="354"/>
      <c r="AW109" s="354"/>
      <c r="AX109" s="354"/>
      <c r="AY109" s="354"/>
      <c r="AZ109" s="354"/>
      <c r="BA109" s="354"/>
      <c r="BB109" s="354"/>
      <c r="BC109" s="354"/>
      <c r="BD109" s="354"/>
      <c r="BE109" s="354"/>
      <c r="BF109" s="354"/>
      <c r="BG109" s="354"/>
      <c r="BH109" s="354"/>
      <c r="BI109" s="354"/>
    </row>
    <row r="110" spans="2:61" s="348" customFormat="1">
      <c r="B110" s="354"/>
      <c r="C110" s="354"/>
      <c r="D110" s="354"/>
      <c r="E110" s="354"/>
      <c r="F110" s="354"/>
      <c r="G110" s="354"/>
      <c r="H110" s="354"/>
      <c r="I110" s="354"/>
      <c r="J110" s="354"/>
      <c r="K110" s="354"/>
      <c r="L110" s="354"/>
      <c r="M110" s="356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4"/>
      <c r="AE110" s="354"/>
      <c r="AF110" s="354"/>
      <c r="AG110" s="354"/>
      <c r="AH110" s="354"/>
      <c r="AI110" s="354"/>
      <c r="AJ110" s="354"/>
      <c r="AK110" s="354"/>
      <c r="AL110" s="354"/>
      <c r="AM110" s="354"/>
      <c r="AN110" s="354"/>
      <c r="AO110" s="354"/>
      <c r="AP110" s="354"/>
      <c r="AQ110" s="354"/>
      <c r="AR110" s="354"/>
      <c r="AS110" s="354"/>
      <c r="AT110" s="354"/>
      <c r="AU110" s="354"/>
      <c r="AV110" s="354"/>
      <c r="AW110" s="354"/>
      <c r="AX110" s="354"/>
      <c r="AY110" s="354"/>
      <c r="AZ110" s="354"/>
      <c r="BA110" s="354"/>
      <c r="BB110" s="354"/>
      <c r="BC110" s="354"/>
      <c r="BD110" s="354"/>
      <c r="BE110" s="354"/>
      <c r="BF110" s="354"/>
      <c r="BG110" s="354"/>
      <c r="BH110" s="354"/>
      <c r="BI110" s="354"/>
    </row>
    <row r="111" spans="2:61" s="348" customFormat="1">
      <c r="B111" s="354"/>
      <c r="C111" s="354"/>
      <c r="D111" s="354"/>
      <c r="E111" s="354"/>
      <c r="F111" s="354"/>
      <c r="G111" s="354"/>
      <c r="H111" s="354"/>
      <c r="I111" s="354"/>
      <c r="J111" s="354"/>
      <c r="K111" s="354"/>
      <c r="L111" s="354"/>
      <c r="M111" s="356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  <c r="AA111" s="354"/>
      <c r="AB111" s="354"/>
      <c r="AC111" s="354"/>
      <c r="AD111" s="354"/>
      <c r="AE111" s="354"/>
      <c r="AF111" s="354"/>
      <c r="AG111" s="354"/>
      <c r="AH111" s="354"/>
      <c r="AI111" s="354"/>
      <c r="AJ111" s="354"/>
      <c r="AK111" s="354"/>
      <c r="AL111" s="354"/>
      <c r="AM111" s="354"/>
      <c r="AN111" s="354"/>
      <c r="AO111" s="354"/>
      <c r="AP111" s="354"/>
      <c r="AQ111" s="354"/>
      <c r="AR111" s="354"/>
      <c r="AS111" s="354"/>
      <c r="AT111" s="354"/>
      <c r="AU111" s="354"/>
      <c r="AV111" s="354"/>
      <c r="AW111" s="354"/>
      <c r="AX111" s="354"/>
      <c r="AY111" s="354"/>
      <c r="AZ111" s="354"/>
      <c r="BA111" s="354"/>
      <c r="BB111" s="354"/>
      <c r="BC111" s="354"/>
      <c r="BD111" s="354"/>
      <c r="BE111" s="354"/>
      <c r="BF111" s="354"/>
      <c r="BG111" s="354"/>
      <c r="BH111" s="354"/>
      <c r="BI111" s="354"/>
    </row>
    <row r="112" spans="2:61" s="348" customFormat="1">
      <c r="B112" s="354"/>
      <c r="C112" s="354"/>
      <c r="D112" s="354"/>
      <c r="E112" s="354"/>
      <c r="F112" s="354"/>
      <c r="G112" s="354"/>
      <c r="H112" s="354"/>
      <c r="I112" s="354"/>
      <c r="J112" s="354"/>
      <c r="K112" s="354"/>
      <c r="L112" s="354"/>
      <c r="M112" s="356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  <c r="AA112" s="354"/>
      <c r="AB112" s="354"/>
      <c r="AC112" s="354"/>
      <c r="AD112" s="354"/>
      <c r="AE112" s="354"/>
      <c r="AF112" s="354"/>
      <c r="AG112" s="354"/>
      <c r="AH112" s="354"/>
      <c r="AI112" s="354"/>
      <c r="AJ112" s="354"/>
      <c r="AK112" s="354"/>
      <c r="AL112" s="354"/>
      <c r="AM112" s="354"/>
      <c r="AN112" s="354"/>
      <c r="AO112" s="354"/>
      <c r="AP112" s="354"/>
      <c r="AQ112" s="354"/>
      <c r="AR112" s="354"/>
      <c r="AS112" s="354"/>
      <c r="AT112" s="354"/>
      <c r="AU112" s="354"/>
      <c r="AV112" s="354"/>
      <c r="AW112" s="354"/>
      <c r="AX112" s="354"/>
      <c r="AY112" s="354"/>
      <c r="AZ112" s="354"/>
      <c r="BA112" s="354"/>
      <c r="BB112" s="354"/>
      <c r="BC112" s="354"/>
      <c r="BD112" s="354"/>
      <c r="BE112" s="354"/>
      <c r="BF112" s="354"/>
      <c r="BG112" s="354"/>
      <c r="BH112" s="354"/>
      <c r="BI112" s="354"/>
    </row>
    <row r="113" spans="2:61" s="348" customFormat="1">
      <c r="B113" s="354"/>
      <c r="C113" s="354"/>
      <c r="D113" s="354"/>
      <c r="E113" s="354"/>
      <c r="F113" s="354"/>
      <c r="G113" s="354"/>
      <c r="H113" s="354"/>
      <c r="I113" s="354"/>
      <c r="J113" s="354"/>
      <c r="K113" s="354"/>
      <c r="L113" s="354"/>
      <c r="M113" s="356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  <c r="AA113" s="354"/>
      <c r="AB113" s="354"/>
      <c r="AC113" s="354"/>
      <c r="AD113" s="354"/>
      <c r="AE113" s="354"/>
      <c r="AF113" s="354"/>
      <c r="AG113" s="354"/>
      <c r="AH113" s="354"/>
      <c r="AI113" s="354"/>
      <c r="AJ113" s="354"/>
      <c r="AK113" s="354"/>
      <c r="AL113" s="354"/>
      <c r="AM113" s="354"/>
      <c r="AN113" s="354"/>
      <c r="AO113" s="354"/>
      <c r="AP113" s="354"/>
      <c r="AQ113" s="354"/>
      <c r="AR113" s="354"/>
      <c r="AS113" s="354"/>
      <c r="AT113" s="354"/>
      <c r="AU113" s="354"/>
      <c r="AV113" s="354"/>
      <c r="AW113" s="354"/>
      <c r="AX113" s="354"/>
      <c r="AY113" s="354"/>
      <c r="AZ113" s="354"/>
      <c r="BA113" s="354"/>
      <c r="BB113" s="354"/>
      <c r="BC113" s="354"/>
      <c r="BD113" s="354"/>
      <c r="BE113" s="354"/>
      <c r="BF113" s="354"/>
      <c r="BG113" s="354"/>
      <c r="BH113" s="354"/>
      <c r="BI113" s="354"/>
    </row>
    <row r="114" spans="2:61" s="348" customFormat="1">
      <c r="B114" s="354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6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4"/>
      <c r="AH114" s="354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4"/>
      <c r="AX114" s="354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</row>
    <row r="115" spans="2:61" s="348" customFormat="1">
      <c r="B115" s="354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6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4"/>
      <c r="AH115" s="354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4"/>
      <c r="AX115" s="354"/>
      <c r="AY115" s="354"/>
      <c r="AZ115" s="354"/>
      <c r="BA115" s="354"/>
      <c r="BB115" s="354"/>
      <c r="BC115" s="354"/>
      <c r="BD115" s="354"/>
      <c r="BE115" s="354"/>
      <c r="BF115" s="354"/>
      <c r="BG115" s="354"/>
      <c r="BH115" s="354"/>
      <c r="BI115" s="354"/>
    </row>
    <row r="116" spans="2:61" s="348" customFormat="1">
      <c r="B116" s="354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6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4"/>
      <c r="AH116" s="354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4"/>
      <c r="AX116" s="354"/>
      <c r="AY116" s="354"/>
      <c r="AZ116" s="354"/>
      <c r="BA116" s="354"/>
      <c r="BB116" s="354"/>
      <c r="BC116" s="354"/>
      <c r="BD116" s="354"/>
      <c r="BE116" s="354"/>
      <c r="BF116" s="354"/>
      <c r="BG116" s="354"/>
      <c r="BH116" s="354"/>
      <c r="BI116" s="354"/>
    </row>
    <row r="117" spans="2:61" s="348" customFormat="1">
      <c r="B117" s="354"/>
      <c r="C117" s="354"/>
      <c r="D117" s="354"/>
      <c r="E117" s="354"/>
      <c r="F117" s="354"/>
      <c r="G117" s="354"/>
      <c r="H117" s="354"/>
      <c r="I117" s="354"/>
      <c r="J117" s="354"/>
      <c r="K117" s="354"/>
      <c r="L117" s="354"/>
      <c r="M117" s="356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  <c r="AA117" s="354"/>
      <c r="AB117" s="354"/>
      <c r="AC117" s="354"/>
      <c r="AD117" s="354"/>
      <c r="AE117" s="354"/>
      <c r="AF117" s="354"/>
      <c r="AG117" s="354"/>
      <c r="AH117" s="354"/>
      <c r="AI117" s="354"/>
      <c r="AJ117" s="354"/>
      <c r="AK117" s="354"/>
      <c r="AL117" s="354"/>
      <c r="AM117" s="354"/>
      <c r="AN117" s="354"/>
      <c r="AO117" s="354"/>
      <c r="AP117" s="354"/>
      <c r="AQ117" s="354"/>
      <c r="AR117" s="354"/>
      <c r="AS117" s="354"/>
      <c r="AT117" s="354"/>
      <c r="AU117" s="354"/>
      <c r="AV117" s="354"/>
      <c r="AW117" s="354"/>
      <c r="AX117" s="354"/>
      <c r="AY117" s="354"/>
      <c r="AZ117" s="354"/>
      <c r="BA117" s="354"/>
      <c r="BB117" s="354"/>
      <c r="BC117" s="354"/>
      <c r="BD117" s="354"/>
      <c r="BE117" s="354"/>
      <c r="BF117" s="354"/>
      <c r="BG117" s="354"/>
      <c r="BH117" s="354"/>
      <c r="BI117" s="354"/>
    </row>
    <row r="118" spans="2:61" s="348" customFormat="1">
      <c r="B118" s="354"/>
      <c r="C118" s="354"/>
      <c r="D118" s="354"/>
      <c r="E118" s="354"/>
      <c r="F118" s="354"/>
      <c r="G118" s="354"/>
      <c r="H118" s="354"/>
      <c r="I118" s="354"/>
      <c r="J118" s="354"/>
      <c r="K118" s="354"/>
      <c r="L118" s="354"/>
      <c r="M118" s="356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  <c r="AA118" s="354"/>
      <c r="AB118" s="354"/>
      <c r="AC118" s="354"/>
      <c r="AD118" s="354"/>
      <c r="AE118" s="354"/>
      <c r="AF118" s="354"/>
      <c r="AG118" s="354"/>
      <c r="AH118" s="354"/>
      <c r="AI118" s="354"/>
      <c r="AJ118" s="354"/>
      <c r="AK118" s="354"/>
      <c r="AL118" s="354"/>
      <c r="AM118" s="354"/>
      <c r="AN118" s="354"/>
      <c r="AO118" s="354"/>
      <c r="AP118" s="354"/>
      <c r="AQ118" s="354"/>
      <c r="AR118" s="354"/>
      <c r="AS118" s="354"/>
      <c r="AT118" s="354"/>
      <c r="AU118" s="354"/>
      <c r="AV118" s="354"/>
      <c r="AW118" s="354"/>
      <c r="AX118" s="354"/>
      <c r="AY118" s="354"/>
      <c r="AZ118" s="354"/>
      <c r="BA118" s="354"/>
      <c r="BB118" s="354"/>
      <c r="BC118" s="354"/>
      <c r="BD118" s="354"/>
      <c r="BE118" s="354"/>
      <c r="BF118" s="354"/>
      <c r="BG118" s="354"/>
      <c r="BH118" s="354"/>
      <c r="BI118" s="354"/>
    </row>
    <row r="119" spans="2:61" s="348" customFormat="1">
      <c r="B119" s="354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6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4"/>
      <c r="AH119" s="354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4"/>
      <c r="AX119" s="354"/>
      <c r="AY119" s="354"/>
      <c r="AZ119" s="354"/>
      <c r="BA119" s="354"/>
      <c r="BB119" s="354"/>
      <c r="BC119" s="354"/>
      <c r="BD119" s="354"/>
      <c r="BE119" s="354"/>
      <c r="BF119" s="354"/>
      <c r="BG119" s="354"/>
      <c r="BH119" s="354"/>
      <c r="BI119" s="354"/>
    </row>
    <row r="120" spans="2:61" s="348" customFormat="1">
      <c r="B120" s="354"/>
      <c r="C120" s="354"/>
      <c r="D120" s="354"/>
      <c r="E120" s="354"/>
      <c r="F120" s="354"/>
      <c r="G120" s="354"/>
      <c r="H120" s="354"/>
      <c r="I120" s="354"/>
      <c r="J120" s="354"/>
      <c r="K120" s="354"/>
      <c r="L120" s="354"/>
      <c r="M120" s="356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  <c r="AA120" s="354"/>
      <c r="AB120" s="354"/>
      <c r="AC120" s="354"/>
      <c r="AD120" s="354"/>
      <c r="AE120" s="354"/>
      <c r="AF120" s="354"/>
      <c r="AG120" s="354"/>
      <c r="AH120" s="354"/>
      <c r="AI120" s="354"/>
      <c r="AJ120" s="354"/>
      <c r="AK120" s="354"/>
      <c r="AL120" s="354"/>
      <c r="AM120" s="354"/>
      <c r="AN120" s="354"/>
      <c r="AO120" s="354"/>
      <c r="AP120" s="354"/>
      <c r="AQ120" s="354"/>
      <c r="AR120" s="354"/>
      <c r="AS120" s="354"/>
      <c r="AT120" s="354"/>
      <c r="AU120" s="354"/>
      <c r="AV120" s="354"/>
      <c r="AW120" s="354"/>
      <c r="AX120" s="354"/>
      <c r="AY120" s="354"/>
      <c r="AZ120" s="354"/>
      <c r="BA120" s="354"/>
      <c r="BB120" s="354"/>
      <c r="BC120" s="354"/>
      <c r="BD120" s="354"/>
      <c r="BE120" s="354"/>
      <c r="BF120" s="354"/>
      <c r="BG120" s="354"/>
      <c r="BH120" s="354"/>
      <c r="BI120" s="354"/>
    </row>
    <row r="121" spans="2:61" s="348" customFormat="1">
      <c r="B121" s="354"/>
      <c r="C121" s="354"/>
      <c r="D121" s="354"/>
      <c r="E121" s="354"/>
      <c r="F121" s="354"/>
      <c r="G121" s="354"/>
      <c r="H121" s="354"/>
      <c r="I121" s="354"/>
      <c r="J121" s="354"/>
      <c r="K121" s="354"/>
      <c r="L121" s="354"/>
      <c r="M121" s="356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  <c r="AA121" s="354"/>
      <c r="AB121" s="354"/>
      <c r="AC121" s="354"/>
      <c r="AD121" s="354"/>
      <c r="AE121" s="354"/>
      <c r="AF121" s="354"/>
      <c r="AG121" s="354"/>
      <c r="AH121" s="354"/>
      <c r="AI121" s="354"/>
      <c r="AJ121" s="354"/>
      <c r="AK121" s="354"/>
      <c r="AL121" s="354"/>
      <c r="AM121" s="354"/>
      <c r="AN121" s="354"/>
      <c r="AO121" s="354"/>
      <c r="AP121" s="354"/>
      <c r="AQ121" s="354"/>
      <c r="AR121" s="354"/>
      <c r="AS121" s="354"/>
      <c r="AT121" s="354"/>
      <c r="AU121" s="354"/>
      <c r="AV121" s="354"/>
      <c r="AW121" s="354"/>
      <c r="AX121" s="354"/>
      <c r="AY121" s="354"/>
      <c r="AZ121" s="354"/>
      <c r="BA121" s="354"/>
      <c r="BB121" s="354"/>
      <c r="BC121" s="354"/>
      <c r="BD121" s="354"/>
      <c r="BE121" s="354"/>
      <c r="BF121" s="354"/>
      <c r="BG121" s="354"/>
      <c r="BH121" s="354"/>
      <c r="BI121" s="354"/>
    </row>
    <row r="122" spans="2:61" s="348" customFormat="1">
      <c r="B122" s="354"/>
      <c r="C122" s="354"/>
      <c r="D122" s="354"/>
      <c r="E122" s="354"/>
      <c r="F122" s="354"/>
      <c r="G122" s="354"/>
      <c r="H122" s="354"/>
      <c r="I122" s="354"/>
      <c r="J122" s="354"/>
      <c r="K122" s="354"/>
      <c r="L122" s="354"/>
      <c r="M122" s="356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  <c r="AA122" s="354"/>
      <c r="AB122" s="354"/>
      <c r="AC122" s="354"/>
      <c r="AD122" s="354"/>
      <c r="AE122" s="354"/>
      <c r="AF122" s="354"/>
      <c r="AG122" s="354"/>
      <c r="AH122" s="354"/>
      <c r="AI122" s="354"/>
      <c r="AJ122" s="354"/>
      <c r="AK122" s="354"/>
      <c r="AL122" s="354"/>
      <c r="AM122" s="354"/>
      <c r="AN122" s="354"/>
      <c r="AO122" s="354"/>
      <c r="AP122" s="354"/>
      <c r="AQ122" s="354"/>
      <c r="AR122" s="354"/>
      <c r="AS122" s="354"/>
      <c r="AT122" s="354"/>
      <c r="AU122" s="354"/>
      <c r="AV122" s="354"/>
      <c r="AW122" s="354"/>
      <c r="AX122" s="354"/>
      <c r="AY122" s="354"/>
      <c r="AZ122" s="354"/>
      <c r="BA122" s="354"/>
      <c r="BB122" s="354"/>
      <c r="BC122" s="354"/>
      <c r="BD122" s="354"/>
      <c r="BE122" s="354"/>
      <c r="BF122" s="354"/>
      <c r="BG122" s="354"/>
      <c r="BH122" s="354"/>
      <c r="BI122" s="354"/>
    </row>
    <row r="123" spans="2:61" s="348" customFormat="1">
      <c r="B123" s="354"/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6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  <c r="AA123" s="354"/>
      <c r="AB123" s="354"/>
      <c r="AC123" s="354"/>
      <c r="AD123" s="354"/>
      <c r="AE123" s="354"/>
      <c r="AF123" s="354"/>
      <c r="AG123" s="354"/>
      <c r="AH123" s="354"/>
      <c r="AI123" s="354"/>
      <c r="AJ123" s="354"/>
      <c r="AK123" s="354"/>
      <c r="AL123" s="354"/>
      <c r="AM123" s="354"/>
      <c r="AN123" s="354"/>
      <c r="AO123" s="354"/>
      <c r="AP123" s="354"/>
      <c r="AQ123" s="354"/>
      <c r="AR123" s="354"/>
      <c r="AS123" s="354"/>
      <c r="AT123" s="354"/>
      <c r="AU123" s="354"/>
      <c r="AV123" s="354"/>
      <c r="AW123" s="354"/>
      <c r="AX123" s="354"/>
      <c r="AY123" s="354"/>
      <c r="AZ123" s="354"/>
      <c r="BA123" s="354"/>
      <c r="BB123" s="354"/>
      <c r="BC123" s="354"/>
      <c r="BD123" s="354"/>
      <c r="BE123" s="354"/>
      <c r="BF123" s="354"/>
      <c r="BG123" s="354"/>
      <c r="BH123" s="354"/>
      <c r="BI123" s="354"/>
    </row>
    <row r="124" spans="2:61" s="348" customFormat="1"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6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</row>
    <row r="125" spans="2:61" s="348" customFormat="1">
      <c r="B125" s="354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6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4"/>
      <c r="AH125" s="354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4"/>
      <c r="AX125" s="354"/>
      <c r="AY125" s="354"/>
      <c r="AZ125" s="354"/>
      <c r="BA125" s="354"/>
      <c r="BB125" s="354"/>
      <c r="BC125" s="354"/>
      <c r="BD125" s="354"/>
      <c r="BE125" s="354"/>
      <c r="BF125" s="354"/>
      <c r="BG125" s="354"/>
      <c r="BH125" s="354"/>
      <c r="BI125" s="354"/>
    </row>
    <row r="126" spans="2:61" s="348" customFormat="1">
      <c r="B126" s="353"/>
      <c r="C126" s="353"/>
      <c r="D126" s="353"/>
      <c r="E126" s="353"/>
      <c r="F126" s="353"/>
      <c r="G126" s="353"/>
      <c r="H126" s="353"/>
      <c r="I126" s="353"/>
      <c r="J126" s="353"/>
      <c r="K126" s="353"/>
      <c r="L126" s="354"/>
      <c r="M126" s="356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</row>
    <row r="127" spans="2:61" s="348" customFormat="1">
      <c r="B127" s="353"/>
      <c r="C127" s="353"/>
      <c r="D127" s="353"/>
      <c r="E127" s="353"/>
      <c r="F127" s="353"/>
      <c r="G127" s="353"/>
      <c r="H127" s="353"/>
      <c r="I127" s="353"/>
      <c r="J127" s="353"/>
      <c r="K127" s="353"/>
      <c r="L127" s="354"/>
      <c r="M127" s="356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4"/>
      <c r="AH127" s="354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4"/>
      <c r="AX127" s="354"/>
      <c r="AY127" s="354"/>
      <c r="AZ127" s="354"/>
      <c r="BA127" s="354"/>
      <c r="BB127" s="354"/>
      <c r="BC127" s="354"/>
      <c r="BD127" s="354"/>
      <c r="BE127" s="354"/>
      <c r="BF127" s="354"/>
      <c r="BG127" s="354"/>
      <c r="BH127" s="354"/>
      <c r="BI127" s="354"/>
    </row>
    <row r="128" spans="2:61" s="348" customFormat="1">
      <c r="B128" s="353"/>
      <c r="C128" s="353"/>
      <c r="D128" s="353"/>
      <c r="E128" s="353"/>
      <c r="F128" s="353"/>
      <c r="G128" s="353"/>
      <c r="H128" s="353"/>
      <c r="I128" s="353"/>
      <c r="J128" s="353"/>
      <c r="K128" s="353"/>
      <c r="L128" s="354"/>
      <c r="M128" s="356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4"/>
      <c r="AH128" s="354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4"/>
      <c r="AX128" s="354"/>
      <c r="AY128" s="354"/>
      <c r="AZ128" s="354"/>
      <c r="BA128" s="354"/>
      <c r="BB128" s="354"/>
      <c r="BC128" s="354"/>
      <c r="BD128" s="354"/>
      <c r="BE128" s="354"/>
      <c r="BF128" s="354"/>
      <c r="BG128" s="354"/>
      <c r="BH128" s="354"/>
      <c r="BI128" s="354"/>
    </row>
    <row r="129" spans="2:61" s="348" customFormat="1">
      <c r="B129" s="353"/>
      <c r="C129" s="353"/>
      <c r="D129" s="353"/>
      <c r="E129" s="353"/>
      <c r="F129" s="353"/>
      <c r="G129" s="353"/>
      <c r="H129" s="353"/>
      <c r="I129" s="353"/>
      <c r="J129" s="353"/>
      <c r="K129" s="353"/>
      <c r="L129" s="354"/>
      <c r="M129" s="356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  <c r="AH129" s="354"/>
      <c r="AI129" s="354"/>
      <c r="AJ129" s="354"/>
      <c r="AK129" s="354"/>
      <c r="AL129" s="354"/>
      <c r="AM129" s="354"/>
      <c r="AN129" s="354"/>
      <c r="AO129" s="354"/>
      <c r="AP129" s="354"/>
      <c r="AQ129" s="354"/>
      <c r="AR129" s="354"/>
      <c r="AS129" s="354"/>
      <c r="AT129" s="354"/>
      <c r="AU129" s="354"/>
      <c r="AV129" s="354"/>
      <c r="AW129" s="354"/>
      <c r="AX129" s="354"/>
      <c r="AY129" s="354"/>
      <c r="AZ129" s="354"/>
      <c r="BA129" s="354"/>
      <c r="BB129" s="354"/>
      <c r="BC129" s="354"/>
      <c r="BD129" s="354"/>
      <c r="BE129" s="354"/>
      <c r="BF129" s="354"/>
      <c r="BG129" s="354"/>
      <c r="BH129" s="354"/>
      <c r="BI129" s="354"/>
    </row>
    <row r="130" spans="2:61" s="348" customFormat="1">
      <c r="B130" s="353"/>
      <c r="C130" s="353"/>
      <c r="D130" s="353"/>
      <c r="E130" s="353"/>
      <c r="F130" s="353"/>
      <c r="G130" s="353"/>
      <c r="H130" s="353"/>
      <c r="I130" s="353"/>
      <c r="J130" s="353"/>
      <c r="K130" s="353"/>
      <c r="L130" s="354"/>
      <c r="M130" s="356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  <c r="AA130" s="354"/>
      <c r="AB130" s="354"/>
      <c r="AC130" s="354"/>
      <c r="AD130" s="354"/>
      <c r="AE130" s="354"/>
      <c r="AF130" s="354"/>
      <c r="AG130" s="354"/>
      <c r="AH130" s="354"/>
      <c r="AI130" s="354"/>
      <c r="AJ130" s="354"/>
      <c r="AK130" s="354"/>
      <c r="AL130" s="354"/>
      <c r="AM130" s="354"/>
      <c r="AN130" s="354"/>
      <c r="AO130" s="354"/>
      <c r="AP130" s="354"/>
      <c r="AQ130" s="354"/>
      <c r="AR130" s="354"/>
      <c r="AS130" s="354"/>
      <c r="AT130" s="354"/>
      <c r="AU130" s="354"/>
      <c r="AV130" s="354"/>
      <c r="AW130" s="354"/>
      <c r="AX130" s="354"/>
      <c r="AY130" s="354"/>
      <c r="AZ130" s="354"/>
      <c r="BA130" s="354"/>
      <c r="BB130" s="354"/>
      <c r="BC130" s="354"/>
      <c r="BD130" s="354"/>
      <c r="BE130" s="354"/>
      <c r="BF130" s="354"/>
      <c r="BG130" s="354"/>
      <c r="BH130" s="354"/>
      <c r="BI130" s="354"/>
    </row>
    <row r="131" spans="2:61" s="149" customFormat="1">
      <c r="B131" s="353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5"/>
      <c r="N131" s="353"/>
      <c r="O131" s="353"/>
      <c r="P131" s="353"/>
      <c r="Q131" s="353"/>
      <c r="R131" s="353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53"/>
      <c r="AC131" s="353"/>
      <c r="AD131" s="353"/>
      <c r="AE131" s="353"/>
      <c r="AF131" s="353"/>
      <c r="AG131" s="353"/>
      <c r="AH131" s="353"/>
      <c r="AI131" s="353"/>
      <c r="AJ131" s="353"/>
      <c r="AK131" s="353"/>
      <c r="AL131" s="353"/>
      <c r="AM131" s="353"/>
      <c r="AN131" s="353"/>
      <c r="AO131" s="353"/>
      <c r="AP131" s="353"/>
      <c r="AQ131" s="353"/>
      <c r="AR131" s="353"/>
      <c r="AS131" s="353"/>
      <c r="AT131" s="353"/>
      <c r="AU131" s="353"/>
      <c r="AV131" s="353"/>
      <c r="AW131" s="353"/>
      <c r="AX131" s="353"/>
      <c r="AY131" s="353"/>
      <c r="AZ131" s="353"/>
      <c r="BA131" s="353"/>
      <c r="BB131" s="353"/>
      <c r="BC131" s="353"/>
      <c r="BD131" s="353"/>
      <c r="BE131" s="353"/>
      <c r="BF131" s="353"/>
      <c r="BG131" s="353"/>
      <c r="BH131" s="353"/>
      <c r="BI131" s="353"/>
    </row>
    <row r="132" spans="2:61" s="149" customFormat="1">
      <c r="B132" s="353"/>
      <c r="C132" s="353"/>
      <c r="D132" s="353"/>
      <c r="E132" s="353"/>
      <c r="F132" s="353"/>
      <c r="G132" s="353"/>
      <c r="H132" s="353"/>
      <c r="I132" s="353"/>
      <c r="J132" s="353"/>
      <c r="K132" s="353"/>
      <c r="L132" s="353"/>
      <c r="M132" s="355"/>
      <c r="N132" s="353"/>
      <c r="O132" s="353"/>
      <c r="P132" s="353"/>
      <c r="Q132" s="353"/>
      <c r="R132" s="353"/>
      <c r="S132" s="353"/>
      <c r="T132" s="353"/>
      <c r="U132" s="353"/>
      <c r="V132" s="353"/>
      <c r="W132" s="353"/>
      <c r="X132" s="353"/>
      <c r="Y132" s="353"/>
      <c r="Z132" s="353"/>
      <c r="AA132" s="353"/>
      <c r="AB132" s="353"/>
      <c r="AC132" s="353"/>
      <c r="AD132" s="353"/>
      <c r="AE132" s="353"/>
      <c r="AF132" s="353"/>
      <c r="AG132" s="353"/>
      <c r="AH132" s="353"/>
      <c r="AI132" s="353"/>
      <c r="AJ132" s="353"/>
      <c r="AK132" s="353"/>
      <c r="AL132" s="353"/>
      <c r="AM132" s="353"/>
      <c r="AN132" s="353"/>
      <c r="AO132" s="353"/>
      <c r="AP132" s="353"/>
      <c r="AQ132" s="353"/>
      <c r="AR132" s="353"/>
      <c r="AS132" s="353"/>
      <c r="AT132" s="353"/>
      <c r="AU132" s="353"/>
      <c r="AV132" s="353"/>
      <c r="AW132" s="353"/>
      <c r="AX132" s="353"/>
      <c r="AY132" s="353"/>
      <c r="AZ132" s="353"/>
      <c r="BA132" s="353"/>
      <c r="BB132" s="353"/>
      <c r="BC132" s="353"/>
      <c r="BD132" s="353"/>
      <c r="BE132" s="353"/>
      <c r="BF132" s="353"/>
      <c r="BG132" s="353"/>
      <c r="BH132" s="353"/>
      <c r="BI132" s="353"/>
    </row>
    <row r="133" spans="2:61" s="149" customFormat="1">
      <c r="B133" s="353"/>
      <c r="C133" s="353"/>
      <c r="D133" s="353"/>
      <c r="E133" s="353"/>
      <c r="F133" s="353"/>
      <c r="G133" s="353"/>
      <c r="H133" s="353"/>
      <c r="I133" s="353"/>
      <c r="J133" s="353"/>
      <c r="K133" s="353"/>
      <c r="L133" s="353"/>
      <c r="M133" s="355"/>
      <c r="N133" s="353"/>
      <c r="O133" s="353"/>
      <c r="P133" s="353"/>
      <c r="Q133" s="353"/>
      <c r="R133" s="353"/>
      <c r="S133" s="353"/>
      <c r="T133" s="353"/>
      <c r="U133" s="353"/>
      <c r="V133" s="353"/>
      <c r="W133" s="353"/>
      <c r="X133" s="353"/>
      <c r="Y133" s="353"/>
      <c r="Z133" s="353"/>
      <c r="AA133" s="353"/>
      <c r="AB133" s="353"/>
      <c r="AC133" s="353"/>
      <c r="AD133" s="353"/>
      <c r="AE133" s="353"/>
      <c r="AF133" s="353"/>
      <c r="AG133" s="353"/>
      <c r="AH133" s="353"/>
      <c r="AI133" s="353"/>
      <c r="AJ133" s="353"/>
      <c r="AK133" s="353"/>
      <c r="AL133" s="353"/>
      <c r="AM133" s="353"/>
      <c r="AN133" s="353"/>
      <c r="AO133" s="353"/>
      <c r="AP133" s="353"/>
      <c r="AQ133" s="353"/>
      <c r="AR133" s="353"/>
      <c r="AS133" s="353"/>
      <c r="AT133" s="353"/>
      <c r="AU133" s="353"/>
      <c r="AV133" s="353"/>
      <c r="AW133" s="353"/>
      <c r="AX133" s="353"/>
      <c r="AY133" s="353"/>
      <c r="AZ133" s="353"/>
      <c r="BA133" s="353"/>
      <c r="BB133" s="353"/>
      <c r="BC133" s="353"/>
      <c r="BD133" s="353"/>
      <c r="BE133" s="353"/>
      <c r="BF133" s="353"/>
      <c r="BG133" s="353"/>
      <c r="BH133" s="353"/>
      <c r="BI133" s="353"/>
    </row>
    <row r="134" spans="2:61" s="149" customFormat="1">
      <c r="B134" s="353"/>
      <c r="C134" s="353"/>
      <c r="D134" s="353"/>
      <c r="E134" s="353"/>
      <c r="F134" s="353"/>
      <c r="G134" s="353"/>
      <c r="H134" s="353"/>
      <c r="I134" s="353"/>
      <c r="J134" s="353"/>
      <c r="K134" s="353"/>
      <c r="L134" s="353"/>
      <c r="M134" s="355"/>
      <c r="N134" s="353"/>
      <c r="O134" s="353"/>
      <c r="P134" s="353"/>
      <c r="Q134" s="353"/>
      <c r="R134" s="353"/>
      <c r="S134" s="353"/>
      <c r="T134" s="353"/>
      <c r="U134" s="353"/>
      <c r="V134" s="353"/>
      <c r="W134" s="353"/>
      <c r="X134" s="353"/>
      <c r="Y134" s="353"/>
      <c r="Z134" s="353"/>
      <c r="AA134" s="353"/>
      <c r="AB134" s="353"/>
      <c r="AC134" s="353"/>
      <c r="AD134" s="353"/>
      <c r="AE134" s="353"/>
      <c r="AF134" s="353"/>
      <c r="AG134" s="353"/>
      <c r="AH134" s="353"/>
      <c r="AI134" s="353"/>
      <c r="AJ134" s="353"/>
      <c r="AK134" s="353"/>
      <c r="AL134" s="353"/>
      <c r="AM134" s="353"/>
      <c r="AN134" s="353"/>
      <c r="AO134" s="353"/>
      <c r="AP134" s="353"/>
      <c r="AQ134" s="353"/>
      <c r="AR134" s="353"/>
      <c r="AS134" s="353"/>
      <c r="AT134" s="353"/>
      <c r="AU134" s="353"/>
      <c r="AV134" s="353"/>
      <c r="AW134" s="353"/>
      <c r="AX134" s="353"/>
      <c r="AY134" s="353"/>
      <c r="AZ134" s="353"/>
      <c r="BA134" s="353"/>
      <c r="BB134" s="353"/>
      <c r="BC134" s="353"/>
      <c r="BD134" s="353"/>
      <c r="BE134" s="353"/>
      <c r="BF134" s="353"/>
      <c r="BG134" s="353"/>
      <c r="BH134" s="353"/>
      <c r="BI134" s="353"/>
    </row>
    <row r="135" spans="2:61" s="149" customFormat="1">
      <c r="B135" s="353"/>
      <c r="C135" s="353"/>
      <c r="D135" s="353"/>
      <c r="E135" s="353"/>
      <c r="F135" s="353"/>
      <c r="G135" s="353"/>
      <c r="H135" s="353"/>
      <c r="I135" s="353"/>
      <c r="J135" s="353"/>
      <c r="K135" s="353"/>
      <c r="L135" s="353"/>
      <c r="M135" s="355"/>
      <c r="N135" s="353"/>
      <c r="O135" s="353"/>
      <c r="P135" s="353"/>
      <c r="Q135" s="353"/>
      <c r="R135" s="353"/>
      <c r="S135" s="353"/>
      <c r="T135" s="353"/>
      <c r="U135" s="353"/>
      <c r="V135" s="353"/>
      <c r="W135" s="353"/>
      <c r="X135" s="353"/>
      <c r="Y135" s="353"/>
      <c r="Z135" s="353"/>
      <c r="AA135" s="353"/>
      <c r="AB135" s="353"/>
      <c r="AC135" s="353"/>
      <c r="AD135" s="353"/>
      <c r="AE135" s="353"/>
      <c r="AF135" s="353"/>
      <c r="AG135" s="353"/>
      <c r="AH135" s="353"/>
      <c r="AI135" s="353"/>
      <c r="AJ135" s="353"/>
      <c r="AK135" s="353"/>
      <c r="AL135" s="353"/>
      <c r="AM135" s="353"/>
      <c r="AN135" s="353"/>
      <c r="AO135" s="353"/>
      <c r="AP135" s="353"/>
      <c r="AQ135" s="353"/>
      <c r="AR135" s="353"/>
      <c r="AS135" s="353"/>
      <c r="AT135" s="353"/>
      <c r="AU135" s="353"/>
      <c r="AV135" s="353"/>
      <c r="AW135" s="353"/>
      <c r="AX135" s="353"/>
      <c r="AY135" s="353"/>
      <c r="AZ135" s="353"/>
      <c r="BA135" s="353"/>
      <c r="BB135" s="353"/>
      <c r="BC135" s="353"/>
      <c r="BD135" s="353"/>
      <c r="BE135" s="353"/>
      <c r="BF135" s="353"/>
      <c r="BG135" s="353"/>
      <c r="BH135" s="353"/>
      <c r="BI135" s="353"/>
    </row>
    <row r="136" spans="2:61" s="149" customFormat="1">
      <c r="B136" s="353"/>
      <c r="C136" s="353"/>
      <c r="D136" s="353"/>
      <c r="E136" s="353"/>
      <c r="F136" s="353"/>
      <c r="G136" s="353"/>
      <c r="H136" s="353"/>
      <c r="I136" s="353"/>
      <c r="J136" s="353"/>
      <c r="K136" s="353"/>
      <c r="L136" s="353"/>
      <c r="M136" s="355"/>
      <c r="N136" s="353"/>
      <c r="O136" s="353"/>
      <c r="P136" s="353"/>
      <c r="Q136" s="353"/>
      <c r="R136" s="353"/>
      <c r="S136" s="353"/>
      <c r="T136" s="353"/>
      <c r="U136" s="353"/>
      <c r="V136" s="353"/>
      <c r="W136" s="353"/>
      <c r="X136" s="353"/>
      <c r="Y136" s="353"/>
      <c r="Z136" s="353"/>
      <c r="AA136" s="353"/>
      <c r="AB136" s="353"/>
      <c r="AC136" s="353"/>
      <c r="AD136" s="353"/>
      <c r="AE136" s="353"/>
      <c r="AF136" s="353"/>
      <c r="AG136" s="353"/>
      <c r="AH136" s="353"/>
      <c r="AI136" s="353"/>
      <c r="AJ136" s="353"/>
      <c r="AK136" s="353"/>
      <c r="AL136" s="353"/>
      <c r="AM136" s="353"/>
      <c r="AN136" s="353"/>
      <c r="AO136" s="353"/>
      <c r="AP136" s="353"/>
      <c r="AQ136" s="353"/>
      <c r="AR136" s="353"/>
      <c r="AS136" s="353"/>
      <c r="AT136" s="353"/>
      <c r="AU136" s="353"/>
      <c r="AV136" s="353"/>
      <c r="AW136" s="353"/>
      <c r="AX136" s="353"/>
      <c r="AY136" s="353"/>
      <c r="AZ136" s="353"/>
      <c r="BA136" s="353"/>
      <c r="BB136" s="353"/>
      <c r="BC136" s="353"/>
      <c r="BD136" s="353"/>
      <c r="BE136" s="353"/>
      <c r="BF136" s="353"/>
      <c r="BG136" s="353"/>
      <c r="BH136" s="353"/>
      <c r="BI136" s="353"/>
    </row>
    <row r="137" spans="2:61" s="149" customFormat="1"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5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3"/>
      <c r="AH137" s="353"/>
      <c r="AI137" s="353"/>
      <c r="AJ137" s="353"/>
      <c r="AK137" s="353"/>
      <c r="AL137" s="353"/>
      <c r="AM137" s="353"/>
      <c r="AN137" s="353"/>
      <c r="AO137" s="353"/>
      <c r="AP137" s="353"/>
      <c r="AQ137" s="353"/>
      <c r="AR137" s="353"/>
      <c r="AS137" s="353"/>
      <c r="AT137" s="353"/>
      <c r="AU137" s="353"/>
      <c r="AV137" s="353"/>
      <c r="AW137" s="353"/>
      <c r="AX137" s="353"/>
      <c r="AY137" s="353"/>
      <c r="AZ137" s="353"/>
      <c r="BA137" s="353"/>
      <c r="BB137" s="353"/>
      <c r="BC137" s="353"/>
      <c r="BD137" s="353"/>
      <c r="BE137" s="353"/>
      <c r="BF137" s="353"/>
      <c r="BG137" s="353"/>
      <c r="BH137" s="353"/>
      <c r="BI137" s="353"/>
    </row>
    <row r="138" spans="2:61" s="149" customFormat="1">
      <c r="B138" s="353"/>
      <c r="C138" s="353"/>
      <c r="D138" s="353"/>
      <c r="E138" s="353"/>
      <c r="F138" s="353"/>
      <c r="G138" s="353"/>
      <c r="H138" s="353"/>
      <c r="I138" s="353"/>
      <c r="J138" s="353"/>
      <c r="K138" s="353"/>
      <c r="L138" s="353"/>
      <c r="M138" s="355"/>
      <c r="N138" s="353"/>
      <c r="O138" s="353"/>
      <c r="P138" s="353"/>
      <c r="Q138" s="353"/>
      <c r="R138" s="353"/>
      <c r="S138" s="353"/>
      <c r="T138" s="353"/>
      <c r="U138" s="353"/>
      <c r="V138" s="353"/>
      <c r="W138" s="353"/>
      <c r="X138" s="353"/>
      <c r="Y138" s="353"/>
      <c r="Z138" s="353"/>
      <c r="AA138" s="353"/>
      <c r="AB138" s="353"/>
      <c r="AC138" s="353"/>
      <c r="AD138" s="353"/>
      <c r="AE138" s="353"/>
      <c r="AF138" s="353"/>
      <c r="AG138" s="353"/>
      <c r="AH138" s="353"/>
      <c r="AI138" s="353"/>
      <c r="AJ138" s="353"/>
      <c r="AK138" s="353"/>
      <c r="AL138" s="353"/>
      <c r="AM138" s="353"/>
      <c r="AN138" s="353"/>
      <c r="AO138" s="353"/>
      <c r="AP138" s="353"/>
      <c r="AQ138" s="353"/>
      <c r="AR138" s="353"/>
      <c r="AS138" s="353"/>
      <c r="AT138" s="353"/>
      <c r="AU138" s="353"/>
      <c r="AV138" s="353"/>
      <c r="AW138" s="353"/>
      <c r="AX138" s="353"/>
      <c r="AY138" s="353"/>
      <c r="AZ138" s="353"/>
      <c r="BA138" s="353"/>
      <c r="BB138" s="353"/>
      <c r="BC138" s="353"/>
      <c r="BD138" s="353"/>
      <c r="BE138" s="353"/>
      <c r="BF138" s="353"/>
      <c r="BG138" s="353"/>
      <c r="BH138" s="353"/>
      <c r="BI138" s="353"/>
    </row>
    <row r="139" spans="2:61" s="149" customFormat="1">
      <c r="B139" s="353"/>
      <c r="C139" s="353"/>
      <c r="D139" s="353"/>
      <c r="E139" s="353"/>
      <c r="F139" s="353"/>
      <c r="G139" s="353"/>
      <c r="H139" s="353"/>
      <c r="I139" s="353"/>
      <c r="J139" s="353"/>
      <c r="K139" s="353"/>
      <c r="L139" s="353"/>
      <c r="M139" s="355"/>
      <c r="N139" s="353"/>
      <c r="O139" s="353"/>
      <c r="P139" s="353"/>
      <c r="Q139" s="353"/>
      <c r="R139" s="353"/>
      <c r="S139" s="353"/>
      <c r="T139" s="353"/>
      <c r="U139" s="353"/>
      <c r="V139" s="353"/>
      <c r="W139" s="353"/>
      <c r="X139" s="353"/>
      <c r="Y139" s="353"/>
      <c r="Z139" s="353"/>
      <c r="AA139" s="353"/>
      <c r="AB139" s="353"/>
      <c r="AC139" s="353"/>
      <c r="AD139" s="353"/>
      <c r="AE139" s="353"/>
      <c r="AF139" s="353"/>
      <c r="AG139" s="353"/>
      <c r="AH139" s="353"/>
      <c r="AI139" s="353"/>
      <c r="AJ139" s="353"/>
      <c r="AK139" s="353"/>
      <c r="AL139" s="353"/>
      <c r="AM139" s="353"/>
      <c r="AN139" s="353"/>
      <c r="AO139" s="353"/>
      <c r="AP139" s="353"/>
      <c r="AQ139" s="353"/>
      <c r="AR139" s="353"/>
      <c r="AS139" s="353"/>
      <c r="AT139" s="353"/>
      <c r="AU139" s="353"/>
      <c r="AV139" s="353"/>
      <c r="AW139" s="353"/>
      <c r="AX139" s="353"/>
      <c r="AY139" s="353"/>
      <c r="AZ139" s="353"/>
      <c r="BA139" s="353"/>
      <c r="BB139" s="353"/>
      <c r="BC139" s="353"/>
      <c r="BD139" s="353"/>
      <c r="BE139" s="353"/>
      <c r="BF139" s="353"/>
      <c r="BG139" s="353"/>
      <c r="BH139" s="353"/>
      <c r="BI139" s="353"/>
    </row>
    <row r="140" spans="2:61" s="149" customFormat="1">
      <c r="B140" s="353"/>
      <c r="C140" s="353"/>
      <c r="D140" s="353"/>
      <c r="E140" s="353"/>
      <c r="F140" s="353"/>
      <c r="G140" s="353"/>
      <c r="H140" s="353"/>
      <c r="I140" s="353"/>
      <c r="J140" s="353"/>
      <c r="K140" s="353"/>
      <c r="L140" s="353"/>
      <c r="M140" s="355"/>
      <c r="N140" s="353"/>
      <c r="O140" s="353"/>
      <c r="P140" s="353"/>
      <c r="Q140" s="353"/>
      <c r="R140" s="353"/>
      <c r="S140" s="353"/>
      <c r="T140" s="353"/>
      <c r="U140" s="353"/>
      <c r="V140" s="353"/>
      <c r="W140" s="353"/>
      <c r="X140" s="353"/>
      <c r="Y140" s="353"/>
      <c r="Z140" s="353"/>
      <c r="AA140" s="353"/>
      <c r="AB140" s="353"/>
      <c r="AC140" s="353"/>
      <c r="AD140" s="353"/>
      <c r="AE140" s="353"/>
      <c r="AF140" s="353"/>
      <c r="AG140" s="353"/>
      <c r="AH140" s="353"/>
      <c r="AI140" s="353"/>
      <c r="AJ140" s="353"/>
      <c r="AK140" s="353"/>
      <c r="AL140" s="353"/>
      <c r="AM140" s="353"/>
      <c r="AN140" s="353"/>
      <c r="AO140" s="353"/>
      <c r="AP140" s="353"/>
      <c r="AQ140" s="353"/>
      <c r="AR140" s="353"/>
      <c r="AS140" s="353"/>
      <c r="AT140" s="353"/>
      <c r="AU140" s="353"/>
      <c r="AV140" s="353"/>
      <c r="AW140" s="353"/>
      <c r="AX140" s="353"/>
      <c r="AY140" s="353"/>
      <c r="AZ140" s="353"/>
      <c r="BA140" s="353"/>
      <c r="BB140" s="353"/>
      <c r="BC140" s="353"/>
      <c r="BD140" s="353"/>
      <c r="BE140" s="353"/>
      <c r="BF140" s="353"/>
      <c r="BG140" s="353"/>
      <c r="BH140" s="353"/>
      <c r="BI140" s="353"/>
    </row>
    <row r="141" spans="2:61" s="149" customFormat="1">
      <c r="B141" s="353"/>
      <c r="C141" s="353"/>
      <c r="D141" s="353"/>
      <c r="E141" s="353"/>
      <c r="F141" s="353"/>
      <c r="G141" s="353"/>
      <c r="H141" s="353"/>
      <c r="I141" s="353"/>
      <c r="J141" s="353"/>
      <c r="K141" s="353"/>
      <c r="L141" s="353"/>
      <c r="M141" s="355"/>
      <c r="N141" s="353"/>
      <c r="O141" s="353"/>
      <c r="P141" s="353"/>
      <c r="Q141" s="353"/>
      <c r="R141" s="353"/>
      <c r="S141" s="353"/>
      <c r="T141" s="353"/>
      <c r="U141" s="353"/>
      <c r="V141" s="353"/>
      <c r="W141" s="353"/>
      <c r="X141" s="353"/>
      <c r="Y141" s="353"/>
      <c r="Z141" s="353"/>
      <c r="AA141" s="353"/>
      <c r="AB141" s="353"/>
      <c r="AC141" s="353"/>
      <c r="AD141" s="353"/>
      <c r="AE141" s="353"/>
      <c r="AF141" s="353"/>
      <c r="AG141" s="353"/>
      <c r="AH141" s="353"/>
      <c r="AI141" s="353"/>
      <c r="AJ141" s="353"/>
      <c r="AK141" s="353"/>
      <c r="AL141" s="353"/>
      <c r="AM141" s="353"/>
      <c r="AN141" s="353"/>
      <c r="AO141" s="353"/>
      <c r="AP141" s="353"/>
      <c r="AQ141" s="353"/>
      <c r="AR141" s="353"/>
      <c r="AS141" s="353"/>
      <c r="AT141" s="353"/>
      <c r="AU141" s="353"/>
      <c r="AV141" s="353"/>
      <c r="AW141" s="353"/>
      <c r="AX141" s="353"/>
      <c r="AY141" s="353"/>
      <c r="AZ141" s="353"/>
      <c r="BA141" s="353"/>
      <c r="BB141" s="353"/>
      <c r="BC141" s="353"/>
      <c r="BD141" s="353"/>
      <c r="BE141" s="353"/>
      <c r="BF141" s="353"/>
      <c r="BG141" s="353"/>
      <c r="BH141" s="353"/>
      <c r="BI141" s="353"/>
    </row>
    <row r="142" spans="2:61" s="149" customFormat="1">
      <c r="B142" s="353"/>
      <c r="C142" s="353"/>
      <c r="D142" s="353"/>
      <c r="E142" s="353"/>
      <c r="F142" s="353"/>
      <c r="G142" s="353"/>
      <c r="H142" s="353"/>
      <c r="I142" s="353"/>
      <c r="J142" s="353"/>
      <c r="K142" s="353"/>
      <c r="L142" s="353"/>
      <c r="M142" s="355"/>
      <c r="N142" s="353"/>
      <c r="O142" s="353"/>
      <c r="P142" s="353"/>
      <c r="Q142" s="353"/>
      <c r="R142" s="353"/>
      <c r="S142" s="353"/>
      <c r="T142" s="353"/>
      <c r="U142" s="353"/>
      <c r="V142" s="353"/>
      <c r="W142" s="353"/>
      <c r="X142" s="353"/>
      <c r="Y142" s="353"/>
      <c r="Z142" s="353"/>
      <c r="AA142" s="353"/>
      <c r="AB142" s="353"/>
      <c r="AC142" s="353"/>
      <c r="AD142" s="353"/>
      <c r="AE142" s="353"/>
      <c r="AF142" s="353"/>
      <c r="AG142" s="353"/>
      <c r="AH142" s="353"/>
      <c r="AI142" s="353"/>
      <c r="AJ142" s="353"/>
      <c r="AK142" s="353"/>
      <c r="AL142" s="353"/>
      <c r="AM142" s="353"/>
      <c r="AN142" s="353"/>
      <c r="AO142" s="353"/>
      <c r="AP142" s="353"/>
      <c r="AQ142" s="353"/>
      <c r="AR142" s="353"/>
      <c r="AS142" s="353"/>
      <c r="AT142" s="353"/>
      <c r="AU142" s="353"/>
      <c r="AV142" s="353"/>
      <c r="AW142" s="353"/>
      <c r="AX142" s="353"/>
      <c r="AY142" s="353"/>
      <c r="AZ142" s="353"/>
      <c r="BA142" s="353"/>
      <c r="BB142" s="353"/>
      <c r="BC142" s="353"/>
      <c r="BD142" s="353"/>
      <c r="BE142" s="353"/>
      <c r="BF142" s="353"/>
      <c r="BG142" s="353"/>
      <c r="BH142" s="353"/>
      <c r="BI142" s="353"/>
    </row>
    <row r="143" spans="2:61" s="149" customFormat="1">
      <c r="B143" s="353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5"/>
      <c r="N143" s="353"/>
      <c r="O143" s="353"/>
      <c r="P143" s="353"/>
      <c r="Q143" s="353"/>
      <c r="R143" s="353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53"/>
      <c r="AC143" s="353"/>
      <c r="AD143" s="353"/>
      <c r="AE143" s="353"/>
      <c r="AF143" s="353"/>
      <c r="AG143" s="353"/>
      <c r="AH143" s="353"/>
      <c r="AI143" s="353"/>
      <c r="AJ143" s="353"/>
      <c r="AK143" s="353"/>
      <c r="AL143" s="353"/>
      <c r="AM143" s="353"/>
      <c r="AN143" s="353"/>
      <c r="AO143" s="353"/>
      <c r="AP143" s="353"/>
      <c r="AQ143" s="353"/>
      <c r="AR143" s="353"/>
      <c r="AS143" s="353"/>
      <c r="AT143" s="353"/>
      <c r="AU143" s="353"/>
      <c r="AV143" s="353"/>
      <c r="AW143" s="353"/>
      <c r="AX143" s="353"/>
      <c r="AY143" s="353"/>
      <c r="AZ143" s="353"/>
      <c r="BA143" s="353"/>
      <c r="BB143" s="353"/>
      <c r="BC143" s="353"/>
      <c r="BD143" s="353"/>
      <c r="BE143" s="353"/>
      <c r="BF143" s="353"/>
      <c r="BG143" s="353"/>
      <c r="BH143" s="353"/>
      <c r="BI143" s="353"/>
    </row>
    <row r="144" spans="2:61" s="149" customFormat="1">
      <c r="B144" s="353"/>
      <c r="C144" s="353"/>
      <c r="D144" s="353"/>
      <c r="E144" s="353"/>
      <c r="F144" s="353"/>
      <c r="G144" s="353"/>
      <c r="H144" s="353"/>
      <c r="I144" s="353"/>
      <c r="J144" s="353"/>
      <c r="K144" s="353"/>
      <c r="L144" s="353"/>
      <c r="M144" s="355"/>
      <c r="N144" s="353"/>
      <c r="O144" s="353"/>
      <c r="P144" s="353"/>
      <c r="Q144" s="353"/>
      <c r="R144" s="353"/>
      <c r="S144" s="353"/>
      <c r="T144" s="353"/>
      <c r="U144" s="353"/>
      <c r="V144" s="353"/>
      <c r="W144" s="353"/>
      <c r="X144" s="353"/>
      <c r="Y144" s="353"/>
      <c r="Z144" s="353"/>
      <c r="AA144" s="353"/>
      <c r="AB144" s="353"/>
      <c r="AC144" s="353"/>
      <c r="AD144" s="353"/>
      <c r="AE144" s="353"/>
      <c r="AF144" s="353"/>
      <c r="AG144" s="353"/>
      <c r="AH144" s="353"/>
      <c r="AI144" s="353"/>
      <c r="AJ144" s="353"/>
      <c r="AK144" s="353"/>
      <c r="AL144" s="353"/>
      <c r="AM144" s="353"/>
      <c r="AN144" s="353"/>
      <c r="AO144" s="353"/>
      <c r="AP144" s="353"/>
      <c r="AQ144" s="353"/>
      <c r="AR144" s="353"/>
      <c r="AS144" s="353"/>
      <c r="AT144" s="353"/>
      <c r="AU144" s="353"/>
      <c r="AV144" s="353"/>
      <c r="AW144" s="353"/>
      <c r="AX144" s="353"/>
      <c r="AY144" s="353"/>
      <c r="AZ144" s="353"/>
      <c r="BA144" s="353"/>
      <c r="BB144" s="353"/>
      <c r="BC144" s="353"/>
      <c r="BD144" s="353"/>
      <c r="BE144" s="353"/>
      <c r="BF144" s="353"/>
      <c r="BG144" s="353"/>
      <c r="BH144" s="353"/>
      <c r="BI144" s="353"/>
    </row>
    <row r="145" spans="2:61" s="149" customFormat="1">
      <c r="B145" s="353"/>
      <c r="C145" s="353"/>
      <c r="D145" s="353"/>
      <c r="E145" s="353"/>
      <c r="F145" s="353"/>
      <c r="G145" s="353"/>
      <c r="H145" s="353"/>
      <c r="I145" s="353"/>
      <c r="J145" s="353"/>
      <c r="K145" s="353"/>
      <c r="L145" s="353"/>
      <c r="M145" s="355"/>
      <c r="N145" s="353"/>
      <c r="O145" s="353"/>
      <c r="P145" s="353"/>
      <c r="Q145" s="353"/>
      <c r="R145" s="353"/>
      <c r="S145" s="353"/>
      <c r="T145" s="353"/>
      <c r="U145" s="353"/>
      <c r="V145" s="353"/>
      <c r="W145" s="353"/>
      <c r="X145" s="353"/>
      <c r="Y145" s="353"/>
      <c r="Z145" s="353"/>
      <c r="AA145" s="353"/>
      <c r="AB145" s="353"/>
      <c r="AC145" s="353"/>
      <c r="AD145" s="353"/>
      <c r="AE145" s="353"/>
      <c r="AF145" s="353"/>
      <c r="AG145" s="353"/>
      <c r="AH145" s="353"/>
      <c r="AI145" s="353"/>
      <c r="AJ145" s="353"/>
      <c r="AK145" s="353"/>
      <c r="AL145" s="353"/>
      <c r="AM145" s="353"/>
      <c r="AN145" s="353"/>
      <c r="AO145" s="353"/>
      <c r="AP145" s="353"/>
      <c r="AQ145" s="353"/>
      <c r="AR145" s="353"/>
      <c r="AS145" s="353"/>
      <c r="AT145" s="353"/>
      <c r="AU145" s="353"/>
      <c r="AV145" s="353"/>
      <c r="AW145" s="353"/>
      <c r="AX145" s="353"/>
      <c r="AY145" s="353"/>
      <c r="AZ145" s="353"/>
      <c r="BA145" s="353"/>
      <c r="BB145" s="353"/>
      <c r="BC145" s="353"/>
      <c r="BD145" s="353"/>
      <c r="BE145" s="353"/>
      <c r="BF145" s="353"/>
      <c r="BG145" s="353"/>
      <c r="BH145" s="353"/>
      <c r="BI145" s="353"/>
    </row>
    <row r="146" spans="2:61" s="149" customFormat="1">
      <c r="B146" s="353"/>
      <c r="C146" s="353"/>
      <c r="D146" s="353"/>
      <c r="E146" s="353"/>
      <c r="F146" s="353"/>
      <c r="G146" s="353"/>
      <c r="H146" s="353"/>
      <c r="I146" s="353"/>
      <c r="J146" s="353"/>
      <c r="K146" s="353"/>
      <c r="L146" s="353"/>
      <c r="M146" s="355"/>
      <c r="N146" s="353"/>
      <c r="O146" s="353"/>
      <c r="P146" s="353"/>
      <c r="Q146" s="353"/>
      <c r="R146" s="353"/>
      <c r="S146" s="353"/>
      <c r="T146" s="353"/>
      <c r="U146" s="353"/>
      <c r="V146" s="353"/>
      <c r="W146" s="353"/>
      <c r="X146" s="353"/>
      <c r="Y146" s="353"/>
      <c r="Z146" s="353"/>
      <c r="AA146" s="353"/>
      <c r="AB146" s="353"/>
      <c r="AC146" s="353"/>
      <c r="AD146" s="353"/>
      <c r="AE146" s="353"/>
      <c r="AF146" s="353"/>
      <c r="AG146" s="353"/>
      <c r="AH146" s="353"/>
      <c r="AI146" s="353"/>
      <c r="AJ146" s="353"/>
      <c r="AK146" s="353"/>
      <c r="AL146" s="353"/>
      <c r="AM146" s="353"/>
      <c r="AN146" s="353"/>
      <c r="AO146" s="353"/>
      <c r="AP146" s="353"/>
      <c r="AQ146" s="353"/>
      <c r="AR146" s="353"/>
      <c r="AS146" s="353"/>
      <c r="AT146" s="353"/>
      <c r="AU146" s="353"/>
      <c r="AV146" s="353"/>
      <c r="AW146" s="353"/>
      <c r="AX146" s="353"/>
      <c r="AY146" s="353"/>
      <c r="AZ146" s="353"/>
      <c r="BA146" s="353"/>
      <c r="BB146" s="353"/>
      <c r="BC146" s="353"/>
      <c r="BD146" s="353"/>
      <c r="BE146" s="353"/>
      <c r="BF146" s="353"/>
      <c r="BG146" s="353"/>
      <c r="BH146" s="353"/>
      <c r="BI146" s="353"/>
    </row>
    <row r="147" spans="2:61" s="149" customFormat="1">
      <c r="B147" s="353"/>
      <c r="C147" s="353"/>
      <c r="D147" s="353"/>
      <c r="E147" s="353"/>
      <c r="F147" s="353"/>
      <c r="G147" s="353"/>
      <c r="H147" s="353"/>
      <c r="I147" s="353"/>
      <c r="J147" s="353"/>
      <c r="K147" s="353"/>
      <c r="L147" s="353"/>
      <c r="M147" s="355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3"/>
      <c r="AD147" s="353"/>
      <c r="AE147" s="353"/>
      <c r="AF147" s="353"/>
      <c r="AG147" s="353"/>
      <c r="AH147" s="353"/>
      <c r="AI147" s="353"/>
      <c r="AJ147" s="353"/>
      <c r="AK147" s="353"/>
      <c r="AL147" s="353"/>
      <c r="AM147" s="353"/>
      <c r="AN147" s="353"/>
      <c r="AO147" s="353"/>
      <c r="AP147" s="353"/>
      <c r="AQ147" s="353"/>
      <c r="AR147" s="353"/>
      <c r="AS147" s="353"/>
      <c r="AT147" s="353"/>
      <c r="AU147" s="353"/>
      <c r="AV147" s="353"/>
      <c r="AW147" s="353"/>
      <c r="AX147" s="353"/>
      <c r="AY147" s="353"/>
      <c r="AZ147" s="353"/>
      <c r="BA147" s="353"/>
      <c r="BB147" s="353"/>
      <c r="BC147" s="353"/>
      <c r="BD147" s="353"/>
      <c r="BE147" s="353"/>
      <c r="BF147" s="353"/>
      <c r="BG147" s="353"/>
      <c r="BH147" s="353"/>
      <c r="BI147" s="353"/>
    </row>
    <row r="148" spans="2:61" s="149" customFormat="1">
      <c r="B148" s="353"/>
      <c r="C148" s="353"/>
      <c r="D148" s="353"/>
      <c r="E148" s="353"/>
      <c r="F148" s="353"/>
      <c r="G148" s="353"/>
      <c r="H148" s="353"/>
      <c r="I148" s="353"/>
      <c r="J148" s="353"/>
      <c r="K148" s="353"/>
      <c r="L148" s="353"/>
      <c r="M148" s="355"/>
      <c r="N148" s="353"/>
      <c r="O148" s="353"/>
      <c r="P148" s="353"/>
      <c r="Q148" s="353"/>
      <c r="R148" s="353"/>
      <c r="S148" s="353"/>
      <c r="T148" s="353"/>
      <c r="U148" s="353"/>
      <c r="V148" s="353"/>
      <c r="W148" s="353"/>
      <c r="X148" s="353"/>
      <c r="Y148" s="353"/>
      <c r="Z148" s="353"/>
      <c r="AA148" s="353"/>
      <c r="AB148" s="353"/>
      <c r="AC148" s="353"/>
      <c r="AD148" s="353"/>
      <c r="AE148" s="353"/>
      <c r="AF148" s="353"/>
      <c r="AG148" s="353"/>
      <c r="AH148" s="353"/>
      <c r="AI148" s="353"/>
      <c r="AJ148" s="353"/>
      <c r="AK148" s="353"/>
      <c r="AL148" s="353"/>
      <c r="AM148" s="353"/>
      <c r="AN148" s="353"/>
      <c r="AO148" s="353"/>
      <c r="AP148" s="353"/>
      <c r="AQ148" s="353"/>
      <c r="AR148" s="353"/>
      <c r="AS148" s="353"/>
      <c r="AT148" s="353"/>
      <c r="AU148" s="353"/>
      <c r="AV148" s="353"/>
      <c r="AW148" s="353"/>
      <c r="AX148" s="353"/>
      <c r="AY148" s="353"/>
      <c r="AZ148" s="353"/>
      <c r="BA148" s="353"/>
      <c r="BB148" s="353"/>
      <c r="BC148" s="353"/>
      <c r="BD148" s="353"/>
      <c r="BE148" s="353"/>
      <c r="BF148" s="353"/>
      <c r="BG148" s="353"/>
      <c r="BH148" s="353"/>
      <c r="BI148" s="353"/>
    </row>
    <row r="149" spans="2:61" s="149" customFormat="1">
      <c r="B149" s="353"/>
      <c r="C149" s="353"/>
      <c r="D149" s="353"/>
      <c r="E149" s="353"/>
      <c r="F149" s="353"/>
      <c r="G149" s="353"/>
      <c r="H149" s="353"/>
      <c r="I149" s="353"/>
      <c r="J149" s="353"/>
      <c r="K149" s="353"/>
      <c r="L149" s="353"/>
      <c r="M149" s="355"/>
      <c r="N149" s="353"/>
      <c r="O149" s="353"/>
      <c r="P149" s="353"/>
      <c r="Q149" s="353"/>
      <c r="R149" s="353"/>
      <c r="S149" s="353"/>
      <c r="T149" s="353"/>
      <c r="U149" s="353"/>
      <c r="V149" s="353"/>
      <c r="W149" s="353"/>
      <c r="X149" s="353"/>
      <c r="Y149" s="353"/>
      <c r="Z149" s="353"/>
      <c r="AA149" s="353"/>
      <c r="AB149" s="353"/>
      <c r="AC149" s="353"/>
      <c r="AD149" s="353"/>
      <c r="AE149" s="353"/>
      <c r="AF149" s="353"/>
      <c r="AG149" s="353"/>
      <c r="AH149" s="353"/>
      <c r="AI149" s="353"/>
      <c r="AJ149" s="353"/>
      <c r="AK149" s="353"/>
      <c r="AL149" s="353"/>
      <c r="AM149" s="353"/>
      <c r="AN149" s="353"/>
      <c r="AO149" s="353"/>
      <c r="AP149" s="353"/>
      <c r="AQ149" s="353"/>
      <c r="AR149" s="353"/>
      <c r="AS149" s="353"/>
      <c r="AT149" s="353"/>
      <c r="AU149" s="353"/>
      <c r="AV149" s="353"/>
      <c r="AW149" s="353"/>
      <c r="AX149" s="353"/>
      <c r="AY149" s="353"/>
      <c r="AZ149" s="353"/>
      <c r="BA149" s="353"/>
      <c r="BB149" s="353"/>
      <c r="BC149" s="353"/>
      <c r="BD149" s="353"/>
      <c r="BE149" s="353"/>
      <c r="BF149" s="353"/>
      <c r="BG149" s="353"/>
      <c r="BH149" s="353"/>
      <c r="BI149" s="353"/>
    </row>
    <row r="150" spans="2:61" s="149" customFormat="1">
      <c r="B150" s="353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5"/>
      <c r="N150" s="353"/>
      <c r="O150" s="353"/>
      <c r="P150" s="353"/>
      <c r="Q150" s="353"/>
      <c r="R150" s="353"/>
      <c r="S150" s="353"/>
      <c r="T150" s="353"/>
      <c r="U150" s="353"/>
      <c r="V150" s="353"/>
      <c r="W150" s="353"/>
      <c r="X150" s="353"/>
      <c r="Y150" s="353"/>
      <c r="Z150" s="353"/>
      <c r="AA150" s="353"/>
      <c r="AB150" s="353"/>
      <c r="AC150" s="353"/>
      <c r="AD150" s="353"/>
      <c r="AE150" s="353"/>
      <c r="AF150" s="353"/>
      <c r="AG150" s="353"/>
      <c r="AH150" s="353"/>
      <c r="AI150" s="353"/>
      <c r="AJ150" s="353"/>
      <c r="AK150" s="353"/>
      <c r="AL150" s="353"/>
      <c r="AM150" s="353"/>
      <c r="AN150" s="353"/>
      <c r="AO150" s="353"/>
      <c r="AP150" s="353"/>
      <c r="AQ150" s="353"/>
      <c r="AR150" s="353"/>
      <c r="AS150" s="353"/>
      <c r="AT150" s="353"/>
      <c r="AU150" s="353"/>
      <c r="AV150" s="353"/>
      <c r="AW150" s="353"/>
      <c r="AX150" s="353"/>
      <c r="AY150" s="353"/>
      <c r="AZ150" s="353"/>
      <c r="BA150" s="353"/>
      <c r="BB150" s="353"/>
      <c r="BC150" s="353"/>
      <c r="BD150" s="353"/>
      <c r="BE150" s="353"/>
      <c r="BF150" s="353"/>
      <c r="BG150" s="353"/>
      <c r="BH150" s="353"/>
      <c r="BI150" s="353"/>
    </row>
    <row r="151" spans="2:61" s="149" customFormat="1">
      <c r="B151" s="353"/>
      <c r="C151" s="353"/>
      <c r="D151" s="353"/>
      <c r="E151" s="353"/>
      <c r="F151" s="353"/>
      <c r="G151" s="353"/>
      <c r="H151" s="353"/>
      <c r="I151" s="353"/>
      <c r="J151" s="353"/>
      <c r="K151" s="353"/>
      <c r="L151" s="353"/>
      <c r="M151" s="355"/>
      <c r="N151" s="353"/>
      <c r="O151" s="353"/>
      <c r="P151" s="353"/>
      <c r="Q151" s="353"/>
      <c r="R151" s="353"/>
      <c r="S151" s="353"/>
      <c r="T151" s="353"/>
      <c r="U151" s="353"/>
      <c r="V151" s="353"/>
      <c r="W151" s="353"/>
      <c r="X151" s="353"/>
      <c r="Y151" s="353"/>
      <c r="Z151" s="353"/>
      <c r="AA151" s="353"/>
      <c r="AB151" s="353"/>
      <c r="AC151" s="353"/>
      <c r="AD151" s="353"/>
      <c r="AE151" s="353"/>
      <c r="AF151" s="353"/>
      <c r="AG151" s="353"/>
      <c r="AH151" s="353"/>
      <c r="AI151" s="353"/>
      <c r="AJ151" s="353"/>
      <c r="AK151" s="353"/>
      <c r="AL151" s="353"/>
      <c r="AM151" s="353"/>
      <c r="AN151" s="353"/>
      <c r="AO151" s="353"/>
      <c r="AP151" s="353"/>
      <c r="AQ151" s="353"/>
      <c r="AR151" s="353"/>
      <c r="AS151" s="353"/>
      <c r="AT151" s="353"/>
      <c r="AU151" s="353"/>
      <c r="AV151" s="353"/>
      <c r="AW151" s="353"/>
      <c r="AX151" s="353"/>
      <c r="AY151" s="353"/>
      <c r="AZ151" s="353"/>
      <c r="BA151" s="353"/>
      <c r="BB151" s="353"/>
      <c r="BC151" s="353"/>
      <c r="BD151" s="353"/>
      <c r="BE151" s="353"/>
      <c r="BF151" s="353"/>
      <c r="BG151" s="353"/>
      <c r="BH151" s="353"/>
      <c r="BI151" s="353"/>
    </row>
    <row r="152" spans="2:61" s="149" customFormat="1">
      <c r="B152" s="353"/>
      <c r="C152" s="353"/>
      <c r="D152" s="353"/>
      <c r="E152" s="353"/>
      <c r="F152" s="353"/>
      <c r="G152" s="353"/>
      <c r="H152" s="353"/>
      <c r="I152" s="353"/>
      <c r="J152" s="353"/>
      <c r="K152" s="353"/>
      <c r="L152" s="353"/>
      <c r="M152" s="355"/>
      <c r="N152" s="353"/>
      <c r="O152" s="353"/>
      <c r="P152" s="353"/>
      <c r="Q152" s="353"/>
      <c r="R152" s="353"/>
      <c r="S152" s="353"/>
      <c r="T152" s="353"/>
      <c r="U152" s="353"/>
      <c r="V152" s="353"/>
      <c r="W152" s="353"/>
      <c r="X152" s="353"/>
      <c r="Y152" s="353"/>
      <c r="Z152" s="353"/>
      <c r="AA152" s="353"/>
      <c r="AB152" s="353"/>
      <c r="AC152" s="353"/>
      <c r="AD152" s="353"/>
      <c r="AE152" s="353"/>
      <c r="AF152" s="353"/>
      <c r="AG152" s="353"/>
      <c r="AH152" s="353"/>
      <c r="AI152" s="353"/>
      <c r="AJ152" s="353"/>
      <c r="AK152" s="353"/>
      <c r="AL152" s="353"/>
      <c r="AM152" s="353"/>
      <c r="AN152" s="353"/>
      <c r="AO152" s="353"/>
      <c r="AP152" s="353"/>
      <c r="AQ152" s="353"/>
      <c r="AR152" s="353"/>
      <c r="AS152" s="353"/>
      <c r="AT152" s="353"/>
      <c r="AU152" s="353"/>
      <c r="AV152" s="353"/>
      <c r="AW152" s="353"/>
      <c r="AX152" s="353"/>
      <c r="AY152" s="353"/>
      <c r="AZ152" s="353"/>
      <c r="BA152" s="353"/>
      <c r="BB152" s="353"/>
      <c r="BC152" s="353"/>
      <c r="BD152" s="353"/>
      <c r="BE152" s="353"/>
      <c r="BF152" s="353"/>
      <c r="BG152" s="353"/>
      <c r="BH152" s="353"/>
      <c r="BI152" s="353"/>
    </row>
    <row r="153" spans="2:61" s="149" customFormat="1">
      <c r="B153" s="353"/>
      <c r="C153" s="353"/>
      <c r="D153" s="353"/>
      <c r="E153" s="353"/>
      <c r="F153" s="353"/>
      <c r="G153" s="353"/>
      <c r="H153" s="353"/>
      <c r="I153" s="353"/>
      <c r="J153" s="353"/>
      <c r="K153" s="353"/>
      <c r="L153" s="353"/>
      <c r="M153" s="355"/>
      <c r="N153" s="353"/>
      <c r="O153" s="353"/>
      <c r="P153" s="353"/>
      <c r="Q153" s="353"/>
      <c r="R153" s="353"/>
      <c r="S153" s="353"/>
      <c r="T153" s="353"/>
      <c r="U153" s="353"/>
      <c r="V153" s="353"/>
      <c r="W153" s="353"/>
      <c r="X153" s="353"/>
      <c r="Y153" s="353"/>
      <c r="Z153" s="353"/>
      <c r="AA153" s="353"/>
      <c r="AB153" s="353"/>
      <c r="AC153" s="353"/>
      <c r="AD153" s="353"/>
      <c r="AE153" s="353"/>
      <c r="AF153" s="353"/>
      <c r="AG153" s="353"/>
      <c r="AH153" s="353"/>
      <c r="AI153" s="353"/>
      <c r="AJ153" s="353"/>
      <c r="AK153" s="353"/>
      <c r="AL153" s="353"/>
      <c r="AM153" s="353"/>
      <c r="AN153" s="353"/>
      <c r="AO153" s="353"/>
      <c r="AP153" s="353"/>
      <c r="AQ153" s="353"/>
      <c r="AR153" s="353"/>
      <c r="AS153" s="353"/>
      <c r="AT153" s="353"/>
      <c r="AU153" s="353"/>
      <c r="AV153" s="353"/>
      <c r="AW153" s="353"/>
      <c r="AX153" s="353"/>
      <c r="AY153" s="353"/>
      <c r="AZ153" s="353"/>
      <c r="BA153" s="353"/>
      <c r="BB153" s="353"/>
      <c r="BC153" s="353"/>
      <c r="BD153" s="353"/>
      <c r="BE153" s="353"/>
      <c r="BF153" s="353"/>
      <c r="BG153" s="353"/>
      <c r="BH153" s="353"/>
      <c r="BI153" s="353"/>
    </row>
    <row r="154" spans="2:61" s="149" customFormat="1">
      <c r="B154" s="353"/>
      <c r="C154" s="353"/>
      <c r="D154" s="353"/>
      <c r="E154" s="353"/>
      <c r="F154" s="353"/>
      <c r="G154" s="353"/>
      <c r="H154" s="353"/>
      <c r="I154" s="353"/>
      <c r="J154" s="353"/>
      <c r="K154" s="353"/>
      <c r="L154" s="353"/>
      <c r="M154" s="355"/>
      <c r="N154" s="353"/>
      <c r="O154" s="353"/>
      <c r="P154" s="353"/>
      <c r="Q154" s="353"/>
      <c r="R154" s="353"/>
      <c r="S154" s="353"/>
      <c r="T154" s="353"/>
      <c r="U154" s="353"/>
      <c r="V154" s="353"/>
      <c r="W154" s="353"/>
      <c r="X154" s="353"/>
      <c r="Y154" s="353"/>
      <c r="Z154" s="353"/>
      <c r="AA154" s="353"/>
      <c r="AB154" s="353"/>
      <c r="AC154" s="353"/>
      <c r="AD154" s="353"/>
      <c r="AE154" s="353"/>
      <c r="AF154" s="353"/>
      <c r="AG154" s="353"/>
      <c r="AH154" s="353"/>
      <c r="AI154" s="353"/>
      <c r="AJ154" s="353"/>
      <c r="AK154" s="353"/>
      <c r="AL154" s="353"/>
      <c r="AM154" s="353"/>
      <c r="AN154" s="353"/>
      <c r="AO154" s="353"/>
      <c r="AP154" s="353"/>
      <c r="AQ154" s="353"/>
      <c r="AR154" s="353"/>
      <c r="AS154" s="353"/>
      <c r="AT154" s="353"/>
      <c r="AU154" s="353"/>
      <c r="AV154" s="353"/>
      <c r="AW154" s="353"/>
      <c r="AX154" s="353"/>
      <c r="AY154" s="353"/>
      <c r="AZ154" s="353"/>
      <c r="BA154" s="353"/>
      <c r="BB154" s="353"/>
      <c r="BC154" s="353"/>
      <c r="BD154" s="353"/>
      <c r="BE154" s="353"/>
      <c r="BF154" s="353"/>
      <c r="BG154" s="353"/>
      <c r="BH154" s="353"/>
      <c r="BI154" s="353"/>
    </row>
    <row r="155" spans="2:61" s="149" customFormat="1">
      <c r="B155" s="353"/>
      <c r="C155" s="353"/>
      <c r="D155" s="353"/>
      <c r="E155" s="353"/>
      <c r="F155" s="353"/>
      <c r="G155" s="353"/>
      <c r="H155" s="353"/>
      <c r="I155" s="353"/>
      <c r="J155" s="353"/>
      <c r="K155" s="353"/>
      <c r="L155" s="353"/>
      <c r="M155" s="355"/>
      <c r="N155" s="353"/>
      <c r="O155" s="353"/>
      <c r="P155" s="353"/>
      <c r="Q155" s="353"/>
      <c r="R155" s="353"/>
      <c r="S155" s="353"/>
      <c r="T155" s="353"/>
      <c r="U155" s="353"/>
      <c r="V155" s="353"/>
      <c r="W155" s="353"/>
      <c r="X155" s="353"/>
      <c r="Y155" s="353"/>
      <c r="Z155" s="353"/>
      <c r="AA155" s="353"/>
      <c r="AB155" s="353"/>
      <c r="AC155" s="353"/>
      <c r="AD155" s="353"/>
      <c r="AE155" s="353"/>
      <c r="AF155" s="353"/>
      <c r="AG155" s="353"/>
      <c r="AH155" s="353"/>
      <c r="AI155" s="353"/>
      <c r="AJ155" s="353"/>
      <c r="AK155" s="353"/>
      <c r="AL155" s="353"/>
      <c r="AM155" s="353"/>
      <c r="AN155" s="353"/>
      <c r="AO155" s="353"/>
      <c r="AP155" s="353"/>
      <c r="AQ155" s="353"/>
      <c r="AR155" s="353"/>
      <c r="AS155" s="353"/>
      <c r="AT155" s="353"/>
      <c r="AU155" s="353"/>
      <c r="AV155" s="353"/>
      <c r="AW155" s="353"/>
      <c r="AX155" s="353"/>
      <c r="AY155" s="353"/>
      <c r="AZ155" s="353"/>
      <c r="BA155" s="353"/>
      <c r="BB155" s="353"/>
      <c r="BC155" s="353"/>
      <c r="BD155" s="353"/>
      <c r="BE155" s="353"/>
      <c r="BF155" s="353"/>
      <c r="BG155" s="353"/>
      <c r="BH155" s="353"/>
      <c r="BI155" s="353"/>
    </row>
    <row r="156" spans="2:61" s="149" customFormat="1">
      <c r="B156" s="353"/>
      <c r="C156" s="353"/>
      <c r="D156" s="353"/>
      <c r="E156" s="353"/>
      <c r="F156" s="353"/>
      <c r="G156" s="353"/>
      <c r="H156" s="353"/>
      <c r="I156" s="353"/>
      <c r="J156" s="353"/>
      <c r="K156" s="353"/>
      <c r="L156" s="353"/>
      <c r="M156" s="355"/>
      <c r="N156" s="353"/>
      <c r="O156" s="353"/>
      <c r="P156" s="353"/>
      <c r="Q156" s="353"/>
      <c r="R156" s="353"/>
      <c r="S156" s="353"/>
      <c r="T156" s="353"/>
      <c r="U156" s="353"/>
      <c r="V156" s="353"/>
      <c r="W156" s="353"/>
      <c r="X156" s="353"/>
      <c r="Y156" s="353"/>
      <c r="Z156" s="353"/>
      <c r="AA156" s="353"/>
      <c r="AB156" s="353"/>
      <c r="AC156" s="353"/>
      <c r="AD156" s="353"/>
      <c r="AE156" s="353"/>
      <c r="AF156" s="353"/>
      <c r="AG156" s="353"/>
      <c r="AH156" s="353"/>
      <c r="AI156" s="353"/>
      <c r="AJ156" s="353"/>
      <c r="AK156" s="353"/>
      <c r="AL156" s="353"/>
      <c r="AM156" s="353"/>
      <c r="AN156" s="353"/>
      <c r="AO156" s="353"/>
      <c r="AP156" s="353"/>
      <c r="AQ156" s="353"/>
      <c r="AR156" s="353"/>
      <c r="AS156" s="353"/>
      <c r="AT156" s="353"/>
      <c r="AU156" s="353"/>
      <c r="AV156" s="353"/>
      <c r="AW156" s="353"/>
      <c r="AX156" s="353"/>
      <c r="AY156" s="353"/>
      <c r="AZ156" s="353"/>
      <c r="BA156" s="353"/>
      <c r="BB156" s="353"/>
      <c r="BC156" s="353"/>
      <c r="BD156" s="353"/>
      <c r="BE156" s="353"/>
      <c r="BF156" s="353"/>
      <c r="BG156" s="353"/>
      <c r="BH156" s="353"/>
      <c r="BI156" s="353"/>
    </row>
    <row r="157" spans="2:61" s="149" customFormat="1">
      <c r="B157" s="353"/>
      <c r="C157" s="353"/>
      <c r="D157" s="353"/>
      <c r="E157" s="353"/>
      <c r="F157" s="353"/>
      <c r="G157" s="353"/>
      <c r="H157" s="353"/>
      <c r="I157" s="353"/>
      <c r="J157" s="353"/>
      <c r="K157" s="353"/>
      <c r="L157" s="353"/>
      <c r="M157" s="355"/>
      <c r="N157" s="353"/>
      <c r="O157" s="353"/>
      <c r="P157" s="353"/>
      <c r="Q157" s="353"/>
      <c r="R157" s="353"/>
      <c r="S157" s="353"/>
      <c r="T157" s="353"/>
      <c r="U157" s="353"/>
      <c r="V157" s="353"/>
      <c r="W157" s="353"/>
      <c r="X157" s="353"/>
      <c r="Y157" s="353"/>
      <c r="Z157" s="353"/>
      <c r="AA157" s="353"/>
      <c r="AB157" s="353"/>
      <c r="AC157" s="353"/>
      <c r="AD157" s="353"/>
      <c r="AE157" s="353"/>
      <c r="AF157" s="353"/>
      <c r="AG157" s="353"/>
      <c r="AH157" s="353"/>
      <c r="AI157" s="353"/>
      <c r="AJ157" s="353"/>
      <c r="AK157" s="353"/>
      <c r="AL157" s="353"/>
      <c r="AM157" s="353"/>
      <c r="AN157" s="353"/>
      <c r="AO157" s="353"/>
      <c r="AP157" s="353"/>
      <c r="AQ157" s="353"/>
      <c r="AR157" s="353"/>
      <c r="AS157" s="353"/>
      <c r="AT157" s="353"/>
      <c r="AU157" s="353"/>
      <c r="AV157" s="353"/>
      <c r="AW157" s="353"/>
      <c r="AX157" s="353"/>
      <c r="AY157" s="353"/>
      <c r="AZ157" s="353"/>
      <c r="BA157" s="353"/>
      <c r="BB157" s="353"/>
      <c r="BC157" s="353"/>
      <c r="BD157" s="353"/>
      <c r="BE157" s="353"/>
      <c r="BF157" s="353"/>
      <c r="BG157" s="353"/>
      <c r="BH157" s="353"/>
      <c r="BI157" s="353"/>
    </row>
    <row r="158" spans="2:61" s="149" customFormat="1">
      <c r="B158" s="353"/>
      <c r="C158" s="353"/>
      <c r="D158" s="353"/>
      <c r="E158" s="353"/>
      <c r="F158" s="353"/>
      <c r="G158" s="353"/>
      <c r="H158" s="353"/>
      <c r="I158" s="353"/>
      <c r="J158" s="353"/>
      <c r="K158" s="353"/>
      <c r="L158" s="353"/>
      <c r="M158" s="355"/>
      <c r="N158" s="353"/>
      <c r="O158" s="353"/>
      <c r="P158" s="353"/>
      <c r="Q158" s="353"/>
      <c r="R158" s="353"/>
      <c r="S158" s="353"/>
      <c r="T158" s="353"/>
      <c r="U158" s="353"/>
      <c r="V158" s="353"/>
      <c r="W158" s="353"/>
      <c r="X158" s="353"/>
      <c r="Y158" s="353"/>
      <c r="Z158" s="353"/>
      <c r="AA158" s="353"/>
      <c r="AB158" s="353"/>
      <c r="AC158" s="353"/>
      <c r="AD158" s="353"/>
      <c r="AE158" s="353"/>
      <c r="AF158" s="353"/>
      <c r="AG158" s="353"/>
      <c r="AH158" s="353"/>
      <c r="AI158" s="353"/>
      <c r="AJ158" s="353"/>
      <c r="AK158" s="353"/>
      <c r="AL158" s="353"/>
      <c r="AM158" s="353"/>
      <c r="AN158" s="353"/>
      <c r="AO158" s="353"/>
      <c r="AP158" s="353"/>
      <c r="AQ158" s="353"/>
      <c r="AR158" s="353"/>
      <c r="AS158" s="353"/>
      <c r="AT158" s="353"/>
      <c r="AU158" s="353"/>
      <c r="AV158" s="353"/>
      <c r="AW158" s="353"/>
      <c r="AX158" s="353"/>
      <c r="AY158" s="353"/>
      <c r="AZ158" s="353"/>
      <c r="BA158" s="353"/>
      <c r="BB158" s="353"/>
      <c r="BC158" s="353"/>
      <c r="BD158" s="353"/>
      <c r="BE158" s="353"/>
      <c r="BF158" s="353"/>
      <c r="BG158" s="353"/>
      <c r="BH158" s="353"/>
      <c r="BI158" s="353"/>
    </row>
    <row r="159" spans="2:61" s="149" customFormat="1">
      <c r="B159" s="353"/>
      <c r="C159" s="353"/>
      <c r="D159" s="353"/>
      <c r="E159" s="353"/>
      <c r="F159" s="353"/>
      <c r="G159" s="353"/>
      <c r="H159" s="353"/>
      <c r="I159" s="353"/>
      <c r="J159" s="353"/>
      <c r="K159" s="353"/>
      <c r="L159" s="353"/>
      <c r="M159" s="355"/>
      <c r="N159" s="353"/>
      <c r="O159" s="353"/>
      <c r="P159" s="353"/>
      <c r="Q159" s="353"/>
      <c r="R159" s="353"/>
      <c r="S159" s="353"/>
      <c r="T159" s="353"/>
      <c r="U159" s="353"/>
      <c r="V159" s="353"/>
      <c r="W159" s="353"/>
      <c r="X159" s="353"/>
      <c r="Y159" s="353"/>
      <c r="Z159" s="353"/>
      <c r="AA159" s="353"/>
      <c r="AB159" s="353"/>
      <c r="AC159" s="353"/>
      <c r="AD159" s="353"/>
      <c r="AE159" s="353"/>
      <c r="AF159" s="353"/>
      <c r="AG159" s="353"/>
      <c r="AH159" s="353"/>
      <c r="AI159" s="353"/>
      <c r="AJ159" s="353"/>
      <c r="AK159" s="353"/>
      <c r="AL159" s="353"/>
      <c r="AM159" s="353"/>
      <c r="AN159" s="353"/>
      <c r="AO159" s="353"/>
      <c r="AP159" s="353"/>
      <c r="AQ159" s="353"/>
      <c r="AR159" s="353"/>
      <c r="AS159" s="353"/>
      <c r="AT159" s="353"/>
      <c r="AU159" s="353"/>
      <c r="AV159" s="353"/>
      <c r="AW159" s="353"/>
      <c r="AX159" s="353"/>
      <c r="AY159" s="353"/>
      <c r="AZ159" s="353"/>
      <c r="BA159" s="353"/>
      <c r="BB159" s="353"/>
      <c r="BC159" s="353"/>
      <c r="BD159" s="353"/>
      <c r="BE159" s="353"/>
      <c r="BF159" s="353"/>
      <c r="BG159" s="353"/>
      <c r="BH159" s="353"/>
      <c r="BI159" s="353"/>
    </row>
    <row r="160" spans="2:61" s="149" customFormat="1">
      <c r="B160" s="353"/>
      <c r="C160" s="353"/>
      <c r="D160" s="353"/>
      <c r="E160" s="353"/>
      <c r="F160" s="353"/>
      <c r="G160" s="353"/>
      <c r="H160" s="353"/>
      <c r="I160" s="353"/>
      <c r="J160" s="353"/>
      <c r="K160" s="353"/>
      <c r="L160" s="353"/>
      <c r="M160" s="355"/>
      <c r="N160" s="353"/>
      <c r="O160" s="353"/>
      <c r="P160" s="353"/>
      <c r="Q160" s="353"/>
      <c r="R160" s="353"/>
      <c r="S160" s="353"/>
      <c r="T160" s="353"/>
      <c r="U160" s="353"/>
      <c r="V160" s="353"/>
      <c r="W160" s="353"/>
      <c r="X160" s="353"/>
      <c r="Y160" s="353"/>
      <c r="Z160" s="353"/>
      <c r="AA160" s="353"/>
      <c r="AB160" s="353"/>
      <c r="AC160" s="353"/>
      <c r="AD160" s="353"/>
      <c r="AE160" s="353"/>
      <c r="AF160" s="353"/>
      <c r="AG160" s="353"/>
      <c r="AH160" s="353"/>
      <c r="AI160" s="353"/>
      <c r="AJ160" s="353"/>
      <c r="AK160" s="353"/>
      <c r="AL160" s="353"/>
      <c r="AM160" s="353"/>
      <c r="AN160" s="353"/>
      <c r="AO160" s="353"/>
      <c r="AP160" s="353"/>
      <c r="AQ160" s="353"/>
      <c r="AR160" s="353"/>
      <c r="AS160" s="353"/>
      <c r="AT160" s="353"/>
      <c r="AU160" s="353"/>
      <c r="AV160" s="353"/>
      <c r="AW160" s="353"/>
      <c r="AX160" s="353"/>
      <c r="AY160" s="353"/>
      <c r="AZ160" s="353"/>
      <c r="BA160" s="353"/>
      <c r="BB160" s="353"/>
      <c r="BC160" s="353"/>
      <c r="BD160" s="353"/>
      <c r="BE160" s="353"/>
      <c r="BF160" s="353"/>
      <c r="BG160" s="353"/>
      <c r="BH160" s="353"/>
      <c r="BI160" s="353"/>
    </row>
    <row r="161" spans="2:61" s="149" customFormat="1">
      <c r="B161" s="353"/>
      <c r="C161" s="353"/>
      <c r="D161" s="353"/>
      <c r="E161" s="353"/>
      <c r="F161" s="353"/>
      <c r="G161" s="353"/>
      <c r="H161" s="353"/>
      <c r="I161" s="353"/>
      <c r="J161" s="353"/>
      <c r="K161" s="353"/>
      <c r="L161" s="353"/>
      <c r="M161" s="355"/>
      <c r="N161" s="353"/>
      <c r="O161" s="353"/>
      <c r="P161" s="353"/>
      <c r="Q161" s="353"/>
      <c r="R161" s="353"/>
      <c r="S161" s="353"/>
      <c r="T161" s="353"/>
      <c r="U161" s="353"/>
      <c r="V161" s="353"/>
      <c r="W161" s="353"/>
      <c r="X161" s="353"/>
      <c r="Y161" s="353"/>
      <c r="Z161" s="353"/>
      <c r="AA161" s="353"/>
      <c r="AB161" s="353"/>
      <c r="AC161" s="353"/>
      <c r="AD161" s="353"/>
      <c r="AE161" s="353"/>
      <c r="AF161" s="353"/>
      <c r="AG161" s="353"/>
      <c r="AH161" s="353"/>
      <c r="AI161" s="353"/>
      <c r="AJ161" s="353"/>
      <c r="AK161" s="353"/>
      <c r="AL161" s="353"/>
      <c r="AM161" s="353"/>
      <c r="AN161" s="353"/>
      <c r="AO161" s="353"/>
      <c r="AP161" s="353"/>
      <c r="AQ161" s="353"/>
      <c r="AR161" s="353"/>
      <c r="AS161" s="353"/>
      <c r="AT161" s="353"/>
      <c r="AU161" s="353"/>
      <c r="AV161" s="353"/>
      <c r="AW161" s="353"/>
      <c r="AX161" s="353"/>
      <c r="AY161" s="353"/>
      <c r="AZ161" s="353"/>
      <c r="BA161" s="353"/>
      <c r="BB161" s="353"/>
      <c r="BC161" s="353"/>
      <c r="BD161" s="353"/>
      <c r="BE161" s="353"/>
      <c r="BF161" s="353"/>
      <c r="BG161" s="353"/>
      <c r="BH161" s="353"/>
      <c r="BI161" s="353"/>
    </row>
    <row r="162" spans="2:61" s="149" customFormat="1">
      <c r="B162" s="353"/>
      <c r="C162" s="353"/>
      <c r="D162" s="353"/>
      <c r="E162" s="353"/>
      <c r="F162" s="353"/>
      <c r="G162" s="353"/>
      <c r="H162" s="353"/>
      <c r="I162" s="353"/>
      <c r="J162" s="353"/>
      <c r="K162" s="353"/>
      <c r="L162" s="353"/>
      <c r="M162" s="355"/>
      <c r="N162" s="353"/>
      <c r="O162" s="353"/>
      <c r="P162" s="353"/>
      <c r="Q162" s="353"/>
      <c r="R162" s="353"/>
      <c r="S162" s="353"/>
      <c r="T162" s="353"/>
      <c r="U162" s="353"/>
      <c r="V162" s="353"/>
      <c r="W162" s="353"/>
      <c r="X162" s="353"/>
      <c r="Y162" s="353"/>
      <c r="Z162" s="353"/>
      <c r="AA162" s="353"/>
      <c r="AB162" s="353"/>
      <c r="AC162" s="353"/>
      <c r="AD162" s="353"/>
      <c r="AE162" s="353"/>
      <c r="AF162" s="353"/>
      <c r="AG162" s="353"/>
      <c r="AH162" s="353"/>
      <c r="AI162" s="353"/>
      <c r="AJ162" s="353"/>
      <c r="AK162" s="353"/>
      <c r="AL162" s="353"/>
      <c r="AM162" s="353"/>
      <c r="AN162" s="353"/>
      <c r="AO162" s="353"/>
      <c r="AP162" s="353"/>
      <c r="AQ162" s="353"/>
      <c r="AR162" s="353"/>
      <c r="AS162" s="353"/>
      <c r="AT162" s="353"/>
      <c r="AU162" s="353"/>
      <c r="AV162" s="353"/>
      <c r="AW162" s="353"/>
      <c r="AX162" s="353"/>
      <c r="AY162" s="353"/>
      <c r="AZ162" s="353"/>
      <c r="BA162" s="353"/>
      <c r="BB162" s="353"/>
      <c r="BC162" s="353"/>
      <c r="BD162" s="353"/>
      <c r="BE162" s="353"/>
      <c r="BF162" s="353"/>
      <c r="BG162" s="353"/>
      <c r="BH162" s="353"/>
      <c r="BI162" s="353"/>
    </row>
    <row r="163" spans="2:61" s="149" customFormat="1">
      <c r="B163" s="353"/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5"/>
      <c r="N163" s="353"/>
      <c r="O163" s="353"/>
      <c r="P163" s="353"/>
      <c r="Q163" s="353"/>
      <c r="R163" s="353"/>
      <c r="S163" s="353"/>
      <c r="T163" s="353"/>
      <c r="U163" s="353"/>
      <c r="V163" s="353"/>
      <c r="W163" s="353"/>
      <c r="X163" s="353"/>
      <c r="Y163" s="353"/>
      <c r="Z163" s="353"/>
      <c r="AA163" s="353"/>
      <c r="AB163" s="353"/>
      <c r="AC163" s="353"/>
      <c r="AD163" s="353"/>
      <c r="AE163" s="353"/>
      <c r="AF163" s="353"/>
      <c r="AG163" s="353"/>
      <c r="AH163" s="353"/>
      <c r="AI163" s="353"/>
      <c r="AJ163" s="353"/>
      <c r="AK163" s="353"/>
      <c r="AL163" s="353"/>
      <c r="AM163" s="353"/>
      <c r="AN163" s="353"/>
      <c r="AO163" s="353"/>
      <c r="AP163" s="353"/>
      <c r="AQ163" s="353"/>
      <c r="AR163" s="353"/>
      <c r="AS163" s="353"/>
      <c r="AT163" s="353"/>
      <c r="AU163" s="353"/>
      <c r="AV163" s="353"/>
      <c r="AW163" s="353"/>
      <c r="AX163" s="353"/>
      <c r="AY163" s="353"/>
      <c r="AZ163" s="353"/>
      <c r="BA163" s="353"/>
      <c r="BB163" s="353"/>
      <c r="BC163" s="353"/>
      <c r="BD163" s="353"/>
      <c r="BE163" s="353"/>
      <c r="BF163" s="353"/>
      <c r="BG163" s="353"/>
      <c r="BH163" s="353"/>
      <c r="BI163" s="353"/>
    </row>
    <row r="164" spans="2:61" s="149" customFormat="1">
      <c r="C164" s="151"/>
      <c r="D164" s="151"/>
      <c r="E164" s="151"/>
      <c r="F164" s="151"/>
      <c r="K164" s="151"/>
      <c r="L164" s="353"/>
      <c r="M164" s="355"/>
      <c r="N164" s="353"/>
      <c r="O164" s="353"/>
      <c r="P164" s="353"/>
      <c r="Q164" s="353"/>
      <c r="R164" s="353"/>
      <c r="S164" s="353"/>
      <c r="T164" s="353"/>
      <c r="U164" s="353"/>
      <c r="V164" s="353"/>
      <c r="W164" s="353"/>
      <c r="X164" s="353"/>
      <c r="Y164" s="353"/>
      <c r="Z164" s="353"/>
      <c r="AA164" s="353"/>
      <c r="AB164" s="353"/>
      <c r="AC164" s="353"/>
      <c r="AD164" s="353"/>
      <c r="AE164" s="353"/>
      <c r="AF164" s="353"/>
      <c r="AG164" s="353"/>
      <c r="AH164" s="353"/>
      <c r="AI164" s="353"/>
      <c r="AJ164" s="353"/>
      <c r="AK164" s="353"/>
      <c r="AL164" s="353"/>
      <c r="AM164" s="353"/>
      <c r="AN164" s="353"/>
      <c r="AO164" s="353"/>
      <c r="AP164" s="353"/>
      <c r="AQ164" s="353"/>
      <c r="AR164" s="353"/>
      <c r="AS164" s="353"/>
      <c r="AT164" s="353"/>
      <c r="AU164" s="353"/>
      <c r="AV164" s="353"/>
      <c r="AW164" s="353"/>
      <c r="AX164" s="353"/>
      <c r="AY164" s="353"/>
      <c r="AZ164" s="353"/>
      <c r="BA164" s="353"/>
      <c r="BB164" s="353"/>
      <c r="BC164" s="353"/>
      <c r="BD164" s="353"/>
      <c r="BE164" s="353"/>
      <c r="BF164" s="353"/>
      <c r="BG164" s="353"/>
      <c r="BH164" s="353"/>
      <c r="BI164" s="353"/>
    </row>
    <row r="165" spans="2:61" s="149" customFormat="1">
      <c r="C165" s="151"/>
      <c r="D165" s="151"/>
      <c r="E165" s="151"/>
      <c r="F165" s="151"/>
      <c r="K165" s="151"/>
      <c r="L165" s="353"/>
      <c r="M165" s="355"/>
      <c r="N165" s="353"/>
      <c r="O165" s="353"/>
      <c r="P165" s="353"/>
      <c r="Q165" s="353"/>
      <c r="R165" s="353"/>
      <c r="S165" s="353"/>
      <c r="T165" s="353"/>
      <c r="U165" s="353"/>
      <c r="V165" s="353"/>
      <c r="W165" s="353"/>
      <c r="X165" s="353"/>
      <c r="Y165" s="353"/>
      <c r="Z165" s="353"/>
      <c r="AA165" s="353"/>
      <c r="AB165" s="353"/>
      <c r="AC165" s="353"/>
      <c r="AD165" s="353"/>
      <c r="AE165" s="353"/>
      <c r="AF165" s="353"/>
      <c r="AG165" s="353"/>
      <c r="AH165" s="353"/>
      <c r="AI165" s="353"/>
      <c r="AJ165" s="353"/>
      <c r="AK165" s="353"/>
      <c r="AL165" s="353"/>
      <c r="AM165" s="353"/>
      <c r="AN165" s="353"/>
      <c r="AO165" s="353"/>
      <c r="AP165" s="353"/>
      <c r="AQ165" s="353"/>
      <c r="AR165" s="353"/>
      <c r="AS165" s="353"/>
      <c r="AT165" s="353"/>
      <c r="AU165" s="353"/>
      <c r="AV165" s="353"/>
      <c r="AW165" s="353"/>
      <c r="AX165" s="353"/>
      <c r="AY165" s="353"/>
      <c r="AZ165" s="353"/>
      <c r="BA165" s="353"/>
      <c r="BB165" s="353"/>
      <c r="BC165" s="353"/>
      <c r="BD165" s="353"/>
      <c r="BE165" s="353"/>
      <c r="BF165" s="353"/>
      <c r="BG165" s="353"/>
      <c r="BH165" s="353"/>
      <c r="BI165" s="353"/>
    </row>
    <row r="166" spans="2:61" s="149" customFormat="1">
      <c r="C166" s="151"/>
      <c r="D166" s="151"/>
      <c r="E166" s="151"/>
      <c r="F166" s="151"/>
      <c r="K166" s="151"/>
      <c r="L166" s="353"/>
      <c r="M166" s="355"/>
      <c r="N166" s="353"/>
      <c r="O166" s="353"/>
      <c r="P166" s="353"/>
      <c r="Q166" s="353"/>
      <c r="R166" s="353"/>
      <c r="S166" s="353"/>
      <c r="T166" s="353"/>
      <c r="U166" s="353"/>
      <c r="V166" s="353"/>
      <c r="W166" s="353"/>
      <c r="X166" s="353"/>
      <c r="Y166" s="353"/>
      <c r="Z166" s="353"/>
      <c r="AA166" s="353"/>
      <c r="AB166" s="353"/>
      <c r="AC166" s="353"/>
      <c r="AD166" s="353"/>
      <c r="AE166" s="353"/>
      <c r="AF166" s="353"/>
      <c r="AG166" s="353"/>
      <c r="AH166" s="353"/>
      <c r="AI166" s="353"/>
      <c r="AJ166" s="353"/>
      <c r="AK166" s="353"/>
      <c r="AL166" s="353"/>
      <c r="AM166" s="353"/>
      <c r="AN166" s="353"/>
      <c r="AO166" s="353"/>
      <c r="AP166" s="353"/>
      <c r="AQ166" s="353"/>
      <c r="AR166" s="353"/>
      <c r="AS166" s="353"/>
      <c r="AT166" s="353"/>
      <c r="AU166" s="353"/>
      <c r="AV166" s="353"/>
      <c r="AW166" s="353"/>
      <c r="AX166" s="353"/>
      <c r="AY166" s="353"/>
      <c r="AZ166" s="353"/>
      <c r="BA166" s="353"/>
      <c r="BB166" s="353"/>
      <c r="BC166" s="353"/>
      <c r="BD166" s="353"/>
      <c r="BE166" s="353"/>
      <c r="BF166" s="353"/>
      <c r="BG166" s="353"/>
      <c r="BH166" s="353"/>
      <c r="BI166" s="353"/>
    </row>
    <row r="167" spans="2:61" s="149" customFormat="1">
      <c r="C167" s="151"/>
      <c r="D167" s="151"/>
      <c r="E167" s="151"/>
      <c r="F167" s="151"/>
      <c r="K167" s="151"/>
      <c r="L167" s="353"/>
      <c r="M167" s="355"/>
      <c r="N167" s="353"/>
      <c r="O167" s="353"/>
      <c r="P167" s="353"/>
      <c r="Q167" s="353"/>
      <c r="R167" s="353"/>
      <c r="S167" s="353"/>
      <c r="T167" s="353"/>
      <c r="U167" s="353"/>
      <c r="V167" s="353"/>
      <c r="W167" s="353"/>
      <c r="X167" s="353"/>
      <c r="Y167" s="353"/>
      <c r="Z167" s="353"/>
      <c r="AA167" s="353"/>
      <c r="AB167" s="353"/>
      <c r="AC167" s="353"/>
      <c r="AD167" s="353"/>
      <c r="AE167" s="353"/>
      <c r="AF167" s="353"/>
      <c r="AG167" s="353"/>
      <c r="AH167" s="353"/>
      <c r="AI167" s="353"/>
      <c r="AJ167" s="353"/>
      <c r="AK167" s="353"/>
      <c r="AL167" s="353"/>
      <c r="AM167" s="353"/>
      <c r="AN167" s="353"/>
      <c r="AO167" s="353"/>
      <c r="AP167" s="353"/>
      <c r="AQ167" s="353"/>
      <c r="AR167" s="353"/>
      <c r="AS167" s="353"/>
      <c r="AT167" s="353"/>
      <c r="AU167" s="353"/>
      <c r="AV167" s="353"/>
      <c r="AW167" s="353"/>
      <c r="AX167" s="353"/>
      <c r="AY167" s="353"/>
      <c r="AZ167" s="353"/>
      <c r="BA167" s="353"/>
      <c r="BB167" s="353"/>
      <c r="BC167" s="353"/>
      <c r="BD167" s="353"/>
      <c r="BE167" s="353"/>
      <c r="BF167" s="353"/>
      <c r="BG167" s="353"/>
      <c r="BH167" s="353"/>
      <c r="BI167" s="353"/>
    </row>
    <row r="168" spans="2:61" s="149" customFormat="1">
      <c r="C168" s="151"/>
      <c r="D168" s="151"/>
      <c r="E168" s="151"/>
      <c r="F168" s="151"/>
      <c r="K168" s="151"/>
      <c r="L168" s="353"/>
      <c r="M168" s="355"/>
      <c r="N168" s="353"/>
      <c r="O168" s="353"/>
      <c r="P168" s="353"/>
      <c r="Q168" s="353"/>
      <c r="R168" s="353"/>
      <c r="S168" s="353"/>
      <c r="T168" s="353"/>
      <c r="U168" s="353"/>
      <c r="V168" s="353"/>
      <c r="W168" s="353"/>
      <c r="X168" s="353"/>
      <c r="Y168" s="353"/>
      <c r="Z168" s="353"/>
      <c r="AA168" s="353"/>
      <c r="AB168" s="353"/>
      <c r="AC168" s="353"/>
      <c r="AD168" s="353"/>
      <c r="AE168" s="353"/>
      <c r="AF168" s="353"/>
      <c r="AG168" s="353"/>
      <c r="AH168" s="353"/>
      <c r="AI168" s="353"/>
      <c r="AJ168" s="353"/>
      <c r="AK168" s="353"/>
      <c r="AL168" s="353"/>
      <c r="AM168" s="353"/>
      <c r="AN168" s="353"/>
      <c r="AO168" s="353"/>
      <c r="AP168" s="353"/>
      <c r="AQ168" s="353"/>
      <c r="AR168" s="353"/>
      <c r="AS168" s="353"/>
      <c r="AT168" s="353"/>
      <c r="AU168" s="353"/>
      <c r="AV168" s="353"/>
      <c r="AW168" s="353"/>
      <c r="AX168" s="353"/>
      <c r="AY168" s="353"/>
      <c r="AZ168" s="353"/>
      <c r="BA168" s="353"/>
      <c r="BB168" s="353"/>
      <c r="BC168" s="353"/>
      <c r="BD168" s="353"/>
      <c r="BE168" s="353"/>
      <c r="BF168" s="353"/>
      <c r="BG168" s="353"/>
      <c r="BH168" s="353"/>
      <c r="BI168" s="353"/>
    </row>
    <row r="169" spans="2:61" s="149" customFormat="1">
      <c r="C169" s="151"/>
      <c r="D169" s="151"/>
      <c r="E169" s="151"/>
      <c r="F169" s="151"/>
      <c r="K169" s="151"/>
      <c r="M169" s="150"/>
      <c r="P169" s="151"/>
      <c r="Q169" s="151"/>
    </row>
    <row r="170" spans="2:61" s="149" customFormat="1">
      <c r="C170" s="151"/>
      <c r="D170" s="151"/>
      <c r="E170" s="151"/>
      <c r="F170" s="151"/>
      <c r="K170" s="151"/>
      <c r="M170" s="150"/>
      <c r="P170" s="151"/>
      <c r="Q170" s="151"/>
    </row>
    <row r="171" spans="2:61" s="149" customFormat="1">
      <c r="C171" s="151"/>
      <c r="D171" s="151"/>
      <c r="E171" s="151"/>
      <c r="F171" s="151"/>
      <c r="K171" s="151"/>
      <c r="M171" s="150"/>
      <c r="P171" s="151"/>
      <c r="Q171" s="151"/>
    </row>
    <row r="172" spans="2:61" s="149" customFormat="1">
      <c r="C172" s="151"/>
      <c r="D172" s="151"/>
      <c r="E172" s="151"/>
      <c r="F172" s="151"/>
      <c r="K172" s="151"/>
      <c r="M172" s="150"/>
      <c r="P172" s="151"/>
      <c r="Q172" s="151"/>
    </row>
    <row r="173" spans="2:61" s="149" customFormat="1">
      <c r="C173" s="151"/>
      <c r="D173" s="151"/>
      <c r="E173" s="151"/>
      <c r="F173" s="151"/>
      <c r="K173" s="151"/>
      <c r="M173" s="150"/>
      <c r="P173" s="151"/>
      <c r="Q173" s="151"/>
    </row>
    <row r="174" spans="2:61" s="149" customFormat="1">
      <c r="C174" s="151"/>
      <c r="D174" s="151"/>
      <c r="E174" s="151"/>
      <c r="F174" s="151"/>
      <c r="K174" s="151"/>
      <c r="M174" s="150"/>
      <c r="P174" s="151"/>
      <c r="Q174" s="151"/>
    </row>
    <row r="175" spans="2:61" s="149" customFormat="1">
      <c r="C175" s="151"/>
      <c r="D175" s="151"/>
      <c r="E175" s="151"/>
      <c r="F175" s="151"/>
      <c r="K175" s="151"/>
      <c r="M175" s="150"/>
      <c r="P175" s="151"/>
      <c r="Q175" s="151"/>
    </row>
    <row r="176" spans="2:61" s="149" customFormat="1">
      <c r="C176" s="151"/>
      <c r="D176" s="151"/>
      <c r="E176" s="151"/>
      <c r="F176" s="151"/>
      <c r="K176" s="151"/>
      <c r="M176" s="150"/>
      <c r="P176" s="151"/>
      <c r="Q176" s="151"/>
    </row>
    <row r="177" spans="3:17" s="149" customFormat="1">
      <c r="C177" s="151"/>
      <c r="D177" s="151"/>
      <c r="E177" s="151"/>
      <c r="F177" s="151"/>
      <c r="K177" s="151"/>
      <c r="M177" s="150"/>
      <c r="P177" s="151"/>
      <c r="Q177" s="151"/>
    </row>
    <row r="178" spans="3:17" s="149" customFormat="1">
      <c r="C178" s="151"/>
      <c r="D178" s="151"/>
      <c r="E178" s="151"/>
      <c r="F178" s="151"/>
      <c r="K178" s="151"/>
      <c r="M178" s="150"/>
      <c r="P178" s="151"/>
      <c r="Q178" s="151"/>
    </row>
    <row r="179" spans="3:17" s="149" customFormat="1">
      <c r="C179" s="151"/>
      <c r="D179" s="151"/>
      <c r="E179" s="151"/>
      <c r="F179" s="151"/>
      <c r="K179" s="151"/>
      <c r="M179" s="150"/>
      <c r="P179" s="151"/>
      <c r="Q179" s="151"/>
    </row>
    <row r="180" spans="3:17" s="149" customFormat="1">
      <c r="C180" s="151"/>
      <c r="D180" s="151"/>
      <c r="E180" s="151"/>
      <c r="F180" s="151"/>
      <c r="K180" s="151"/>
      <c r="M180" s="150"/>
      <c r="P180" s="151"/>
      <c r="Q180" s="151"/>
    </row>
    <row r="181" spans="3:17" s="149" customFormat="1">
      <c r="C181" s="151"/>
      <c r="D181" s="151"/>
      <c r="E181" s="151"/>
      <c r="F181" s="151"/>
      <c r="K181" s="151"/>
      <c r="M181" s="150"/>
      <c r="P181" s="151"/>
      <c r="Q181" s="151"/>
    </row>
    <row r="182" spans="3:17" s="149" customFormat="1">
      <c r="C182" s="151"/>
      <c r="D182" s="151"/>
      <c r="E182" s="151"/>
      <c r="F182" s="151"/>
      <c r="K182" s="151"/>
      <c r="M182" s="150"/>
      <c r="P182" s="151"/>
      <c r="Q182" s="151"/>
    </row>
    <row r="183" spans="3:17" s="149" customFormat="1">
      <c r="C183" s="151"/>
      <c r="D183" s="151"/>
      <c r="E183" s="151"/>
      <c r="F183" s="151"/>
      <c r="K183" s="151"/>
      <c r="M183" s="150"/>
      <c r="P183" s="151"/>
      <c r="Q183" s="151"/>
    </row>
    <row r="184" spans="3:17" s="149" customFormat="1">
      <c r="C184" s="151"/>
      <c r="D184" s="151"/>
      <c r="E184" s="151"/>
      <c r="F184" s="151"/>
      <c r="K184" s="151"/>
      <c r="M184" s="150"/>
      <c r="P184" s="151"/>
      <c r="Q184" s="151"/>
    </row>
    <row r="185" spans="3:17" s="149" customFormat="1">
      <c r="C185" s="151"/>
      <c r="D185" s="151"/>
      <c r="E185" s="151"/>
      <c r="F185" s="151"/>
      <c r="K185" s="151"/>
      <c r="M185" s="150"/>
      <c r="P185" s="151"/>
      <c r="Q185" s="151"/>
    </row>
    <row r="186" spans="3:17" s="149" customFormat="1">
      <c r="C186" s="151"/>
      <c r="D186" s="151"/>
      <c r="E186" s="151"/>
      <c r="F186" s="151"/>
      <c r="K186" s="151"/>
      <c r="M186" s="150"/>
      <c r="P186" s="151"/>
      <c r="Q186" s="151"/>
    </row>
    <row r="187" spans="3:17" s="149" customFormat="1">
      <c r="C187" s="151"/>
      <c r="D187" s="151"/>
      <c r="E187" s="151"/>
      <c r="F187" s="151"/>
      <c r="K187" s="151"/>
      <c r="M187" s="150"/>
      <c r="P187" s="151"/>
      <c r="Q187" s="151"/>
    </row>
    <row r="188" spans="3:17" s="149" customFormat="1">
      <c r="C188" s="151"/>
      <c r="D188" s="151"/>
      <c r="E188" s="151"/>
      <c r="F188" s="151"/>
      <c r="K188" s="151"/>
      <c r="M188" s="150"/>
      <c r="P188" s="151"/>
      <c r="Q188" s="151"/>
    </row>
    <row r="189" spans="3:17" s="149" customFormat="1">
      <c r="C189" s="151"/>
      <c r="D189" s="151"/>
      <c r="E189" s="151"/>
      <c r="F189" s="151"/>
      <c r="K189" s="151"/>
      <c r="M189" s="150"/>
      <c r="P189" s="151"/>
      <c r="Q189" s="151"/>
    </row>
    <row r="190" spans="3:17" s="149" customFormat="1">
      <c r="C190" s="151"/>
      <c r="D190" s="151"/>
      <c r="E190" s="151"/>
      <c r="F190" s="151"/>
      <c r="K190" s="151"/>
      <c r="M190" s="150"/>
      <c r="P190" s="151"/>
      <c r="Q190" s="151"/>
    </row>
    <row r="191" spans="3:17" s="149" customFormat="1">
      <c r="C191" s="151"/>
      <c r="D191" s="151"/>
      <c r="E191" s="151"/>
      <c r="F191" s="151"/>
      <c r="K191" s="151"/>
      <c r="M191" s="150"/>
      <c r="P191" s="151"/>
      <c r="Q191" s="151"/>
    </row>
    <row r="192" spans="3:17" s="149" customFormat="1">
      <c r="C192" s="151"/>
      <c r="D192" s="151"/>
      <c r="E192" s="151"/>
      <c r="F192" s="151"/>
      <c r="K192" s="151"/>
      <c r="M192" s="150"/>
      <c r="P192" s="151"/>
      <c r="Q192" s="151"/>
    </row>
    <row r="193" spans="2:17" s="149" customFormat="1">
      <c r="C193" s="151"/>
      <c r="D193" s="151"/>
      <c r="E193" s="151"/>
      <c r="F193" s="151"/>
      <c r="K193" s="151"/>
      <c r="M193" s="150"/>
      <c r="P193" s="151"/>
      <c r="Q193" s="151"/>
    </row>
    <row r="194" spans="2:17" s="149" customFormat="1">
      <c r="C194" s="151"/>
      <c r="D194" s="151"/>
      <c r="E194" s="151"/>
      <c r="F194" s="151"/>
      <c r="K194" s="151"/>
      <c r="M194" s="150"/>
      <c r="P194" s="151"/>
      <c r="Q194" s="151"/>
    </row>
    <row r="195" spans="2:17" s="149" customFormat="1">
      <c r="C195" s="151"/>
      <c r="D195" s="151"/>
      <c r="E195" s="151"/>
      <c r="F195" s="151"/>
      <c r="K195" s="151"/>
      <c r="M195" s="150"/>
      <c r="P195" s="151"/>
      <c r="Q195" s="151"/>
    </row>
    <row r="196" spans="2:17" s="149" customFormat="1">
      <c r="C196" s="151"/>
      <c r="D196" s="151"/>
      <c r="E196" s="151"/>
      <c r="F196" s="151"/>
      <c r="K196" s="151"/>
      <c r="M196" s="150"/>
      <c r="P196" s="151"/>
      <c r="Q196" s="151"/>
    </row>
    <row r="197" spans="2:17" s="149" customFormat="1">
      <c r="C197" s="151"/>
      <c r="D197" s="151"/>
      <c r="E197" s="151"/>
      <c r="F197" s="151"/>
      <c r="K197" s="151"/>
      <c r="M197" s="150"/>
      <c r="P197" s="151"/>
      <c r="Q197" s="151"/>
    </row>
    <row r="198" spans="2:17" s="149" customFormat="1">
      <c r="C198" s="151"/>
      <c r="D198" s="151"/>
      <c r="E198" s="151"/>
      <c r="F198" s="151"/>
      <c r="K198" s="151"/>
      <c r="M198" s="150"/>
      <c r="P198" s="151"/>
      <c r="Q198" s="151"/>
    </row>
    <row r="199" spans="2:17" s="149" customFormat="1">
      <c r="C199" s="151"/>
      <c r="D199" s="151"/>
      <c r="E199" s="151"/>
      <c r="F199" s="151"/>
      <c r="K199" s="151"/>
      <c r="M199" s="150"/>
      <c r="P199" s="151"/>
      <c r="Q199" s="151"/>
    </row>
    <row r="200" spans="2:17" s="149" customFormat="1">
      <c r="C200" s="151"/>
      <c r="D200" s="151"/>
      <c r="E200" s="151"/>
      <c r="F200" s="151"/>
      <c r="K200" s="151"/>
      <c r="M200" s="150"/>
      <c r="P200" s="151"/>
      <c r="Q200" s="151"/>
    </row>
    <row r="201" spans="2:17" s="149" customFormat="1">
      <c r="C201" s="151"/>
      <c r="D201" s="151"/>
      <c r="E201" s="151"/>
      <c r="F201" s="151"/>
      <c r="K201" s="151"/>
      <c r="M201" s="150"/>
      <c r="P201" s="151"/>
      <c r="Q201" s="151"/>
    </row>
    <row r="202" spans="2:17" s="149" customFormat="1">
      <c r="C202" s="216"/>
      <c r="D202" s="216"/>
      <c r="E202" s="216"/>
      <c r="F202" s="216"/>
      <c r="G202" s="40"/>
      <c r="H202" s="40"/>
      <c r="I202" s="40"/>
      <c r="J202" s="40"/>
      <c r="K202" s="216"/>
      <c r="M202" s="150"/>
      <c r="P202" s="151"/>
      <c r="Q202" s="151"/>
    </row>
    <row r="203" spans="2:17" s="149" customFormat="1">
      <c r="B203" s="40"/>
      <c r="C203" s="216"/>
      <c r="D203" s="216"/>
      <c r="E203" s="216"/>
      <c r="F203" s="216"/>
      <c r="G203" s="40"/>
      <c r="H203" s="40"/>
      <c r="I203" s="40"/>
      <c r="J203" s="40"/>
      <c r="K203" s="216"/>
      <c r="M203" s="150"/>
      <c r="P203" s="151"/>
      <c r="Q203" s="151"/>
    </row>
    <row r="204" spans="2:17" s="149" customFormat="1">
      <c r="B204" s="40"/>
      <c r="C204" s="216"/>
      <c r="D204" s="216"/>
      <c r="E204" s="216"/>
      <c r="F204" s="216"/>
      <c r="G204" s="40"/>
      <c r="H204" s="40"/>
      <c r="I204" s="40"/>
      <c r="J204" s="40"/>
      <c r="K204" s="216"/>
      <c r="M204" s="150"/>
      <c r="P204" s="151"/>
      <c r="Q204" s="151"/>
    </row>
    <row r="205" spans="2:17" s="149" customFormat="1">
      <c r="B205" s="40"/>
      <c r="C205" s="216"/>
      <c r="D205" s="216"/>
      <c r="E205" s="216"/>
      <c r="F205" s="216"/>
      <c r="G205" s="40"/>
      <c r="H205" s="40"/>
      <c r="I205" s="40"/>
      <c r="J205" s="40"/>
      <c r="K205" s="216"/>
      <c r="M205" s="150"/>
      <c r="P205" s="151"/>
      <c r="Q205" s="151"/>
    </row>
    <row r="206" spans="2:17" s="149" customFormat="1">
      <c r="B206" s="40"/>
      <c r="C206" s="216"/>
      <c r="D206" s="216"/>
      <c r="E206" s="216"/>
      <c r="F206" s="216"/>
      <c r="G206" s="40"/>
      <c r="H206" s="40"/>
      <c r="I206" s="40"/>
      <c r="J206" s="40"/>
      <c r="K206" s="216"/>
      <c r="M206" s="150"/>
      <c r="P206" s="151"/>
      <c r="Q206" s="151"/>
    </row>
    <row r="207" spans="2:17" s="149" customFormat="1">
      <c r="B207" s="40"/>
      <c r="C207" s="216"/>
      <c r="D207" s="216"/>
      <c r="E207" s="216"/>
      <c r="F207" s="216"/>
      <c r="G207" s="40"/>
      <c r="H207" s="40"/>
      <c r="I207" s="40"/>
      <c r="J207" s="40"/>
      <c r="K207" s="216"/>
      <c r="M207" s="138"/>
      <c r="N207" s="40"/>
      <c r="O207" s="40"/>
      <c r="P207" s="216"/>
      <c r="Q207" s="216"/>
    </row>
  </sheetData>
  <customSheetViews>
    <customSheetView guid="{33FE80C0-0EDF-11D4-8B3D-001060002050}" scale="75" showPageBreaks="1" showRuler="0">
      <selection activeCell="F9" sqref="F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5" orientation="portrait" r:id="rId1"/>
      <headerFooter alignWithMargins="0"/>
    </customSheetView>
    <customSheetView guid="{62777320-11E7-11D4-8B3D-00E098726125}" scale="75" showRuler="0">
      <selection activeCell="F9" sqref="F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5" orientation="portrait" r:id="rId2"/>
      <headerFooter alignWithMargins="0"/>
    </customSheetView>
  </customSheetViews>
  <mergeCells count="100">
    <mergeCell ref="H65:I65"/>
    <mergeCell ref="H66:I66"/>
    <mergeCell ref="H67:I67"/>
    <mergeCell ref="H68:I68"/>
    <mergeCell ref="D55:E55"/>
    <mergeCell ref="D57:E57"/>
    <mergeCell ref="F59:G59"/>
    <mergeCell ref="H64:I64"/>
    <mergeCell ref="D58:K58"/>
    <mergeCell ref="H56:I56"/>
    <mergeCell ref="D60:E60"/>
    <mergeCell ref="F64:G64"/>
    <mergeCell ref="D64:E64"/>
    <mergeCell ref="D63:E63"/>
    <mergeCell ref="F66:G66"/>
    <mergeCell ref="F67:G67"/>
    <mergeCell ref="F68:G68"/>
    <mergeCell ref="F65:G65"/>
    <mergeCell ref="D65:E65"/>
    <mergeCell ref="H74:I74"/>
    <mergeCell ref="D71:E71"/>
    <mergeCell ref="D73:E73"/>
    <mergeCell ref="F74:G74"/>
    <mergeCell ref="F77:G77"/>
    <mergeCell ref="D62:E62"/>
    <mergeCell ref="F61:G61"/>
    <mergeCell ref="F62:G62"/>
    <mergeCell ref="D75:E75"/>
    <mergeCell ref="D77:E77"/>
    <mergeCell ref="D70:E70"/>
    <mergeCell ref="D69:E69"/>
    <mergeCell ref="D66:E66"/>
    <mergeCell ref="D67:E67"/>
    <mergeCell ref="D68:E68"/>
    <mergeCell ref="D61:E61"/>
    <mergeCell ref="H60:I60"/>
    <mergeCell ref="F63:G63"/>
    <mergeCell ref="F56:G56"/>
    <mergeCell ref="H63:I63"/>
    <mergeCell ref="H59:I59"/>
    <mergeCell ref="H57:I57"/>
    <mergeCell ref="H61:I61"/>
    <mergeCell ref="H62:I62"/>
    <mergeCell ref="F60:G60"/>
    <mergeCell ref="F57:G57"/>
    <mergeCell ref="H72:I72"/>
    <mergeCell ref="D78:E78"/>
    <mergeCell ref="D76:E76"/>
    <mergeCell ref="F71:G71"/>
    <mergeCell ref="H73:I73"/>
    <mergeCell ref="D72:E72"/>
    <mergeCell ref="F78:G78"/>
    <mergeCell ref="H77:I77"/>
    <mergeCell ref="H76:I76"/>
    <mergeCell ref="H78:I78"/>
    <mergeCell ref="F76:G76"/>
    <mergeCell ref="H70:I70"/>
    <mergeCell ref="F70:G70"/>
    <mergeCell ref="F69:G69"/>
    <mergeCell ref="D74:E74"/>
    <mergeCell ref="F75:G75"/>
    <mergeCell ref="B1:K1"/>
    <mergeCell ref="I2:K2"/>
    <mergeCell ref="D2:H2"/>
    <mergeCell ref="F47:G47"/>
    <mergeCell ref="F45:G45"/>
    <mergeCell ref="D46:K46"/>
    <mergeCell ref="D45:E45"/>
    <mergeCell ref="H69:I69"/>
    <mergeCell ref="F73:G73"/>
    <mergeCell ref="F72:G72"/>
    <mergeCell ref="H49:I49"/>
    <mergeCell ref="D49:E49"/>
    <mergeCell ref="H75:I75"/>
    <mergeCell ref="H71:I71"/>
    <mergeCell ref="H54:I54"/>
    <mergeCell ref="H47:I47"/>
    <mergeCell ref="D59:E59"/>
    <mergeCell ref="D56:E56"/>
    <mergeCell ref="F54:G54"/>
    <mergeCell ref="F48:G48"/>
    <mergeCell ref="F55:G55"/>
    <mergeCell ref="D52:E52"/>
    <mergeCell ref="D51:E51"/>
    <mergeCell ref="D53:K53"/>
    <mergeCell ref="D54:E54"/>
    <mergeCell ref="F52:G52"/>
    <mergeCell ref="H55:I55"/>
    <mergeCell ref="H52:I52"/>
    <mergeCell ref="F50:G50"/>
    <mergeCell ref="D50:E50"/>
    <mergeCell ref="D47:E47"/>
    <mergeCell ref="D48:E48"/>
    <mergeCell ref="N45:R45"/>
    <mergeCell ref="N46:N47"/>
    <mergeCell ref="O46:O47"/>
    <mergeCell ref="R46:R47"/>
    <mergeCell ref="H45:I45"/>
    <mergeCell ref="H48:I48"/>
    <mergeCell ref="F49:G49"/>
  </mergeCells>
  <phoneticPr fontId="2" type="noConversion"/>
  <conditionalFormatting sqref="K4">
    <cfRule type="cellIs" dxfId="3" priority="10" stopIfTrue="1" operator="notEqual">
      <formula>$K$13</formula>
    </cfRule>
  </conditionalFormatting>
  <conditionalFormatting sqref="D4">
    <cfRule type="cellIs" dxfId="2" priority="14" stopIfTrue="1" operator="notEqual">
      <formula>$D$13</formula>
    </cfRule>
  </conditionalFormatting>
  <printOptions horizontalCentered="1" verticalCentered="1"/>
  <pageMargins left="0.42" right="0.74803149606299213" top="0.63" bottom="0.98425196850393704" header="0.51181102362204722" footer="0.51181102362204722"/>
  <pageSetup paperSize="9" scale="60" orientation="portrait" r:id="rId3"/>
  <headerFooter alignWithMargins="0"/>
  <rowBreaks count="1" manualBreakCount="1">
    <brk id="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5"/>
  <sheetViews>
    <sheetView topLeftCell="A4" zoomScale="115" zoomScaleNormal="100" zoomScaleSheetLayoutView="115" workbookViewId="0" xr3:uid="{FF0BDA26-1AD6-5648-BD9A-E01AA4DDCA7C}">
      <selection activeCell="E25" sqref="E25"/>
    </sheetView>
  </sheetViews>
  <sheetFormatPr defaultRowHeight="14.25"/>
  <cols>
    <col min="1" max="1" width="4.625" style="40" customWidth="1"/>
    <col min="2" max="2" width="22.25" style="40" customWidth="1"/>
    <col min="3" max="7" width="9.625" style="216" customWidth="1"/>
    <col min="8" max="8" width="9" style="216"/>
    <col min="9" max="9" width="0" style="216" hidden="1" customWidth="1"/>
    <col min="10" max="10" width="8.875" style="216" customWidth="1"/>
    <col min="11" max="16384" width="9" style="40"/>
  </cols>
  <sheetData>
    <row r="1" spans="1:11" ht="24" customHeight="1">
      <c r="A1" s="907" t="s">
        <v>31</v>
      </c>
      <c r="B1" s="907"/>
      <c r="C1" s="907"/>
      <c r="D1" s="907"/>
      <c r="E1" s="907"/>
      <c r="F1" s="907"/>
      <c r="G1" s="907"/>
      <c r="H1" s="907"/>
      <c r="I1" s="468"/>
      <c r="J1" s="121"/>
    </row>
    <row r="2" spans="1:11" ht="49.5" customHeight="1">
      <c r="A2" s="569" t="s">
        <v>829</v>
      </c>
      <c r="B2" s="570"/>
      <c r="C2" s="825" t="str">
        <f>基础数据!C4</f>
        <v>安徽省芜湖市芜湖县荆江路以北 芜湖中路以东 世纪大道以西</v>
      </c>
      <c r="D2" s="825"/>
      <c r="E2" s="825"/>
      <c r="F2" s="825"/>
      <c r="G2" s="825"/>
      <c r="H2" s="825"/>
      <c r="I2" s="484"/>
      <c r="J2" s="121"/>
    </row>
    <row r="3" spans="1:11" ht="24" customHeight="1">
      <c r="A3" s="485" t="s">
        <v>28</v>
      </c>
      <c r="B3" s="486" t="s">
        <v>724</v>
      </c>
      <c r="C3" s="486" t="str">
        <f>主表2!D3</f>
        <v>2018年</v>
      </c>
      <c r="D3" s="486" t="str">
        <f>主表2!E3</f>
        <v>2019年</v>
      </c>
      <c r="E3" s="486" t="str">
        <f>主表2!F3</f>
        <v>2020年</v>
      </c>
      <c r="F3" s="486" t="str">
        <f>主表2!G3</f>
        <v>2021年</v>
      </c>
      <c r="G3" s="486" t="str">
        <f>主表2!H3</f>
        <v>2022年</v>
      </c>
      <c r="H3" s="486" t="str">
        <f>主表2!I3</f>
        <v>2023年</v>
      </c>
      <c r="I3" s="486" t="str">
        <f>主表2!J3</f>
        <v>2024年</v>
      </c>
      <c r="J3" s="486" t="s">
        <v>297</v>
      </c>
    </row>
    <row r="4" spans="1:11" ht="24" customHeight="1">
      <c r="A4" s="486">
        <v>1</v>
      </c>
      <c r="B4" s="485" t="s">
        <v>32</v>
      </c>
      <c r="C4" s="487">
        <f t="shared" ref="C4:I4" si="0">SUM(C5:C8)</f>
        <v>23402</v>
      </c>
      <c r="D4" s="487">
        <f t="shared" si="0"/>
        <v>77705</v>
      </c>
      <c r="E4" s="487">
        <f t="shared" si="0"/>
        <v>18799</v>
      </c>
      <c r="F4" s="487">
        <f t="shared" si="0"/>
        <v>0</v>
      </c>
      <c r="G4" s="487">
        <f t="shared" si="0"/>
        <v>0</v>
      </c>
      <c r="H4" s="487">
        <f t="shared" si="0"/>
        <v>0</v>
      </c>
      <c r="I4" s="487">
        <f t="shared" si="0"/>
        <v>0</v>
      </c>
      <c r="J4" s="487">
        <f>SUM(C4:I4)</f>
        <v>119906</v>
      </c>
    </row>
    <row r="5" spans="1:11" ht="24" customHeight="1">
      <c r="A5" s="486">
        <v>2</v>
      </c>
      <c r="B5" s="485" t="s">
        <v>9</v>
      </c>
      <c r="C5" s="487">
        <f>ROUND(底表1!F5*$C$25,0)</f>
        <v>23402</v>
      </c>
      <c r="D5" s="487">
        <f>底表1!H5</f>
        <v>77705</v>
      </c>
      <c r="E5" s="487">
        <f>ROUND(底表1!J5*C25,0)</f>
        <v>18799</v>
      </c>
      <c r="F5" s="487">
        <f>ROUND(底表1!L5*C25,0)</f>
        <v>0</v>
      </c>
      <c r="G5" s="487">
        <f>ROUND(底表1!N5*C25,0)</f>
        <v>0</v>
      </c>
      <c r="H5" s="487">
        <f>ROUND(底表1!P5*C25,0)</f>
        <v>0</v>
      </c>
      <c r="I5" s="487">
        <f>底表1!R5</f>
        <v>0</v>
      </c>
      <c r="J5" s="487">
        <f>SUM(C5:I5)</f>
        <v>119906</v>
      </c>
      <c r="K5" s="40">
        <f>底表1!T5</f>
        <v>119906</v>
      </c>
    </row>
    <row r="6" spans="1:11" ht="24" customHeight="1">
      <c r="A6" s="486">
        <v>3</v>
      </c>
      <c r="B6" s="485" t="s">
        <v>29</v>
      </c>
      <c r="C6" s="487">
        <f>底表2!C17</f>
        <v>0</v>
      </c>
      <c r="D6" s="487">
        <f>底表2!D17</f>
        <v>0</v>
      </c>
      <c r="E6" s="487">
        <f>底表2!E17</f>
        <v>0</v>
      </c>
      <c r="F6" s="487">
        <f>底表2!F17</f>
        <v>0</v>
      </c>
      <c r="G6" s="487">
        <f>底表2!G17</f>
        <v>0</v>
      </c>
      <c r="H6" s="487">
        <f>底表2!H17</f>
        <v>0</v>
      </c>
      <c r="I6" s="487"/>
      <c r="J6" s="487">
        <f t="shared" ref="J6:J15" si="1">SUM(C6:I6)</f>
        <v>0</v>
      </c>
    </row>
    <row r="7" spans="1:11" ht="24" customHeight="1">
      <c r="A7" s="486">
        <v>4</v>
      </c>
      <c r="B7" s="485" t="s">
        <v>33</v>
      </c>
      <c r="C7" s="487"/>
      <c r="D7" s="487"/>
      <c r="E7" s="487"/>
      <c r="F7" s="487"/>
      <c r="G7" s="487"/>
      <c r="H7" s="487"/>
      <c r="I7" s="487"/>
      <c r="J7" s="487">
        <f t="shared" si="1"/>
        <v>0</v>
      </c>
    </row>
    <row r="8" spans="1:11" ht="24" customHeight="1">
      <c r="A8" s="486">
        <v>5</v>
      </c>
      <c r="B8" s="485" t="s">
        <v>3</v>
      </c>
      <c r="C8" s="487"/>
      <c r="D8" s="487"/>
      <c r="E8" s="487"/>
      <c r="F8" s="487"/>
      <c r="G8" s="487"/>
      <c r="H8" s="487"/>
      <c r="I8" s="487"/>
      <c r="J8" s="487">
        <f t="shared" si="1"/>
        <v>0</v>
      </c>
    </row>
    <row r="9" spans="1:11" ht="24" customHeight="1">
      <c r="A9" s="486">
        <v>6</v>
      </c>
      <c r="B9" s="485" t="s">
        <v>34</v>
      </c>
      <c r="C9" s="487">
        <f t="shared" ref="C9:I9" si="2">SUM(C10:C15)</f>
        <v>62767</v>
      </c>
      <c r="D9" s="487">
        <f t="shared" si="2"/>
        <v>31539</v>
      </c>
      <c r="E9" s="487">
        <f t="shared" si="2"/>
        <v>13661</v>
      </c>
      <c r="F9" s="487">
        <f t="shared" si="2"/>
        <v>0</v>
      </c>
      <c r="G9" s="487">
        <f>SUM(G10:G15)</f>
        <v>0</v>
      </c>
      <c r="H9" s="487"/>
      <c r="I9" s="487">
        <f t="shared" si="2"/>
        <v>0</v>
      </c>
      <c r="J9" s="487">
        <f t="shared" si="1"/>
        <v>107967</v>
      </c>
    </row>
    <row r="10" spans="1:11" ht="24" customHeight="1">
      <c r="A10" s="486">
        <v>7</v>
      </c>
      <c r="B10" s="485" t="s">
        <v>35</v>
      </c>
      <c r="C10" s="487">
        <f>ROUND(主表2!D38*$C$24,0)</f>
        <v>61445</v>
      </c>
      <c r="D10" s="487">
        <f>ROUND(主表2!E38*$C$24,0)</f>
        <v>25282</v>
      </c>
      <c r="E10" s="487">
        <f>ROUND(主表2!F38*$C$24,0)</f>
        <v>12549</v>
      </c>
      <c r="F10" s="487">
        <f>ROUND(主表2!G38*$C$24,0)</f>
        <v>0</v>
      </c>
      <c r="G10" s="487">
        <f>ROUND(主表2!H38*$C$24,0)</f>
        <v>0</v>
      </c>
      <c r="H10" s="487">
        <f>主表2!I38</f>
        <v>0</v>
      </c>
      <c r="I10" s="487">
        <f>主表2!J38</f>
        <v>0</v>
      </c>
      <c r="J10" s="487">
        <f t="shared" si="1"/>
        <v>99276</v>
      </c>
      <c r="K10" s="40">
        <f>主表2!K38</f>
        <v>99276</v>
      </c>
    </row>
    <row r="11" spans="1:11" ht="24" customHeight="1">
      <c r="A11" s="486">
        <v>8</v>
      </c>
      <c r="B11" s="485" t="s">
        <v>36</v>
      </c>
      <c r="C11" s="487">
        <f>底表3!C13</f>
        <v>0</v>
      </c>
      <c r="D11" s="487">
        <f>底表3!D13</f>
        <v>0</v>
      </c>
      <c r="E11" s="487">
        <f>底表3!E13</f>
        <v>0</v>
      </c>
      <c r="F11" s="487">
        <f>底表3!F13</f>
        <v>0</v>
      </c>
      <c r="G11" s="487">
        <f>底表3!G13</f>
        <v>0</v>
      </c>
      <c r="H11" s="487">
        <f>底表3!H13</f>
        <v>0</v>
      </c>
      <c r="I11" s="487"/>
      <c r="J11" s="487">
        <f t="shared" si="1"/>
        <v>0</v>
      </c>
    </row>
    <row r="12" spans="1:11" ht="24" customHeight="1">
      <c r="A12" s="486">
        <v>9</v>
      </c>
      <c r="B12" s="485" t="s">
        <v>37</v>
      </c>
      <c r="C12" s="487">
        <f>底表1!F12+底表2!C19</f>
        <v>702</v>
      </c>
      <c r="D12" s="487">
        <f>底表1!H12+底表2!D19</f>
        <v>2331</v>
      </c>
      <c r="E12" s="487">
        <f>底表1!J12+底表2!E19</f>
        <v>0</v>
      </c>
      <c r="F12" s="487">
        <f>底表1!L12+底表2!F19</f>
        <v>0</v>
      </c>
      <c r="G12" s="487">
        <f>底表1!N12+底表2!G19</f>
        <v>0</v>
      </c>
      <c r="H12" s="487">
        <f>底表1!P12+底表2!H19</f>
        <v>0</v>
      </c>
      <c r="I12" s="487">
        <f>底表1!R12</f>
        <v>0</v>
      </c>
      <c r="J12" s="487">
        <f t="shared" si="1"/>
        <v>3033</v>
      </c>
      <c r="K12" s="40">
        <f>底表1!T12</f>
        <v>3033</v>
      </c>
    </row>
    <row r="13" spans="1:11" ht="24" customHeight="1">
      <c r="A13" s="486">
        <v>10</v>
      </c>
      <c r="B13" s="485" t="s">
        <v>39</v>
      </c>
      <c r="C13" s="698">
        <f>'主表4-1'!C8</f>
        <v>468</v>
      </c>
      <c r="D13" s="698">
        <f>'主表4-1'!D8</f>
        <v>1554</v>
      </c>
      <c r="E13" s="698">
        <f>'主表4-1'!E8</f>
        <v>376</v>
      </c>
      <c r="F13" s="487">
        <f>'主表4-1'!F8</f>
        <v>0</v>
      </c>
      <c r="G13" s="487">
        <f>'主表4-1'!G8</f>
        <v>0</v>
      </c>
      <c r="H13" s="487"/>
      <c r="I13" s="487">
        <f>'主表4-1'!I8</f>
        <v>0</v>
      </c>
      <c r="J13" s="487">
        <f t="shared" si="1"/>
        <v>2398</v>
      </c>
      <c r="K13" s="40">
        <f>'主表4-1'!J8</f>
        <v>0</v>
      </c>
    </row>
    <row r="14" spans="1:11" ht="24" customHeight="1">
      <c r="A14" s="486">
        <v>11</v>
      </c>
      <c r="B14" s="485" t="s">
        <v>30</v>
      </c>
      <c r="C14" s="487">
        <f>'主表4-1'!C13</f>
        <v>152</v>
      </c>
      <c r="D14" s="487">
        <f>'主表4-1'!D13</f>
        <v>2372</v>
      </c>
      <c r="E14" s="487">
        <f>'主表4-1'!E13</f>
        <v>736</v>
      </c>
      <c r="F14" s="487">
        <f>'主表4-1'!F13</f>
        <v>0</v>
      </c>
      <c r="G14" s="487">
        <f>'主表4-1'!G13</f>
        <v>0</v>
      </c>
      <c r="H14" s="487"/>
      <c r="I14" s="487">
        <f>'主表4-1'!I13</f>
        <v>0</v>
      </c>
      <c r="J14" s="487">
        <f t="shared" si="1"/>
        <v>3260</v>
      </c>
      <c r="K14" s="40">
        <f>'主表4-1'!J13</f>
        <v>3260</v>
      </c>
    </row>
    <row r="15" spans="1:11" ht="24" customHeight="1">
      <c r="A15" s="486">
        <v>12</v>
      </c>
      <c r="B15" s="485"/>
      <c r="C15" s="487"/>
      <c r="D15" s="487"/>
      <c r="E15" s="487"/>
      <c r="F15" s="487"/>
      <c r="G15" s="487"/>
      <c r="H15" s="487"/>
      <c r="I15" s="487"/>
      <c r="J15" s="487">
        <f t="shared" si="1"/>
        <v>0</v>
      </c>
    </row>
    <row r="16" spans="1:11" ht="24" customHeight="1">
      <c r="A16" s="486">
        <v>13</v>
      </c>
      <c r="B16" s="485" t="s">
        <v>40</v>
      </c>
      <c r="C16" s="487">
        <f t="shared" ref="C16:I16" si="3">C4-C9</f>
        <v>-39365</v>
      </c>
      <c r="D16" s="487">
        <f t="shared" si="3"/>
        <v>46166</v>
      </c>
      <c r="E16" s="487">
        <f t="shared" si="3"/>
        <v>5138</v>
      </c>
      <c r="F16" s="487">
        <f t="shared" si="3"/>
        <v>0</v>
      </c>
      <c r="G16" s="487">
        <f t="shared" si="3"/>
        <v>0</v>
      </c>
      <c r="H16" s="487">
        <f t="shared" si="3"/>
        <v>0</v>
      </c>
      <c r="I16" s="487">
        <f t="shared" si="3"/>
        <v>0</v>
      </c>
      <c r="J16" s="487">
        <f>SUM(C16:I16)</f>
        <v>11939</v>
      </c>
    </row>
    <row r="17" spans="1:10" ht="24" customHeight="1">
      <c r="A17" s="486">
        <v>14</v>
      </c>
      <c r="B17" s="485" t="s">
        <v>41</v>
      </c>
      <c r="C17" s="487">
        <f>C16</f>
        <v>-39365</v>
      </c>
      <c r="D17" s="487">
        <f>C17+D16</f>
        <v>6801</v>
      </c>
      <c r="E17" s="487">
        <f>D17+E16</f>
        <v>11939</v>
      </c>
      <c r="F17" s="487"/>
      <c r="G17" s="487"/>
      <c r="H17" s="487"/>
      <c r="I17" s="487"/>
      <c r="J17" s="487"/>
    </row>
    <row r="18" spans="1:10" ht="24" customHeight="1">
      <c r="A18" s="486">
        <v>15</v>
      </c>
      <c r="B18" s="485" t="s">
        <v>235</v>
      </c>
      <c r="C18" s="487">
        <f>C16/(1+$C$21)^1</f>
        <v>-35147</v>
      </c>
      <c r="D18" s="487">
        <f>D16/(1+$C$21)^2</f>
        <v>36803</v>
      </c>
      <c r="E18" s="487">
        <f>E16/(1+$C$21)^3</f>
        <v>3657</v>
      </c>
      <c r="F18" s="487">
        <f>F16/(1+$C$21)^4</f>
        <v>0</v>
      </c>
      <c r="G18" s="487">
        <f>G16/(1+$C$21)^5</f>
        <v>0</v>
      </c>
      <c r="H18" s="487">
        <f>H16/(1+$C$21)^6</f>
        <v>0</v>
      </c>
      <c r="I18" s="487"/>
      <c r="J18" s="487">
        <f>SUM(C18:I18)</f>
        <v>5313</v>
      </c>
    </row>
    <row r="19" spans="1:10" ht="24" customHeight="1">
      <c r="A19" s="486">
        <v>16</v>
      </c>
      <c r="B19" s="485" t="s">
        <v>42</v>
      </c>
      <c r="C19" s="487">
        <f>C18</f>
        <v>-35147</v>
      </c>
      <c r="D19" s="487">
        <f>C19+D18</f>
        <v>1656</v>
      </c>
      <c r="E19" s="487">
        <f>D19+E18</f>
        <v>5313</v>
      </c>
      <c r="F19" s="487"/>
      <c r="G19" s="487"/>
      <c r="H19" s="487"/>
      <c r="I19" s="487"/>
      <c r="J19" s="487" t="s">
        <v>3</v>
      </c>
    </row>
    <row r="20" spans="1:10">
      <c r="A20" s="483"/>
      <c r="B20" s="483"/>
      <c r="C20" s="488"/>
      <c r="D20" s="488"/>
      <c r="E20" s="488"/>
      <c r="F20" s="488"/>
      <c r="G20" s="488"/>
      <c r="H20" s="488"/>
      <c r="I20" s="488"/>
      <c r="J20" s="488"/>
    </row>
    <row r="21" spans="1:10">
      <c r="A21" s="483" t="s">
        <v>779</v>
      </c>
      <c r="B21" s="483"/>
      <c r="C21" s="489">
        <f>基础数据!C10</f>
        <v>0.12</v>
      </c>
      <c r="D21" s="909" t="s">
        <v>780</v>
      </c>
      <c r="E21" s="909"/>
      <c r="F21" s="909"/>
      <c r="G21" s="490">
        <f>NPV(C21,C16:H16)</f>
        <v>5313</v>
      </c>
      <c r="H21" s="488" t="s">
        <v>353</v>
      </c>
      <c r="I21" s="488"/>
      <c r="J21" s="488"/>
    </row>
    <row r="22" spans="1:10">
      <c r="A22" s="483" t="s">
        <v>781</v>
      </c>
      <c r="B22" s="483"/>
      <c r="C22" s="491">
        <f>IRR(C16:H16)</f>
        <v>0.27510000000000001</v>
      </c>
      <c r="D22" s="908" t="s">
        <v>830</v>
      </c>
      <c r="E22" s="908"/>
      <c r="F22" s="908"/>
      <c r="G22" s="492">
        <f>2-1+(-C19/D18)</f>
        <v>1.96</v>
      </c>
      <c r="H22" s="488" t="s">
        <v>354</v>
      </c>
      <c r="I22" s="488"/>
      <c r="J22" s="488"/>
    </row>
    <row r="23" spans="1:10">
      <c r="C23" s="216">
        <v>1</v>
      </c>
      <c r="D23" s="216">
        <v>2</v>
      </c>
      <c r="E23" s="216">
        <v>3</v>
      </c>
      <c r="F23" s="216">
        <v>4</v>
      </c>
      <c r="G23" s="216">
        <v>5</v>
      </c>
      <c r="H23" s="216">
        <v>6</v>
      </c>
    </row>
    <row r="24" spans="1:10" ht="15">
      <c r="B24" s="506" t="s">
        <v>832</v>
      </c>
      <c r="C24" s="216">
        <v>1</v>
      </c>
    </row>
    <row r="25" spans="1:10" ht="15">
      <c r="B25" s="506" t="s">
        <v>833</v>
      </c>
      <c r="C25" s="216">
        <v>1</v>
      </c>
    </row>
  </sheetData>
  <customSheetViews>
    <customSheetView guid="{33FE80C0-0EDF-11D4-8B3D-001060002050}" showPageBreaks="1" showRuler="0" topLeftCell="E17">
      <selection activeCell="H25" sqref="H2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 r:id="rId1"/>
      <headerFooter alignWithMargins="0"/>
    </customSheetView>
    <customSheetView guid="{62777320-11E7-11D4-8B3D-00E098726125}" showRuler="0" topLeftCell="E17">
      <selection activeCell="H25" sqref="H2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 r:id="rId2"/>
      <headerFooter alignWithMargins="0"/>
    </customSheetView>
  </customSheetViews>
  <mergeCells count="4">
    <mergeCell ref="C2:H2"/>
    <mergeCell ref="A1:H1"/>
    <mergeCell ref="D22:F22"/>
    <mergeCell ref="D21:F21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3"/>
  <sheetViews>
    <sheetView zoomScale="85" zoomScaleNormal="75" zoomScaleSheetLayoutView="85" workbookViewId="0" xr3:uid="{C67EF94B-0B3B-5838-830C-E3A509766221}">
      <selection activeCell="E5" sqref="E5"/>
    </sheetView>
  </sheetViews>
  <sheetFormatPr defaultRowHeight="14.25"/>
  <cols>
    <col min="1" max="1" width="4.625" style="40" customWidth="1"/>
    <col min="2" max="2" width="27" style="40" customWidth="1"/>
    <col min="3" max="3" width="9.875" style="40" bestFit="1" customWidth="1"/>
    <col min="4" max="7" width="13.375" style="40" bestFit="1" customWidth="1"/>
    <col min="8" max="8" width="12.125" style="40" bestFit="1" customWidth="1"/>
    <col min="9" max="9" width="7.875" style="40" bestFit="1" customWidth="1"/>
    <col min="10" max="10" width="13.375" style="40" bestFit="1" customWidth="1"/>
    <col min="11" max="16384" width="9" style="40"/>
  </cols>
  <sheetData>
    <row r="1" spans="1:17" ht="27.75" customHeight="1">
      <c r="A1" s="830" t="s">
        <v>784</v>
      </c>
      <c r="B1" s="830"/>
      <c r="C1" s="830"/>
      <c r="D1" s="830"/>
      <c r="E1" s="830"/>
      <c r="F1" s="830"/>
      <c r="G1" s="830"/>
      <c r="H1" s="830"/>
      <c r="I1" s="830"/>
      <c r="J1" s="830"/>
    </row>
    <row r="2" spans="1:17" ht="68.25" customHeight="1">
      <c r="A2" s="568" t="s">
        <v>785</v>
      </c>
      <c r="B2" s="568"/>
      <c r="C2" s="910" t="str">
        <f>基础数据!C4</f>
        <v>安徽省芜湖市芜湖县荆江路以北 芜湖中路以东 世纪大道以西</v>
      </c>
      <c r="D2" s="910"/>
      <c r="E2" s="910"/>
      <c r="F2" s="910"/>
      <c r="G2" s="910"/>
      <c r="H2" s="869" t="s">
        <v>27</v>
      </c>
      <c r="I2" s="869"/>
      <c r="J2" s="869"/>
    </row>
    <row r="3" spans="1:17" ht="24.95" customHeight="1">
      <c r="A3" s="140" t="s">
        <v>28</v>
      </c>
      <c r="B3" s="141" t="s">
        <v>724</v>
      </c>
      <c r="C3" s="141" t="str">
        <f>主表2!D3</f>
        <v>2018年</v>
      </c>
      <c r="D3" s="141" t="str">
        <f>主表2!E3</f>
        <v>2019年</v>
      </c>
      <c r="E3" s="141" t="str">
        <f>主表2!F3</f>
        <v>2020年</v>
      </c>
      <c r="F3" s="141" t="str">
        <f>主表2!G3</f>
        <v>2021年</v>
      </c>
      <c r="G3" s="141" t="str">
        <f>主表2!H3</f>
        <v>2022年</v>
      </c>
      <c r="H3" s="141" t="str">
        <f>主表2!I3</f>
        <v>2023年</v>
      </c>
      <c r="I3" s="141" t="str">
        <f>主表2!J3</f>
        <v>2024年</v>
      </c>
      <c r="J3" s="141" t="s">
        <v>786</v>
      </c>
    </row>
    <row r="4" spans="1:17" ht="24.95" customHeight="1">
      <c r="A4" s="141">
        <v>1</v>
      </c>
      <c r="B4" s="140" t="s">
        <v>9</v>
      </c>
      <c r="C4" s="220">
        <f>底表1!F5</f>
        <v>23402</v>
      </c>
      <c r="D4" s="220">
        <f>底表1!H5</f>
        <v>77705</v>
      </c>
      <c r="E4" s="220">
        <f>底表1!J5</f>
        <v>18799</v>
      </c>
      <c r="F4" s="220"/>
      <c r="G4" s="220"/>
      <c r="H4" s="220"/>
      <c r="I4" s="220"/>
      <c r="J4" s="220">
        <f>SUM(C4:I4)</f>
        <v>119906</v>
      </c>
      <c r="K4" s="40">
        <f>底表1!T5</f>
        <v>119906</v>
      </c>
    </row>
    <row r="5" spans="1:17" ht="24.95" customHeight="1">
      <c r="A5" s="141">
        <v>2</v>
      </c>
      <c r="B5" s="140" t="s">
        <v>519</v>
      </c>
      <c r="C5" s="220">
        <f>ROUND(C4/$J$4*(底表1!$V$16/底表1!$V$15*主表2!$K$36),0)</f>
        <v>18382</v>
      </c>
      <c r="D5" s="220">
        <f>ROUND(D4/$J$4*(底表1!$V$16/底表1!$V$15*主表2!$K$36),0)</f>
        <v>61038</v>
      </c>
      <c r="E5" s="220">
        <f>ROUND(E4/$J$4*(底表1!$V$16/底表1!$V$15*主表2!$K$36),0)</f>
        <v>14767</v>
      </c>
      <c r="F5" s="220"/>
      <c r="G5" s="220"/>
      <c r="H5" s="220"/>
      <c r="I5" s="220"/>
      <c r="J5" s="220">
        <f>SUM(C5:I5)</f>
        <v>94187</v>
      </c>
      <c r="K5" s="40">
        <f>主表2!K36</f>
        <v>94187</v>
      </c>
      <c r="L5" s="40">
        <f>K5*底表1!V16/底表1!V15</f>
        <v>94187</v>
      </c>
    </row>
    <row r="6" spans="1:17" ht="24.95" customHeight="1">
      <c r="A6" s="141">
        <v>3</v>
      </c>
      <c r="B6" s="140" t="s">
        <v>240</v>
      </c>
      <c r="C6" s="220">
        <f>底表1!F12</f>
        <v>702</v>
      </c>
      <c r="D6" s="220">
        <f>底表1!H12</f>
        <v>2331</v>
      </c>
      <c r="E6" s="220">
        <f>底表1!J12</f>
        <v>0</v>
      </c>
      <c r="F6" s="220"/>
      <c r="G6" s="220"/>
      <c r="H6" s="220"/>
      <c r="I6" s="220"/>
      <c r="J6" s="220">
        <f>SUM(C6:I6)</f>
        <v>3033</v>
      </c>
      <c r="K6" s="40">
        <f>底表1!T12</f>
        <v>3033</v>
      </c>
    </row>
    <row r="7" spans="1:17" ht="24.95" customHeight="1">
      <c r="A7" s="141">
        <v>4</v>
      </c>
      <c r="B7" s="140" t="s">
        <v>38</v>
      </c>
      <c r="C7" s="220"/>
      <c r="D7" s="220"/>
      <c r="E7" s="220"/>
      <c r="F7" s="220"/>
      <c r="G7" s="220"/>
      <c r="H7" s="220"/>
      <c r="I7" s="220"/>
      <c r="J7" s="220">
        <f>SUM(C7:H7)</f>
        <v>0</v>
      </c>
      <c r="L7" s="159" t="s">
        <v>445</v>
      </c>
    </row>
    <row r="8" spans="1:17" s="684" customFormat="1" ht="24.95" customHeight="1">
      <c r="A8" s="681">
        <v>5</v>
      </c>
      <c r="B8" s="682" t="s">
        <v>39</v>
      </c>
      <c r="C8" s="683">
        <f>ROUND(C4*2%,0)</f>
        <v>468</v>
      </c>
      <c r="D8" s="683">
        <f>ROUND(D4*2%,0)</f>
        <v>1554</v>
      </c>
      <c r="E8" s="683">
        <f>ROUND(E4*2%,0)</f>
        <v>376</v>
      </c>
      <c r="F8" s="683"/>
      <c r="G8" s="683"/>
      <c r="H8" s="683"/>
      <c r="I8" s="683"/>
      <c r="J8" s="683">
        <f>IF(J4/(J5+J6+J7+J9+J10+J11)-1&gt;2,((J4-3*(J5+J6+J7+J9+J10+J11))*60%+(J5+J6+J7+J9+J10+J11)*(50%+0.5*40%+0.5*30%)),IF(AND(J4/(J5+J6+J7+J9+J10+J11)-1&gt;1,J4/(J5+J6+J7+J9+J10+J11)-1&lt;=2),((J4-2*(J5+J6+J7+J9+J10+J11))*50%+(J5+J6+J7+J9+J10+J11)*(0.5*40%+0.5*30%)),IF(AND(J4/(J5+J6+J7+J9+J10+J11)-1&gt;0.5,J4/(J5+J6+J7+J9+J10+J11)-1&lt;=1),((J4-1.5*(J5+J6+J7+J9+J10+J11))*40%+(J5+J6+J7+J9+J10+J11)*0.5*30%),IF(AND(J4/(J5+J6+J7+J9+J10+J11)-1&gt;=0,J4/(J5+J6+J7+J9+J10+J11)-1&lt;=0.2,基础数据!C28="是"),0,IF(AND(J4/(J5+J6+J7+J9+J10+J11)-1&gt;=0,J4/(J5+J6+J7+J9+J10+J11)-1&lt;=0.5),((J4-1*(J5+J6+J7+J9+J10+J11))*30%))))))</f>
        <v>0</v>
      </c>
      <c r="L8" s="685">
        <f>J4/(J5+J6+J7+J9+J10+J11)-1</f>
        <v>0.1477</v>
      </c>
    </row>
    <row r="9" spans="1:17" ht="24.95" customHeight="1">
      <c r="A9" s="141">
        <v>6</v>
      </c>
      <c r="B9" s="140" t="s">
        <v>313</v>
      </c>
      <c r="C9" s="220">
        <f>主表2!D31</f>
        <v>468</v>
      </c>
      <c r="D9" s="220">
        <f>主表2!E31</f>
        <v>1554</v>
      </c>
      <c r="E9" s="220">
        <f>主表2!F31</f>
        <v>376</v>
      </c>
      <c r="F9" s="220"/>
      <c r="G9" s="220"/>
      <c r="H9" s="220"/>
      <c r="I9" s="220"/>
      <c r="J9" s="220">
        <f t="shared" ref="J9:J18" si="0">SUM(C9:I9)</f>
        <v>2398</v>
      </c>
      <c r="K9" s="40">
        <f>主表2!K31</f>
        <v>2398</v>
      </c>
      <c r="L9" s="138"/>
    </row>
    <row r="10" spans="1:17" ht="24.95" customHeight="1">
      <c r="A10" s="141">
        <v>7</v>
      </c>
      <c r="B10" s="140" t="s">
        <v>480</v>
      </c>
      <c r="C10" s="220">
        <f>主表2!D32</f>
        <v>1694</v>
      </c>
      <c r="D10" s="220">
        <f>主表2!E32</f>
        <v>659</v>
      </c>
      <c r="E10" s="220">
        <f>主表2!F32</f>
        <v>338</v>
      </c>
      <c r="F10" s="220"/>
      <c r="G10" s="220"/>
      <c r="H10" s="220"/>
      <c r="I10" s="220"/>
      <c r="J10" s="220">
        <f t="shared" si="0"/>
        <v>2691</v>
      </c>
      <c r="K10" s="40">
        <f>主表2!K32</f>
        <v>2691</v>
      </c>
      <c r="L10" s="138"/>
    </row>
    <row r="11" spans="1:17" ht="24.95" customHeight="1">
      <c r="A11" s="141">
        <v>8</v>
      </c>
      <c r="B11" s="140" t="s">
        <v>234</v>
      </c>
      <c r="C11" s="220">
        <f>主表2!D33</f>
        <v>1081</v>
      </c>
      <c r="D11" s="220">
        <f>主表2!E33</f>
        <v>1081</v>
      </c>
      <c r="E11" s="220">
        <f>主表2!F33</f>
        <v>0</v>
      </c>
      <c r="F11" s="220"/>
      <c r="G11" s="220"/>
      <c r="H11" s="220"/>
      <c r="I11" s="220"/>
      <c r="J11" s="220">
        <f t="shared" si="0"/>
        <v>2162</v>
      </c>
      <c r="K11" s="40">
        <f>主表2!K33</f>
        <v>2162</v>
      </c>
      <c r="L11" s="138"/>
    </row>
    <row r="12" spans="1:17" ht="24.95" customHeight="1">
      <c r="A12" s="141">
        <v>9</v>
      </c>
      <c r="B12" s="140" t="s">
        <v>787</v>
      </c>
      <c r="C12" s="220">
        <f>C4-C5-C6-C7-C8-C9-C10-C11</f>
        <v>607</v>
      </c>
      <c r="D12" s="220">
        <f>D4-D5-D6-D7-D8-D9-D10-D11</f>
        <v>9488</v>
      </c>
      <c r="E12" s="220">
        <f>E4-E5-E6-E7-E8-E9-E10-E11</f>
        <v>2942</v>
      </c>
      <c r="F12" s="220"/>
      <c r="G12" s="220"/>
      <c r="H12" s="220"/>
      <c r="I12" s="220"/>
      <c r="J12" s="220">
        <f t="shared" si="0"/>
        <v>13037</v>
      </c>
      <c r="L12" s="142">
        <f>C12</f>
        <v>607</v>
      </c>
      <c r="M12" s="142">
        <f>D12+C12</f>
        <v>10095</v>
      </c>
      <c r="N12" s="142">
        <f>E12+D12+C12</f>
        <v>13037</v>
      </c>
      <c r="O12" s="142"/>
      <c r="P12" s="142"/>
      <c r="Q12" s="142"/>
    </row>
    <row r="13" spans="1:17" s="684" customFormat="1" ht="24.95" customHeight="1">
      <c r="A13" s="681">
        <v>10</v>
      </c>
      <c r="B13" s="682" t="s">
        <v>241</v>
      </c>
      <c r="C13" s="683">
        <f>ROUND(C12*基础数据!$C$19,0)</f>
        <v>152</v>
      </c>
      <c r="D13" s="683">
        <f>ROUND(D12*基础数据!$C$19,0)</f>
        <v>2372</v>
      </c>
      <c r="E13" s="683">
        <f>ROUND(E12*基础数据!$C$19,0)</f>
        <v>736</v>
      </c>
      <c r="F13" s="683"/>
      <c r="G13" s="683"/>
      <c r="H13" s="683"/>
      <c r="I13" s="683"/>
      <c r="J13" s="683">
        <f t="shared" si="0"/>
        <v>3260</v>
      </c>
    </row>
    <row r="14" spans="1:17" ht="24.95" customHeight="1">
      <c r="A14" s="141">
        <v>11</v>
      </c>
      <c r="B14" s="140" t="s">
        <v>111</v>
      </c>
      <c r="C14" s="220">
        <f>C12-C13</f>
        <v>455</v>
      </c>
      <c r="D14" s="220">
        <f>D12-D13</f>
        <v>7116</v>
      </c>
      <c r="E14" s="220">
        <f>E12-E13</f>
        <v>2206</v>
      </c>
      <c r="F14" s="220"/>
      <c r="G14" s="220"/>
      <c r="H14" s="220"/>
      <c r="I14" s="220"/>
      <c r="J14" s="220">
        <f t="shared" si="0"/>
        <v>9777</v>
      </c>
    </row>
    <row r="15" spans="1:17" ht="24.95" customHeight="1">
      <c r="A15" s="141">
        <v>12</v>
      </c>
      <c r="B15" s="140" t="s">
        <v>788</v>
      </c>
      <c r="C15" s="220"/>
      <c r="D15" s="220">
        <f>C20</f>
        <v>387</v>
      </c>
      <c r="E15" s="220">
        <f>D20</f>
        <v>6436</v>
      </c>
      <c r="F15" s="220"/>
      <c r="G15" s="220"/>
      <c r="H15" s="220"/>
      <c r="I15" s="220"/>
      <c r="J15" s="220">
        <f t="shared" si="0"/>
        <v>6823</v>
      </c>
    </row>
    <row r="16" spans="1:17" ht="24.95" customHeight="1">
      <c r="A16" s="141">
        <v>13</v>
      </c>
      <c r="B16" s="140" t="s">
        <v>113</v>
      </c>
      <c r="C16" s="220">
        <f>C15+C14</f>
        <v>455</v>
      </c>
      <c r="D16" s="220">
        <f>D15+D14</f>
        <v>7503</v>
      </c>
      <c r="E16" s="220">
        <f>E15+E14</f>
        <v>8642</v>
      </c>
      <c r="F16" s="220"/>
      <c r="G16" s="220"/>
      <c r="H16" s="220"/>
      <c r="I16" s="220"/>
      <c r="J16" s="220">
        <f t="shared" si="0"/>
        <v>16600</v>
      </c>
    </row>
    <row r="17" spans="1:14" s="684" customFormat="1" ht="24.95" customHeight="1">
      <c r="A17" s="681">
        <v>14</v>
      </c>
      <c r="B17" s="682" t="s">
        <v>789</v>
      </c>
      <c r="C17" s="683">
        <f>IF(C14&lt;0,0,IF(C14&gt;=0,C14*基础数据!$C$29))</f>
        <v>68</v>
      </c>
      <c r="D17" s="683">
        <f>IF(D14&lt;0,0,IF(D14&gt;=0,D14*基础数据!$C$29))</f>
        <v>1067</v>
      </c>
      <c r="E17" s="683">
        <f>IF(E14&lt;0,0,IF(E14&gt;=0,E14*基础数据!$C$29))</f>
        <v>331</v>
      </c>
      <c r="F17" s="683"/>
      <c r="G17" s="683"/>
      <c r="H17" s="683"/>
      <c r="I17" s="683"/>
      <c r="J17" s="683">
        <f t="shared" si="0"/>
        <v>1466</v>
      </c>
    </row>
    <row r="18" spans="1:14" s="684" customFormat="1" ht="24.95" customHeight="1">
      <c r="A18" s="681">
        <v>15</v>
      </c>
      <c r="B18" s="682" t="s">
        <v>790</v>
      </c>
      <c r="C18" s="683">
        <f>IF(C14&lt;0,0,IF(C14&gt;=0,C14*基础数据!$C$30))</f>
        <v>23</v>
      </c>
      <c r="D18" s="683">
        <f>IF(D14&lt;0,0,IF(D14&gt;=0,D14*基础数据!$C$30))</f>
        <v>356</v>
      </c>
      <c r="E18" s="683">
        <f>IF(E14&lt;0,0,IF(E14&gt;=0,E14*基础数据!$C$30))</f>
        <v>110</v>
      </c>
      <c r="F18" s="683"/>
      <c r="G18" s="683"/>
      <c r="H18" s="683"/>
      <c r="I18" s="683"/>
      <c r="J18" s="683">
        <f t="shared" si="0"/>
        <v>489</v>
      </c>
    </row>
    <row r="19" spans="1:14" ht="24.95" customHeight="1">
      <c r="A19" s="141">
        <v>16</v>
      </c>
      <c r="B19" s="140" t="s">
        <v>791</v>
      </c>
      <c r="C19" s="220"/>
      <c r="D19" s="220"/>
      <c r="E19" s="220"/>
      <c r="F19" s="220"/>
      <c r="G19" s="220"/>
      <c r="H19" s="220"/>
      <c r="I19" s="220"/>
      <c r="J19" s="220">
        <f>SUM(C19:H19)</f>
        <v>0</v>
      </c>
      <c r="N19" s="158">
        <f>J12/J4</f>
        <v>0.11</v>
      </c>
    </row>
    <row r="20" spans="1:14" ht="24.95" customHeight="1">
      <c r="A20" s="141">
        <v>17</v>
      </c>
      <c r="B20" s="140" t="s">
        <v>116</v>
      </c>
      <c r="C20" s="220">
        <f t="shared" ref="C20:H20" si="1">C16-C17-C19</f>
        <v>387</v>
      </c>
      <c r="D20" s="220">
        <f t="shared" si="1"/>
        <v>6436</v>
      </c>
      <c r="E20" s="220">
        <f t="shared" si="1"/>
        <v>8311</v>
      </c>
      <c r="F20" s="220">
        <f t="shared" si="1"/>
        <v>0</v>
      </c>
      <c r="G20" s="220">
        <f t="shared" si="1"/>
        <v>0</v>
      </c>
      <c r="H20" s="220">
        <f t="shared" si="1"/>
        <v>0</v>
      </c>
      <c r="I20" s="220"/>
      <c r="J20" s="220">
        <f>C20+D20+E20</f>
        <v>15134</v>
      </c>
      <c r="N20" s="158">
        <f>主表1_1!L32</f>
        <v>0.13</v>
      </c>
    </row>
    <row r="23" spans="1:14" ht="15">
      <c r="B23" s="111" t="s">
        <v>626</v>
      </c>
      <c r="C23" s="160">
        <f>(J11+J12)/J11</f>
        <v>7.03</v>
      </c>
      <c r="D23" s="161" t="s">
        <v>627</v>
      </c>
    </row>
  </sheetData>
  <customSheetViews>
    <customSheetView guid="{33FE80C0-0EDF-11D4-8B3D-001060002050}" scale="75" showPageBreaks="1" showRuler="0">
      <selection activeCell="L9" sqref="L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  <customSheetView guid="{62777320-11E7-11D4-8B3D-00E098726125}" scale="75" showRuler="0">
      <selection activeCell="L9" sqref="L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2"/>
      <headerFooter alignWithMargins="0"/>
    </customSheetView>
  </customSheetViews>
  <mergeCells count="3">
    <mergeCell ref="H2:J2"/>
    <mergeCell ref="A1:J1"/>
    <mergeCell ref="C2:G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4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zoomScale="85" zoomScaleNormal="100" zoomScaleSheetLayoutView="85" workbookViewId="0" xr3:uid="{274F5AE0-5452-572F-8038-C13FFDA59D49}">
      <selection activeCell="C21" sqref="C21"/>
    </sheetView>
  </sheetViews>
  <sheetFormatPr defaultRowHeight="14.25"/>
  <cols>
    <col min="1" max="1" width="6.875" style="40" customWidth="1"/>
    <col min="2" max="2" width="26.25" style="40" customWidth="1"/>
    <col min="3" max="6" width="10.625" style="40" customWidth="1"/>
    <col min="7" max="7" width="9.125" style="40" bestFit="1" customWidth="1"/>
    <col min="8" max="8" width="9.75" style="40" bestFit="1" customWidth="1"/>
    <col min="9" max="9" width="9.125" style="216" hidden="1" customWidth="1"/>
    <col min="10" max="10" width="9.75" style="40" bestFit="1" customWidth="1"/>
    <col min="11" max="16384" width="9" style="40"/>
  </cols>
  <sheetData>
    <row r="1" spans="1:11" ht="29.25" customHeight="1">
      <c r="A1" s="830" t="s">
        <v>792</v>
      </c>
      <c r="B1" s="830"/>
      <c r="C1" s="830"/>
      <c r="D1" s="830"/>
      <c r="E1" s="830"/>
      <c r="F1" s="830"/>
      <c r="G1" s="830"/>
      <c r="H1" s="830"/>
      <c r="I1" s="830"/>
      <c r="J1" s="830"/>
    </row>
    <row r="2" spans="1:11" ht="66" customHeight="1">
      <c r="A2" s="568" t="s">
        <v>793</v>
      </c>
      <c r="B2" s="833" t="str">
        <f>基础数据!C4</f>
        <v>安徽省芜湖市芜湖县荆江路以北 芜湖中路以东 世纪大道以西</v>
      </c>
      <c r="C2" s="833"/>
      <c r="D2" s="833"/>
      <c r="E2" s="833"/>
      <c r="G2" s="139"/>
      <c r="H2" s="869" t="s">
        <v>27</v>
      </c>
      <c r="I2" s="869"/>
      <c r="J2" s="139"/>
    </row>
    <row r="3" spans="1:11" ht="20.100000000000001" customHeight="1">
      <c r="A3" s="140" t="s">
        <v>28</v>
      </c>
      <c r="B3" s="153" t="s">
        <v>724</v>
      </c>
      <c r="C3" s="141" t="str">
        <f>主表2!D3</f>
        <v>2018年</v>
      </c>
      <c r="D3" s="141" t="str">
        <f>主表2!E3</f>
        <v>2019年</v>
      </c>
      <c r="E3" s="141" t="str">
        <f>主表2!F3</f>
        <v>2020年</v>
      </c>
      <c r="F3" s="141" t="str">
        <f>主表2!G3</f>
        <v>2021年</v>
      </c>
      <c r="G3" s="141" t="str">
        <f>主表2!H3</f>
        <v>2022年</v>
      </c>
      <c r="H3" s="141" t="str">
        <f>主表2!I3</f>
        <v>2023年</v>
      </c>
      <c r="I3" s="141" t="str">
        <f>主表2!J3</f>
        <v>2024年</v>
      </c>
      <c r="J3" s="141" t="s">
        <v>297</v>
      </c>
    </row>
    <row r="4" spans="1:11" ht="20.100000000000001" customHeight="1">
      <c r="A4" s="141">
        <v>1</v>
      </c>
      <c r="B4" s="564" t="s">
        <v>939</v>
      </c>
      <c r="C4" s="400">
        <f t="shared" ref="C4:I4" si="0">C5+C9+C16</f>
        <v>67202</v>
      </c>
      <c r="D4" s="400">
        <f t="shared" si="0"/>
        <v>77705</v>
      </c>
      <c r="E4" s="400">
        <f t="shared" si="0"/>
        <v>18799</v>
      </c>
      <c r="F4" s="400">
        <f t="shared" si="0"/>
        <v>0</v>
      </c>
      <c r="G4" s="400">
        <f t="shared" si="0"/>
        <v>0</v>
      </c>
      <c r="H4" s="400">
        <f t="shared" si="0"/>
        <v>0</v>
      </c>
      <c r="I4" s="400">
        <f t="shared" si="0"/>
        <v>0</v>
      </c>
      <c r="J4" s="220">
        <f>SUM(C4:I4)</f>
        <v>163706</v>
      </c>
    </row>
    <row r="5" spans="1:11" ht="20.100000000000001" customHeight="1">
      <c r="A5" s="141">
        <v>2</v>
      </c>
      <c r="B5" s="140" t="s">
        <v>43</v>
      </c>
      <c r="C5" s="220">
        <f t="shared" ref="C5:I5" si="1">SUM(C6:C8)</f>
        <v>23402</v>
      </c>
      <c r="D5" s="220">
        <f t="shared" si="1"/>
        <v>77705</v>
      </c>
      <c r="E5" s="220">
        <f t="shared" si="1"/>
        <v>18799</v>
      </c>
      <c r="F5" s="220">
        <f t="shared" si="1"/>
        <v>0</v>
      </c>
      <c r="G5" s="220">
        <f t="shared" si="1"/>
        <v>0</v>
      </c>
      <c r="H5" s="220">
        <f t="shared" si="1"/>
        <v>0</v>
      </c>
      <c r="I5" s="220">
        <f t="shared" si="1"/>
        <v>0</v>
      </c>
      <c r="J5" s="220">
        <f>SUM(C5:I5)</f>
        <v>119906</v>
      </c>
    </row>
    <row r="6" spans="1:11" ht="20.100000000000001" customHeight="1">
      <c r="A6" s="141">
        <v>3</v>
      </c>
      <c r="B6" s="140" t="s">
        <v>725</v>
      </c>
      <c r="C6" s="220">
        <f>主表3!C5</f>
        <v>23402</v>
      </c>
      <c r="D6" s="220">
        <f>主表3!D5</f>
        <v>77705</v>
      </c>
      <c r="E6" s="220">
        <f>主表3!E5</f>
        <v>18799</v>
      </c>
      <c r="F6" s="220">
        <f>主表3!F5</f>
        <v>0</v>
      </c>
      <c r="G6" s="220">
        <f>主表3!G5</f>
        <v>0</v>
      </c>
      <c r="H6" s="220">
        <f>主表3!H5</f>
        <v>0</v>
      </c>
      <c r="I6" s="220">
        <f>底表1!R5</f>
        <v>0</v>
      </c>
      <c r="J6" s="220">
        <f>SUM(C6:I6)</f>
        <v>119906</v>
      </c>
      <c r="K6" s="40">
        <f>底表1!T5</f>
        <v>119906</v>
      </c>
    </row>
    <row r="7" spans="1:11" ht="20.100000000000001" customHeight="1">
      <c r="A7" s="141">
        <v>4</v>
      </c>
      <c r="B7" s="140" t="s">
        <v>726</v>
      </c>
      <c r="C7" s="220">
        <f>主表3!C6</f>
        <v>0</v>
      </c>
      <c r="D7" s="220">
        <f>主表3!D6</f>
        <v>0</v>
      </c>
      <c r="E7" s="220">
        <f>主表3!E6</f>
        <v>0</v>
      </c>
      <c r="F7" s="220">
        <f>主表3!F6</f>
        <v>0</v>
      </c>
      <c r="G7" s="220">
        <f>主表3!G6</f>
        <v>0</v>
      </c>
      <c r="H7" s="220">
        <f>主表3!H6</f>
        <v>0</v>
      </c>
      <c r="I7" s="220"/>
      <c r="J7" s="220">
        <f>SUM(C7:H7)</f>
        <v>0</v>
      </c>
    </row>
    <row r="8" spans="1:11" ht="20.100000000000001" customHeight="1">
      <c r="A8" s="141">
        <v>5</v>
      </c>
      <c r="B8" s="140" t="s">
        <v>727</v>
      </c>
      <c r="C8" s="220"/>
      <c r="D8" s="220"/>
      <c r="E8" s="220"/>
      <c r="F8" s="220"/>
      <c r="G8" s="220"/>
      <c r="H8" s="220"/>
      <c r="I8" s="220"/>
      <c r="J8" s="220">
        <f>SUM(C8:H8)</f>
        <v>0</v>
      </c>
    </row>
    <row r="9" spans="1:11" ht="20.100000000000001" customHeight="1">
      <c r="A9" s="141">
        <v>6</v>
      </c>
      <c r="B9" s="140" t="s">
        <v>44</v>
      </c>
      <c r="C9" s="220">
        <f t="shared" ref="C9:I9" si="2">SUM(C10:C15)</f>
        <v>43800</v>
      </c>
      <c r="D9" s="220">
        <f>SUM(D10:D15)</f>
        <v>0</v>
      </c>
      <c r="E9" s="220">
        <f t="shared" si="2"/>
        <v>0</v>
      </c>
      <c r="F9" s="220">
        <f t="shared" si="2"/>
        <v>0</v>
      </c>
      <c r="G9" s="220">
        <f t="shared" si="2"/>
        <v>0</v>
      </c>
      <c r="H9" s="220">
        <f t="shared" si="2"/>
        <v>0</v>
      </c>
      <c r="I9" s="220">
        <f t="shared" si="2"/>
        <v>0</v>
      </c>
      <c r="J9" s="220">
        <f>SUM(C9:I9)</f>
        <v>43800</v>
      </c>
      <c r="K9" s="40">
        <f>主表2!K4-主表2!K10</f>
        <v>43800</v>
      </c>
    </row>
    <row r="10" spans="1:11" ht="20.100000000000001" customHeight="1">
      <c r="A10" s="141">
        <v>7</v>
      </c>
      <c r="B10" s="529" t="str">
        <f>主表2!C5</f>
        <v>五矿信托股东借款</v>
      </c>
      <c r="C10" s="220">
        <f>主表2!D5</f>
        <v>18800</v>
      </c>
      <c r="D10" s="220">
        <f>主表2!E5</f>
        <v>0</v>
      </c>
      <c r="E10" s="220">
        <f>主表2!F5</f>
        <v>0</v>
      </c>
      <c r="F10" s="220">
        <f>主表2!G5</f>
        <v>0</v>
      </c>
      <c r="G10" s="220">
        <f>主表2!H5</f>
        <v>0</v>
      </c>
      <c r="H10" s="220">
        <f>主表2!I9</f>
        <v>0</v>
      </c>
      <c r="I10" s="220">
        <f>主表2!J9</f>
        <v>0</v>
      </c>
      <c r="J10" s="220">
        <f t="shared" ref="J10:J27" si="3">SUM(C10:I10)</f>
        <v>18800</v>
      </c>
    </row>
    <row r="11" spans="1:11" ht="20.100000000000001" customHeight="1">
      <c r="A11" s="141">
        <v>8</v>
      </c>
      <c r="B11" s="529">
        <f>主表2!C6</f>
        <v>0</v>
      </c>
      <c r="C11" s="220">
        <f>主表2!D6</f>
        <v>0</v>
      </c>
      <c r="D11" s="220">
        <f>主表2!E6</f>
        <v>0</v>
      </c>
      <c r="E11" s="220">
        <f>主表2!F6</f>
        <v>0</v>
      </c>
      <c r="F11" s="220">
        <f>主表2!G6</f>
        <v>0</v>
      </c>
      <c r="G11" s="220">
        <f>主表2!H6</f>
        <v>0</v>
      </c>
      <c r="H11" s="220"/>
      <c r="I11" s="220"/>
      <c r="J11" s="220">
        <f t="shared" si="3"/>
        <v>0</v>
      </c>
    </row>
    <row r="12" spans="1:11" ht="20.100000000000001" customHeight="1">
      <c r="A12" s="141">
        <v>9</v>
      </c>
      <c r="B12" s="529" t="str">
        <f>主表2!C7</f>
        <v>自有资金</v>
      </c>
      <c r="C12" s="220">
        <f>主表2!D7</f>
        <v>25000</v>
      </c>
      <c r="D12" s="220">
        <f>主表2!E7</f>
        <v>0</v>
      </c>
      <c r="E12" s="220">
        <f>主表2!F7</f>
        <v>0</v>
      </c>
      <c r="F12" s="220">
        <f>主表2!G7</f>
        <v>0</v>
      </c>
      <c r="G12" s="220">
        <f>主表2!H7</f>
        <v>0</v>
      </c>
      <c r="H12" s="220"/>
      <c r="I12" s="220"/>
      <c r="J12" s="220">
        <f t="shared" si="3"/>
        <v>25000</v>
      </c>
    </row>
    <row r="13" spans="1:11" ht="20.100000000000001" customHeight="1">
      <c r="A13" s="141">
        <v>10</v>
      </c>
      <c r="B13" s="529">
        <f>主表2!C8</f>
        <v>0</v>
      </c>
      <c r="C13" s="220">
        <f>主表2!D8</f>
        <v>0</v>
      </c>
      <c r="D13" s="220">
        <f>主表2!E8</f>
        <v>0</v>
      </c>
      <c r="E13" s="220">
        <f>主表2!F8</f>
        <v>0</v>
      </c>
      <c r="F13" s="220">
        <f>主表2!G8</f>
        <v>0</v>
      </c>
      <c r="G13" s="220">
        <f>主表2!H8</f>
        <v>0</v>
      </c>
      <c r="H13" s="220"/>
      <c r="I13" s="220"/>
      <c r="J13" s="220">
        <f t="shared" si="3"/>
        <v>0</v>
      </c>
    </row>
    <row r="14" spans="1:11" ht="20.100000000000001" customHeight="1">
      <c r="A14" s="141">
        <v>11</v>
      </c>
      <c r="B14" s="529">
        <f>主表2!C9</f>
        <v>0</v>
      </c>
      <c r="C14" s="220">
        <f>主表2!D9</f>
        <v>0</v>
      </c>
      <c r="D14" s="220">
        <f>主表2!E9</f>
        <v>0</v>
      </c>
      <c r="E14" s="220">
        <f>主表2!F9</f>
        <v>0</v>
      </c>
      <c r="F14" s="220">
        <f>主表2!G9</f>
        <v>0</v>
      </c>
      <c r="G14" s="220">
        <f>主表2!H9</f>
        <v>0</v>
      </c>
      <c r="H14" s="220">
        <f>主表2!I5+主表2!I6</f>
        <v>0</v>
      </c>
      <c r="I14" s="220">
        <f>主表2!J5+主表2!J6</f>
        <v>0</v>
      </c>
      <c r="J14" s="220">
        <f t="shared" si="3"/>
        <v>0</v>
      </c>
    </row>
    <row r="15" spans="1:11" ht="20.100000000000001" customHeight="1">
      <c r="A15" s="141">
        <v>12</v>
      </c>
      <c r="B15" s="529" t="str">
        <f>主表2!C10</f>
        <v>销售收入回款</v>
      </c>
      <c r="C15" s="220"/>
      <c r="D15" s="220"/>
      <c r="E15" s="220"/>
      <c r="F15" s="220"/>
      <c r="G15" s="220"/>
      <c r="H15" s="220"/>
      <c r="I15" s="220"/>
      <c r="J15" s="220">
        <f t="shared" si="3"/>
        <v>0</v>
      </c>
    </row>
    <row r="16" spans="1:11" ht="20.100000000000001" customHeight="1">
      <c r="A16" s="141">
        <v>13</v>
      </c>
      <c r="B16" s="140"/>
      <c r="C16" s="220"/>
      <c r="D16" s="220"/>
      <c r="E16" s="220"/>
      <c r="F16" s="220"/>
      <c r="G16" s="220"/>
      <c r="H16" s="220"/>
      <c r="I16" s="220"/>
      <c r="J16" s="220">
        <f t="shared" si="3"/>
        <v>0</v>
      </c>
    </row>
    <row r="17" spans="1:11" ht="20.100000000000001" customHeight="1">
      <c r="A17" s="141">
        <v>14</v>
      </c>
      <c r="B17" s="564" t="s">
        <v>940</v>
      </c>
      <c r="C17" s="220">
        <f t="shared" ref="C17:I17" si="4">SUM(C18:C27)</f>
        <v>63871</v>
      </c>
      <c r="D17" s="220">
        <f t="shared" si="4"/>
        <v>32976</v>
      </c>
      <c r="E17" s="220">
        <f t="shared" si="4"/>
        <v>13771</v>
      </c>
      <c r="F17" s="220">
        <f t="shared" si="4"/>
        <v>0</v>
      </c>
      <c r="G17" s="220">
        <f t="shared" si="4"/>
        <v>0</v>
      </c>
      <c r="H17" s="220">
        <f t="shared" si="4"/>
        <v>0</v>
      </c>
      <c r="I17" s="220">
        <f t="shared" si="4"/>
        <v>0</v>
      </c>
      <c r="J17" s="220">
        <f t="shared" si="3"/>
        <v>110618</v>
      </c>
    </row>
    <row r="18" spans="1:11" ht="20.100000000000001" customHeight="1">
      <c r="A18" s="141">
        <v>15</v>
      </c>
      <c r="B18" s="140" t="s">
        <v>444</v>
      </c>
      <c r="C18" s="220">
        <f>主表2!D38</f>
        <v>61445</v>
      </c>
      <c r="D18" s="220">
        <f>主表2!E38</f>
        <v>25282</v>
      </c>
      <c r="E18" s="220">
        <f>主表2!F38</f>
        <v>12549</v>
      </c>
      <c r="F18" s="220">
        <f>主表2!G38</f>
        <v>0</v>
      </c>
      <c r="G18" s="220">
        <f>主表2!H38</f>
        <v>0</v>
      </c>
      <c r="H18" s="220">
        <f>主表2!I38</f>
        <v>0</v>
      </c>
      <c r="I18" s="220">
        <f>主表2!J38</f>
        <v>0</v>
      </c>
      <c r="J18" s="220">
        <f t="shared" si="3"/>
        <v>99276</v>
      </c>
      <c r="K18" s="40">
        <f>主表2!K38</f>
        <v>99276</v>
      </c>
    </row>
    <row r="19" spans="1:11" ht="20.100000000000001" customHeight="1">
      <c r="A19" s="141">
        <v>16</v>
      </c>
      <c r="B19" s="140" t="s">
        <v>728</v>
      </c>
      <c r="C19" s="220">
        <f>底表3!C13</f>
        <v>0</v>
      </c>
      <c r="D19" s="220">
        <f>底表3!D13</f>
        <v>0</v>
      </c>
      <c r="E19" s="220">
        <f>底表3!E13</f>
        <v>0</v>
      </c>
      <c r="F19" s="220">
        <f>底表3!F13</f>
        <v>0</v>
      </c>
      <c r="G19" s="220">
        <f>底表3!G13</f>
        <v>0</v>
      </c>
      <c r="H19" s="220">
        <f>底表3!H13</f>
        <v>0</v>
      </c>
      <c r="I19" s="220"/>
      <c r="J19" s="220">
        <f t="shared" si="3"/>
        <v>0</v>
      </c>
    </row>
    <row r="20" spans="1:11" ht="20.100000000000001" customHeight="1">
      <c r="A20" s="141">
        <v>17</v>
      </c>
      <c r="B20" s="140" t="s">
        <v>45</v>
      </c>
      <c r="C20" s="220">
        <f>主表3!C12</f>
        <v>702</v>
      </c>
      <c r="D20" s="220">
        <f>主表3!D12</f>
        <v>2331</v>
      </c>
      <c r="E20" s="220">
        <f>主表3!E12</f>
        <v>0</v>
      </c>
      <c r="F20" s="220">
        <f>主表3!F12</f>
        <v>0</v>
      </c>
      <c r="G20" s="220">
        <f>主表3!G12</f>
        <v>0</v>
      </c>
      <c r="H20" s="220">
        <f>主表3!H12</f>
        <v>0</v>
      </c>
      <c r="I20" s="220">
        <f>主表3!I12</f>
        <v>0</v>
      </c>
      <c r="J20" s="220">
        <f t="shared" si="3"/>
        <v>3033</v>
      </c>
      <c r="K20" s="40">
        <f>底表1!T12</f>
        <v>3033</v>
      </c>
    </row>
    <row r="21" spans="1:11" ht="20.100000000000001" customHeight="1">
      <c r="A21" s="141">
        <v>18</v>
      </c>
      <c r="B21" s="140" t="s">
        <v>234</v>
      </c>
      <c r="C21" s="220">
        <f>主表2!D33</f>
        <v>1081</v>
      </c>
      <c r="D21" s="220">
        <f>主表2!E33</f>
        <v>1081</v>
      </c>
      <c r="E21" s="220">
        <f>主表2!F33</f>
        <v>0</v>
      </c>
      <c r="F21" s="220">
        <f>主表2!G33</f>
        <v>0</v>
      </c>
      <c r="G21" s="220">
        <f>主表2!H33</f>
        <v>0</v>
      </c>
      <c r="H21" s="220">
        <f>主表2!I33</f>
        <v>0</v>
      </c>
      <c r="I21" s="220">
        <f>主表2!J33</f>
        <v>0</v>
      </c>
      <c r="J21" s="220">
        <f t="shared" si="3"/>
        <v>2162</v>
      </c>
      <c r="K21" s="40">
        <f>主表2!K33</f>
        <v>2162</v>
      </c>
    </row>
    <row r="22" spans="1:11" ht="20.100000000000001" customHeight="1">
      <c r="A22" s="141">
        <v>19</v>
      </c>
      <c r="B22" s="140" t="s">
        <v>39</v>
      </c>
      <c r="C22" s="220">
        <f>'主表4-1'!C8</f>
        <v>468</v>
      </c>
      <c r="D22" s="220">
        <f>'主表4-1'!D8</f>
        <v>1554</v>
      </c>
      <c r="E22" s="220">
        <f>'主表4-1'!E8</f>
        <v>376</v>
      </c>
      <c r="F22" s="220">
        <f>'主表4-1'!F8</f>
        <v>0</v>
      </c>
      <c r="G22" s="220">
        <f>'主表4-1'!G8</f>
        <v>0</v>
      </c>
      <c r="H22" s="220">
        <f>'主表4-1'!H8</f>
        <v>0</v>
      </c>
      <c r="I22" s="220">
        <f>'主表4-1'!I8</f>
        <v>0</v>
      </c>
      <c r="J22" s="220">
        <f t="shared" si="3"/>
        <v>2398</v>
      </c>
    </row>
    <row r="23" spans="1:11" ht="20.100000000000001" customHeight="1">
      <c r="A23" s="141">
        <v>20</v>
      </c>
      <c r="B23" s="140" t="s">
        <v>38</v>
      </c>
      <c r="C23" s="220"/>
      <c r="D23" s="220"/>
      <c r="E23" s="220"/>
      <c r="F23" s="220"/>
      <c r="G23" s="220"/>
      <c r="H23" s="220"/>
      <c r="I23" s="220"/>
      <c r="J23" s="220">
        <f t="shared" si="3"/>
        <v>0</v>
      </c>
    </row>
    <row r="24" spans="1:11" ht="20.100000000000001" customHeight="1">
      <c r="A24" s="141">
        <v>21</v>
      </c>
      <c r="B24" s="140" t="s">
        <v>30</v>
      </c>
      <c r="C24" s="220">
        <f>'主表4-1'!C13+主表4_2!C8</f>
        <v>152</v>
      </c>
      <c r="D24" s="220">
        <f>'主表4-1'!D13+主表4_2!D8</f>
        <v>2372</v>
      </c>
      <c r="E24" s="220">
        <f>'主表4-1'!E13+主表4_2!E8</f>
        <v>736</v>
      </c>
      <c r="F24" s="220">
        <f>'主表4-1'!F13+主表4_2!F8</f>
        <v>0</v>
      </c>
      <c r="G24" s="220">
        <f>'主表4-1'!G13+主表4_2!G8</f>
        <v>0</v>
      </c>
      <c r="H24" s="220">
        <f>'主表4-1'!H13+主表4_2!H8</f>
        <v>0</v>
      </c>
      <c r="I24" s="220">
        <f>'主表4-1'!I13+主表4_2!I8</f>
        <v>0</v>
      </c>
      <c r="J24" s="220">
        <f t="shared" si="3"/>
        <v>3260</v>
      </c>
      <c r="K24" s="40">
        <f>'主表4-1'!J13</f>
        <v>3260</v>
      </c>
    </row>
    <row r="25" spans="1:11" ht="20.100000000000001" customHeight="1">
      <c r="A25" s="141">
        <v>22</v>
      </c>
      <c r="B25" s="140" t="s">
        <v>46</v>
      </c>
      <c r="C25" s="220">
        <f>'主表4-1'!C18+主表4_2!C13</f>
        <v>23</v>
      </c>
      <c r="D25" s="220">
        <f>'主表4-1'!D18+主表4_2!D13</f>
        <v>356</v>
      </c>
      <c r="E25" s="220">
        <f>'主表4-1'!E18+主表4_2!E13</f>
        <v>110</v>
      </c>
      <c r="F25" s="220">
        <f>'主表4-1'!F18+主表4_2!F13</f>
        <v>0</v>
      </c>
      <c r="G25" s="220">
        <f>'主表4-1'!G18+主表4_2!G13</f>
        <v>0</v>
      </c>
      <c r="H25" s="220">
        <f>'主表4-1'!H18+主表4_2!H13</f>
        <v>0</v>
      </c>
      <c r="I25" s="220">
        <f>'主表4-1'!I18+主表4_2!I13</f>
        <v>0</v>
      </c>
      <c r="J25" s="220">
        <f t="shared" si="3"/>
        <v>489</v>
      </c>
      <c r="K25" s="40">
        <f>'主表4-1'!J18</f>
        <v>489</v>
      </c>
    </row>
    <row r="26" spans="1:11" ht="20.100000000000001" customHeight="1">
      <c r="A26" s="141">
        <v>23</v>
      </c>
      <c r="B26" s="140" t="s">
        <v>47</v>
      </c>
      <c r="C26" s="220">
        <f>'主表4-1'!C19+主表4_2!C14</f>
        <v>0</v>
      </c>
      <c r="D26" s="220">
        <f>'主表4-1'!D19+主表4_2!D14</f>
        <v>0</v>
      </c>
      <c r="E26" s="220">
        <f>'主表4-1'!E19+主表4_2!E14</f>
        <v>0</v>
      </c>
      <c r="F26" s="220">
        <f>'主表4-1'!F19+主表4_2!F14</f>
        <v>0</v>
      </c>
      <c r="G26" s="220">
        <f>'主表4-1'!G19+主表4_2!G14</f>
        <v>0</v>
      </c>
      <c r="H26" s="220">
        <f>'主表4-1'!H19+主表4_2!H14</f>
        <v>0</v>
      </c>
      <c r="I26" s="220">
        <f>'主表4-1'!I19+主表4_2!I14</f>
        <v>0</v>
      </c>
      <c r="J26" s="220">
        <f t="shared" si="3"/>
        <v>0</v>
      </c>
    </row>
    <row r="27" spans="1:11" ht="20.100000000000001" customHeight="1">
      <c r="A27" s="141">
        <v>24</v>
      </c>
      <c r="B27" s="140" t="s">
        <v>296</v>
      </c>
      <c r="C27" s="220"/>
      <c r="D27" s="220"/>
      <c r="E27" s="220"/>
      <c r="F27" s="220"/>
      <c r="G27" s="220"/>
      <c r="H27" s="220"/>
      <c r="I27" s="220"/>
      <c r="J27" s="220">
        <f t="shared" si="3"/>
        <v>0</v>
      </c>
    </row>
    <row r="28" spans="1:11" ht="15">
      <c r="A28" s="141">
        <v>25</v>
      </c>
      <c r="B28" s="565" t="s">
        <v>941</v>
      </c>
      <c r="C28" s="220">
        <f t="shared" ref="C28:I28" si="5">C4-C17</f>
        <v>3331</v>
      </c>
      <c r="D28" s="220">
        <f>D4-D17</f>
        <v>44729</v>
      </c>
      <c r="E28" s="220">
        <f t="shared" si="5"/>
        <v>5028</v>
      </c>
      <c r="F28" s="220">
        <f t="shared" si="5"/>
        <v>0</v>
      </c>
      <c r="G28" s="220">
        <f t="shared" si="5"/>
        <v>0</v>
      </c>
      <c r="H28" s="220"/>
      <c r="I28" s="220">
        <f t="shared" si="5"/>
        <v>0</v>
      </c>
      <c r="J28" s="220">
        <f>SUM(C28:I28)</f>
        <v>53088</v>
      </c>
    </row>
  </sheetData>
  <customSheetViews>
    <customSheetView guid="{33FE80C0-0EDF-11D4-8B3D-001060002050}" scale="75" showPageBreaks="1" showRuler="0" topLeftCell="A18">
      <selection activeCell="I28" sqref="A1:I2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portrait" r:id="rId1"/>
      <headerFooter alignWithMargins="0"/>
    </customSheetView>
    <customSheetView guid="{62777320-11E7-11D4-8B3D-00E098726125}" scale="75" showRuler="0" topLeftCell="A18">
      <selection activeCell="I28" sqref="A1:I2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portrait" r:id="rId2"/>
      <headerFooter alignWithMargins="0"/>
    </customSheetView>
  </customSheetViews>
  <mergeCells count="3">
    <mergeCell ref="H2:I2"/>
    <mergeCell ref="A1:J1"/>
    <mergeCell ref="B2:E2"/>
  </mergeCells>
  <phoneticPr fontId="2" type="noConversion"/>
  <conditionalFormatting sqref="D28:I28">
    <cfRule type="cellIs" dxfId="1" priority="1" stopIfTrue="1" operator="lessThan">
      <formula>0</formula>
    </cfRule>
  </conditionalFormatting>
  <conditionalFormatting sqref="C28">
    <cfRule type="cellIs" dxfId="0" priority="2" stopIfTrue="1" operator="lessThan">
      <formula>0</formula>
    </cfRule>
  </conditionalFormatting>
  <printOptions horizontalCentered="1" verticalCentered="1"/>
  <pageMargins left="0.74803149606299213" right="0.62" top="0.98425196850393704" bottom="0.98425196850393704" header="0.51181102362204722" footer="0.51181102362204722"/>
  <pageSetup paperSize="9" scale="62" orientation="portrait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topLeftCell="A4" zoomScale="115" zoomScaleNormal="100" zoomScaleSheetLayoutView="115" workbookViewId="0" xr3:uid="{33642244-9AC9-5136-AF77-195C889548CE}">
      <selection activeCell="J29" sqref="J29"/>
    </sheetView>
  </sheetViews>
  <sheetFormatPr defaultRowHeight="14.25"/>
  <cols>
    <col min="1" max="1" width="7.875" style="397" customWidth="1"/>
    <col min="2" max="2" width="29.125" style="111" bestFit="1" customWidth="1"/>
    <col min="3" max="7" width="9" style="111"/>
    <col min="8" max="8" width="0" style="111" hidden="1" customWidth="1"/>
    <col min="9" max="9" width="9" style="397"/>
    <col min="10" max="16384" width="9" style="111"/>
  </cols>
  <sheetData>
    <row r="1" spans="1:10">
      <c r="A1" s="460"/>
      <c r="B1" s="911" t="s">
        <v>794</v>
      </c>
      <c r="C1" s="911"/>
      <c r="D1" s="911"/>
      <c r="E1" s="911"/>
      <c r="F1" s="911"/>
      <c r="G1" s="911"/>
      <c r="H1" s="911"/>
      <c r="I1" s="911"/>
    </row>
    <row r="2" spans="1:10" ht="42" customHeight="1">
      <c r="A2" s="567" t="s">
        <v>795</v>
      </c>
      <c r="B2" s="912" t="str">
        <f>基础数据!C4</f>
        <v>安徽省芜湖市芜湖县荆江路以北 芜湖中路以东 世纪大道以西</v>
      </c>
      <c r="C2" s="912"/>
      <c r="D2" s="912"/>
      <c r="E2" s="912"/>
      <c r="F2" s="534"/>
      <c r="G2" s="461"/>
      <c r="H2" s="461"/>
      <c r="I2" s="460"/>
    </row>
    <row r="3" spans="1:10">
      <c r="A3" s="462" t="s">
        <v>28</v>
      </c>
      <c r="B3" s="462" t="s">
        <v>731</v>
      </c>
      <c r="C3" s="462" t="str">
        <f>主表5!C3</f>
        <v>2018年</v>
      </c>
      <c r="D3" s="462" t="str">
        <f>主表5!D3</f>
        <v>2019年</v>
      </c>
      <c r="E3" s="462" t="str">
        <f>主表5!E3</f>
        <v>2020年</v>
      </c>
      <c r="F3" s="462" t="str">
        <f>主表5!F3</f>
        <v>2021年</v>
      </c>
      <c r="G3" s="462" t="str">
        <f>主表5!G3</f>
        <v>2022年</v>
      </c>
      <c r="H3" s="462" t="str">
        <f>主表5!H3</f>
        <v>2023年</v>
      </c>
      <c r="I3" s="462" t="s">
        <v>297</v>
      </c>
    </row>
    <row r="4" spans="1:10">
      <c r="A4" s="462">
        <v>1</v>
      </c>
      <c r="B4" s="463" t="s">
        <v>796</v>
      </c>
      <c r="C4" s="464">
        <f t="shared" ref="C4:H4" si="0">SUM(C5:C7)</f>
        <v>3331</v>
      </c>
      <c r="D4" s="464">
        <f t="shared" si="0"/>
        <v>48060</v>
      </c>
      <c r="E4" s="464">
        <f t="shared" si="0"/>
        <v>34288</v>
      </c>
      <c r="F4" s="464"/>
      <c r="G4" s="464"/>
      <c r="H4" s="464">
        <f t="shared" si="0"/>
        <v>0</v>
      </c>
      <c r="I4" s="464"/>
    </row>
    <row r="5" spans="1:10">
      <c r="A5" s="462">
        <v>2</v>
      </c>
      <c r="B5" s="463" t="s">
        <v>797</v>
      </c>
      <c r="C5" s="464">
        <f>主表5!C28</f>
        <v>3331</v>
      </c>
      <c r="D5" s="464">
        <f>主表5!D28</f>
        <v>44729</v>
      </c>
      <c r="E5" s="464">
        <f>主表5!E28</f>
        <v>5028</v>
      </c>
      <c r="F5" s="464"/>
      <c r="G5" s="464"/>
      <c r="H5" s="464">
        <f>主表5!H28</f>
        <v>0</v>
      </c>
      <c r="I5" s="464">
        <f>SUM(C5:H5)</f>
        <v>53088</v>
      </c>
      <c r="J5" s="111">
        <f>主表5!J28</f>
        <v>53088</v>
      </c>
    </row>
    <row r="6" spans="1:10">
      <c r="A6" s="462">
        <v>3</v>
      </c>
      <c r="B6" s="463" t="s">
        <v>798</v>
      </c>
      <c r="C6" s="464"/>
      <c r="D6" s="464">
        <f>C33</f>
        <v>3331</v>
      </c>
      <c r="E6" s="464">
        <f>D33</f>
        <v>29260</v>
      </c>
      <c r="F6" s="464"/>
      <c r="G6" s="464"/>
      <c r="H6" s="464"/>
      <c r="I6" s="464">
        <f t="shared" ref="I6:I31" si="1">SUM(C6:H6)</f>
        <v>32591</v>
      </c>
    </row>
    <row r="7" spans="1:10">
      <c r="A7" s="462">
        <v>4</v>
      </c>
      <c r="B7" s="553"/>
      <c r="C7" s="464"/>
      <c r="D7" s="464">
        <f>-主表5!D10</f>
        <v>0</v>
      </c>
      <c r="E7" s="464"/>
      <c r="F7" s="464"/>
      <c r="G7" s="464"/>
      <c r="H7" s="464"/>
      <c r="I7" s="464">
        <f t="shared" si="1"/>
        <v>0</v>
      </c>
    </row>
    <row r="8" spans="1:10">
      <c r="A8" s="462">
        <v>5</v>
      </c>
      <c r="B8" s="463" t="s">
        <v>877</v>
      </c>
      <c r="C8" s="464">
        <f t="shared" ref="C8:H8" si="2">SUM(C9:C13)</f>
        <v>18800</v>
      </c>
      <c r="D8" s="464">
        <f t="shared" si="2"/>
        <v>18800</v>
      </c>
      <c r="E8" s="464">
        <f t="shared" si="2"/>
        <v>0</v>
      </c>
      <c r="F8" s="464"/>
      <c r="G8" s="464"/>
      <c r="H8" s="464">
        <f t="shared" si="2"/>
        <v>0</v>
      </c>
      <c r="I8" s="464">
        <f t="shared" si="1"/>
        <v>37600</v>
      </c>
    </row>
    <row r="9" spans="1:10">
      <c r="A9" s="462">
        <v>6</v>
      </c>
      <c r="B9" s="696" t="s">
        <v>1054</v>
      </c>
      <c r="C9" s="464">
        <f>主表2!D5</f>
        <v>18800</v>
      </c>
      <c r="D9" s="464">
        <f>C27</f>
        <v>18800</v>
      </c>
      <c r="E9" s="464">
        <f t="shared" ref="E9:H10" si="3">D27</f>
        <v>0</v>
      </c>
      <c r="F9" s="464"/>
      <c r="G9" s="464"/>
      <c r="H9" s="464">
        <f t="shared" si="3"/>
        <v>0</v>
      </c>
      <c r="I9" s="464">
        <f t="shared" si="1"/>
        <v>37600</v>
      </c>
    </row>
    <row r="10" spans="1:10">
      <c r="A10" s="462">
        <v>7</v>
      </c>
      <c r="B10" s="554">
        <f>主表2!C6</f>
        <v>0</v>
      </c>
      <c r="C10" s="464"/>
      <c r="D10" s="464"/>
      <c r="E10" s="464">
        <f t="shared" si="3"/>
        <v>0</v>
      </c>
      <c r="F10" s="464"/>
      <c r="G10" s="464"/>
      <c r="H10" s="464">
        <f t="shared" si="3"/>
        <v>0</v>
      </c>
      <c r="I10" s="464">
        <f t="shared" si="1"/>
        <v>0</v>
      </c>
    </row>
    <row r="11" spans="1:10">
      <c r="A11" s="462">
        <v>8</v>
      </c>
      <c r="B11" s="554"/>
      <c r="C11" s="464"/>
      <c r="D11" s="464"/>
      <c r="E11" s="464"/>
      <c r="F11" s="464"/>
      <c r="G11" s="464"/>
      <c r="H11" s="464">
        <f>G29</f>
        <v>0</v>
      </c>
      <c r="I11" s="464">
        <f t="shared" si="1"/>
        <v>0</v>
      </c>
    </row>
    <row r="12" spans="1:10">
      <c r="A12" s="462">
        <v>9</v>
      </c>
      <c r="B12" s="554">
        <f>主表2!C8</f>
        <v>0</v>
      </c>
      <c r="C12" s="464"/>
      <c r="D12" s="464">
        <f>C30</f>
        <v>0</v>
      </c>
      <c r="E12" s="464">
        <f>D30</f>
        <v>0</v>
      </c>
      <c r="F12" s="464"/>
      <c r="G12" s="464"/>
      <c r="H12" s="464">
        <f>G30</f>
        <v>0</v>
      </c>
      <c r="I12" s="464">
        <f t="shared" si="1"/>
        <v>0</v>
      </c>
    </row>
    <row r="13" spans="1:10">
      <c r="A13" s="462">
        <v>10</v>
      </c>
      <c r="B13" s="554">
        <f>主表2!C9</f>
        <v>0</v>
      </c>
      <c r="C13" s="464"/>
      <c r="D13" s="464"/>
      <c r="E13" s="464">
        <f>D31</f>
        <v>0</v>
      </c>
      <c r="F13" s="464"/>
      <c r="G13" s="464"/>
      <c r="H13" s="464">
        <f>G31</f>
        <v>0</v>
      </c>
      <c r="I13" s="464">
        <f t="shared" si="1"/>
        <v>0</v>
      </c>
    </row>
    <row r="14" spans="1:10">
      <c r="A14" s="462">
        <v>11</v>
      </c>
      <c r="B14" s="463" t="s">
        <v>878</v>
      </c>
      <c r="C14" s="464">
        <f t="shared" ref="C14:H14" si="4">SUM(C15:C19)</f>
        <v>0</v>
      </c>
      <c r="D14" s="464">
        <f t="shared" si="4"/>
        <v>0</v>
      </c>
      <c r="E14" s="464">
        <f t="shared" si="4"/>
        <v>0</v>
      </c>
      <c r="F14" s="464"/>
      <c r="G14" s="464"/>
      <c r="H14" s="464">
        <f t="shared" si="4"/>
        <v>0</v>
      </c>
      <c r="I14" s="464">
        <f t="shared" si="1"/>
        <v>0</v>
      </c>
    </row>
    <row r="15" spans="1:10">
      <c r="A15" s="462">
        <v>12</v>
      </c>
      <c r="B15" s="511" t="str">
        <f>B9</f>
        <v xml:space="preserve">          其中：五矿信托</v>
      </c>
      <c r="C15" s="464"/>
      <c r="D15" s="464"/>
      <c r="E15" s="464"/>
      <c r="F15" s="464"/>
      <c r="G15" s="464"/>
      <c r="H15" s="464"/>
      <c r="I15" s="464">
        <f t="shared" si="1"/>
        <v>0</v>
      </c>
    </row>
    <row r="16" spans="1:10">
      <c r="A16" s="462">
        <v>13</v>
      </c>
      <c r="B16" s="555">
        <f>B10</f>
        <v>0</v>
      </c>
      <c r="C16" s="464"/>
      <c r="D16" s="464">
        <f>主表2!E6</f>
        <v>0</v>
      </c>
      <c r="E16" s="464"/>
      <c r="F16" s="464"/>
      <c r="G16" s="464"/>
      <c r="H16" s="464"/>
      <c r="I16" s="464">
        <f t="shared" si="1"/>
        <v>0</v>
      </c>
    </row>
    <row r="17" spans="1:10">
      <c r="A17" s="462">
        <v>14</v>
      </c>
      <c r="B17" s="555">
        <f>B11</f>
        <v>0</v>
      </c>
      <c r="C17" s="464"/>
      <c r="D17" s="464">
        <f>主表2!E7</f>
        <v>0</v>
      </c>
      <c r="E17" s="464"/>
      <c r="F17" s="464"/>
      <c r="G17" s="464"/>
      <c r="H17" s="464"/>
      <c r="I17" s="464">
        <f t="shared" si="1"/>
        <v>0</v>
      </c>
    </row>
    <row r="18" spans="1:10">
      <c r="A18" s="462">
        <v>15</v>
      </c>
      <c r="B18" s="555">
        <f>B12</f>
        <v>0</v>
      </c>
      <c r="C18" s="464"/>
      <c r="D18" s="464">
        <f>主表2!E8</f>
        <v>0</v>
      </c>
      <c r="E18" s="464">
        <f>主表2!F8</f>
        <v>0</v>
      </c>
      <c r="F18" s="464"/>
      <c r="G18" s="464"/>
      <c r="H18" s="464"/>
      <c r="I18" s="464">
        <f t="shared" si="1"/>
        <v>0</v>
      </c>
    </row>
    <row r="19" spans="1:10">
      <c r="A19" s="462">
        <v>16</v>
      </c>
      <c r="B19" s="555">
        <f>B13</f>
        <v>0</v>
      </c>
      <c r="C19" s="464"/>
      <c r="D19" s="464">
        <f>主表2!E9</f>
        <v>0</v>
      </c>
      <c r="E19" s="464">
        <f>主表2!F9</f>
        <v>0</v>
      </c>
      <c r="F19" s="464"/>
      <c r="G19" s="464"/>
      <c r="H19" s="464"/>
      <c r="I19" s="464">
        <f t="shared" si="1"/>
        <v>0</v>
      </c>
    </row>
    <row r="20" spans="1:10">
      <c r="A20" s="462">
        <v>17</v>
      </c>
      <c r="B20" s="463" t="s">
        <v>879</v>
      </c>
      <c r="C20" s="464">
        <f t="shared" ref="C20:H20" si="5">SUM(C21:C25)</f>
        <v>0</v>
      </c>
      <c r="D20" s="464">
        <f t="shared" si="5"/>
        <v>18800</v>
      </c>
      <c r="E20" s="464">
        <f t="shared" si="5"/>
        <v>0</v>
      </c>
      <c r="F20" s="464"/>
      <c r="G20" s="464"/>
      <c r="H20" s="464">
        <f t="shared" si="5"/>
        <v>0</v>
      </c>
      <c r="I20" s="464">
        <f t="shared" si="1"/>
        <v>18800</v>
      </c>
    </row>
    <row r="21" spans="1:10">
      <c r="A21" s="462">
        <v>18</v>
      </c>
      <c r="B21" s="555" t="str">
        <f>B15</f>
        <v xml:space="preserve">          其中：五矿信托</v>
      </c>
      <c r="C21" s="464"/>
      <c r="D21" s="464">
        <v>18800</v>
      </c>
      <c r="E21" s="464"/>
      <c r="F21" s="464"/>
      <c r="G21" s="464"/>
      <c r="H21" s="464"/>
      <c r="I21" s="464">
        <f t="shared" si="1"/>
        <v>18800</v>
      </c>
    </row>
    <row r="22" spans="1:10">
      <c r="A22" s="462">
        <v>19</v>
      </c>
      <c r="B22" s="555">
        <f>B16</f>
        <v>0</v>
      </c>
      <c r="C22" s="464"/>
      <c r="D22" s="464"/>
      <c r="E22" s="464"/>
      <c r="F22" s="464"/>
      <c r="G22" s="464"/>
      <c r="H22" s="464"/>
      <c r="I22" s="464">
        <f t="shared" si="1"/>
        <v>0</v>
      </c>
      <c r="J22" s="209">
        <f>I21+I22+I23-D21</f>
        <v>0</v>
      </c>
    </row>
    <row r="23" spans="1:10">
      <c r="A23" s="462">
        <v>20</v>
      </c>
      <c r="B23" s="555">
        <f>B17</f>
        <v>0</v>
      </c>
      <c r="C23" s="464"/>
      <c r="D23" s="464"/>
      <c r="E23" s="464"/>
      <c r="F23" s="464"/>
      <c r="G23" s="464"/>
      <c r="H23" s="464"/>
      <c r="I23" s="464">
        <f t="shared" si="1"/>
        <v>0</v>
      </c>
    </row>
    <row r="24" spans="1:10">
      <c r="A24" s="462">
        <v>21</v>
      </c>
      <c r="B24" s="555">
        <f>B18</f>
        <v>0</v>
      </c>
      <c r="C24" s="464"/>
      <c r="D24" s="464"/>
      <c r="E24" s="464"/>
      <c r="F24" s="464"/>
      <c r="G24" s="464"/>
      <c r="H24" s="464"/>
      <c r="I24" s="464">
        <f t="shared" si="1"/>
        <v>0</v>
      </c>
    </row>
    <row r="25" spans="1:10">
      <c r="A25" s="462">
        <v>22</v>
      </c>
      <c r="B25" s="555">
        <f>B19</f>
        <v>0</v>
      </c>
      <c r="C25" s="464"/>
      <c r="D25" s="464"/>
      <c r="E25" s="464"/>
      <c r="F25" s="464"/>
      <c r="G25" s="464"/>
      <c r="H25" s="464"/>
      <c r="I25" s="464">
        <f t="shared" si="1"/>
        <v>0</v>
      </c>
    </row>
    <row r="26" spans="1:10">
      <c r="A26" s="462">
        <v>23</v>
      </c>
      <c r="B26" s="463" t="s">
        <v>880</v>
      </c>
      <c r="C26" s="464">
        <f t="shared" ref="C26:H26" si="6">SUM(C27:C31)</f>
        <v>18800</v>
      </c>
      <c r="D26" s="464">
        <f t="shared" si="6"/>
        <v>0</v>
      </c>
      <c r="E26" s="464">
        <f t="shared" si="6"/>
        <v>0</v>
      </c>
      <c r="F26" s="464"/>
      <c r="G26" s="464"/>
      <c r="H26" s="464">
        <f t="shared" si="6"/>
        <v>0</v>
      </c>
      <c r="I26" s="464">
        <f t="shared" si="1"/>
        <v>18800</v>
      </c>
    </row>
    <row r="27" spans="1:10">
      <c r="A27" s="462">
        <v>24</v>
      </c>
      <c r="B27" s="511" t="str">
        <f>B21</f>
        <v xml:space="preserve">          其中：五矿信托</v>
      </c>
      <c r="C27" s="464">
        <f t="shared" ref="C27:H31" si="7">C9+C15-C21</f>
        <v>18800</v>
      </c>
      <c r="D27" s="464">
        <f t="shared" si="7"/>
        <v>0</v>
      </c>
      <c r="E27" s="464">
        <f t="shared" si="7"/>
        <v>0</v>
      </c>
      <c r="F27" s="464"/>
      <c r="G27" s="464"/>
      <c r="H27" s="464">
        <f t="shared" si="7"/>
        <v>0</v>
      </c>
      <c r="I27" s="464">
        <f t="shared" si="1"/>
        <v>18800</v>
      </c>
    </row>
    <row r="28" spans="1:10">
      <c r="A28" s="462">
        <v>25</v>
      </c>
      <c r="B28" s="555">
        <f>B22</f>
        <v>0</v>
      </c>
      <c r="C28" s="464">
        <f t="shared" si="7"/>
        <v>0</v>
      </c>
      <c r="D28" s="464">
        <f t="shared" si="7"/>
        <v>0</v>
      </c>
      <c r="E28" s="464">
        <f t="shared" si="7"/>
        <v>0</v>
      </c>
      <c r="F28" s="464"/>
      <c r="G28" s="464"/>
      <c r="H28" s="464">
        <f t="shared" si="7"/>
        <v>0</v>
      </c>
      <c r="I28" s="464">
        <f t="shared" si="1"/>
        <v>0</v>
      </c>
    </row>
    <row r="29" spans="1:10">
      <c r="A29" s="462">
        <v>26</v>
      </c>
      <c r="B29" s="555">
        <f>B23</f>
        <v>0</v>
      </c>
      <c r="C29" s="464">
        <f t="shared" si="7"/>
        <v>0</v>
      </c>
      <c r="D29" s="464">
        <f t="shared" si="7"/>
        <v>0</v>
      </c>
      <c r="E29" s="464">
        <f t="shared" si="7"/>
        <v>0</v>
      </c>
      <c r="F29" s="464"/>
      <c r="G29" s="464"/>
      <c r="H29" s="464">
        <f t="shared" si="7"/>
        <v>0</v>
      </c>
      <c r="I29" s="464">
        <f t="shared" si="1"/>
        <v>0</v>
      </c>
    </row>
    <row r="30" spans="1:10">
      <c r="A30" s="462">
        <v>27</v>
      </c>
      <c r="B30" s="555">
        <f>B24</f>
        <v>0</v>
      </c>
      <c r="C30" s="464">
        <f t="shared" si="7"/>
        <v>0</v>
      </c>
      <c r="D30" s="464">
        <f t="shared" si="7"/>
        <v>0</v>
      </c>
      <c r="E30" s="464">
        <f t="shared" si="7"/>
        <v>0</v>
      </c>
      <c r="F30" s="464"/>
      <c r="G30" s="464"/>
      <c r="H30" s="464">
        <f t="shared" si="7"/>
        <v>0</v>
      </c>
      <c r="I30" s="464">
        <f t="shared" si="1"/>
        <v>0</v>
      </c>
    </row>
    <row r="31" spans="1:10">
      <c r="A31" s="462">
        <v>28</v>
      </c>
      <c r="B31" s="555">
        <f>B25</f>
        <v>0</v>
      </c>
      <c r="C31" s="464">
        <f t="shared" si="7"/>
        <v>0</v>
      </c>
      <c r="D31" s="464">
        <f t="shared" si="7"/>
        <v>0</v>
      </c>
      <c r="E31" s="464">
        <f t="shared" si="7"/>
        <v>0</v>
      </c>
      <c r="F31" s="464"/>
      <c r="G31" s="464"/>
      <c r="H31" s="464">
        <f t="shared" si="7"/>
        <v>0</v>
      </c>
      <c r="I31" s="464">
        <f t="shared" si="1"/>
        <v>0</v>
      </c>
    </row>
    <row r="32" spans="1:10" s="386" customFormat="1">
      <c r="A32" s="462">
        <v>29</v>
      </c>
      <c r="B32" s="465" t="s">
        <v>881</v>
      </c>
      <c r="C32" s="556" t="s">
        <v>867</v>
      </c>
      <c r="D32" s="466">
        <f>D4/D20</f>
        <v>2.56</v>
      </c>
      <c r="E32" s="697" t="s">
        <v>867</v>
      </c>
      <c r="F32" s="466"/>
      <c r="G32" s="466"/>
      <c r="H32" s="466" t="s">
        <v>867</v>
      </c>
      <c r="I32" s="466"/>
    </row>
    <row r="33" spans="1:9">
      <c r="A33" s="462">
        <v>30</v>
      </c>
      <c r="B33" s="463" t="s">
        <v>882</v>
      </c>
      <c r="C33" s="464">
        <f t="shared" ref="C33:H33" si="8">C4-C20</f>
        <v>3331</v>
      </c>
      <c r="D33" s="464">
        <f t="shared" si="8"/>
        <v>29260</v>
      </c>
      <c r="E33" s="464">
        <f t="shared" si="8"/>
        <v>34288</v>
      </c>
      <c r="F33" s="464"/>
      <c r="G33" s="464"/>
      <c r="H33" s="464">
        <f t="shared" si="8"/>
        <v>0</v>
      </c>
      <c r="I33" s="464"/>
    </row>
    <row r="35" spans="1:9">
      <c r="E35" s="111">
        <v>10706</v>
      </c>
      <c r="F35" s="111">
        <v>86762</v>
      </c>
      <c r="G35" s="111">
        <v>64308</v>
      </c>
      <c r="H35" s="111">
        <v>15402</v>
      </c>
    </row>
  </sheetData>
  <customSheetViews>
    <customSheetView guid="{33FE80C0-0EDF-11D4-8B3D-001060002050}" showPageBreaks="1" showRuler="0" topLeftCell="D1">
      <selection activeCell="J8" sqref="J8"/>
      <pageMargins left="0.75" right="0.75" top="1" bottom="1" header="0.5" footer="0.5"/>
      <pageSetup paperSize="9" orientation="landscape" horizontalDpi="360" verticalDpi="360" copies="0" r:id="rId1"/>
      <headerFooter alignWithMargins="0"/>
    </customSheetView>
    <customSheetView guid="{62777320-11E7-11D4-8B3D-00E098726125}" showRuler="0" topLeftCell="D1">
      <selection activeCell="J8" sqref="J8"/>
      <pageMargins left="0.75" right="0.75" top="1" bottom="1" header="0.5" footer="0.5"/>
      <pageSetup paperSize="9" orientation="landscape" horizontalDpi="360" verticalDpi="360" copies="0" r:id="rId2"/>
      <headerFooter alignWithMargins="0"/>
    </customSheetView>
  </customSheetViews>
  <mergeCells count="2">
    <mergeCell ref="B1:I1"/>
    <mergeCell ref="B2:E2"/>
  </mergeCells>
  <phoneticPr fontId="2" type="noConversion"/>
  <pageMargins left="0.75" right="0.75" top="1" bottom="1" header="0.5" footer="0.5"/>
  <pageSetup paperSize="9" scale="84" orientation="landscape" horizontalDpi="360" verticalDpi="360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8"/>
  <sheetViews>
    <sheetView zoomScaleNormal="100" zoomScaleSheetLayoutView="100" workbookViewId="0" xr3:uid="{D624DF06-3800-545C-AC8D-BADC89115800}">
      <selection activeCell="I11" sqref="I11"/>
    </sheetView>
  </sheetViews>
  <sheetFormatPr defaultRowHeight="14.25"/>
  <cols>
    <col min="1" max="1" width="20.125" style="111" customWidth="1"/>
    <col min="2" max="2" width="9" style="111"/>
    <col min="3" max="3" width="12.875" style="111" customWidth="1"/>
    <col min="4" max="4" width="16" style="111" customWidth="1"/>
    <col min="5" max="5" width="15" style="111" customWidth="1"/>
    <col min="6" max="16384" width="9" style="111"/>
  </cols>
  <sheetData>
    <row r="1" spans="1:5">
      <c r="A1" s="429" t="s">
        <v>302</v>
      </c>
      <c r="B1" s="430"/>
      <c r="C1" s="430"/>
      <c r="D1" s="430"/>
      <c r="E1" s="79"/>
    </row>
    <row r="2" spans="1:5" ht="70.5" customHeight="1">
      <c r="A2" s="566" t="s">
        <v>799</v>
      </c>
      <c r="B2" s="913" t="str">
        <f>基础数据!C4</f>
        <v>安徽省芜湖市芜湖县荆江路以北 芜湖中路以东 世纪大道以西</v>
      </c>
      <c r="C2" s="913"/>
      <c r="D2" s="913"/>
      <c r="E2" s="431"/>
    </row>
    <row r="3" spans="1:5" ht="44.25" customHeight="1">
      <c r="A3" s="432" t="s">
        <v>303</v>
      </c>
      <c r="B3" s="433"/>
      <c r="C3" s="432" t="s">
        <v>729</v>
      </c>
      <c r="D3" s="434"/>
      <c r="E3" s="435"/>
    </row>
    <row r="4" spans="1:5" ht="30.75" customHeight="1">
      <c r="A4" s="125" t="s">
        <v>304</v>
      </c>
      <c r="B4" s="436" t="s">
        <v>305</v>
      </c>
      <c r="C4" s="77" t="s">
        <v>306</v>
      </c>
      <c r="D4" s="77" t="s">
        <v>307</v>
      </c>
      <c r="E4" s="37" t="s">
        <v>308</v>
      </c>
    </row>
    <row r="5" spans="1:5" ht="21.75" customHeight="1">
      <c r="A5" s="37" t="s">
        <v>309</v>
      </c>
      <c r="B5" s="437"/>
      <c r="C5" s="82">
        <f>主表3!G21</f>
        <v>5313</v>
      </c>
      <c r="D5" s="83">
        <f>主表3!C22</f>
        <v>0.27510000000000001</v>
      </c>
      <c r="E5" s="366">
        <f>主表3!G22</f>
        <v>1.96</v>
      </c>
    </row>
    <row r="6" spans="1:5" ht="21.75" customHeight="1">
      <c r="A6" s="37"/>
      <c r="B6" s="437"/>
      <c r="C6" s="82"/>
      <c r="D6" s="83"/>
      <c r="E6" s="366"/>
    </row>
    <row r="7" spans="1:5" ht="20.25" customHeight="1">
      <c r="A7" s="37" t="s">
        <v>232</v>
      </c>
      <c r="B7" s="437">
        <v>0.05</v>
      </c>
      <c r="C7" s="82">
        <f>'成本+5% 3'!G21</f>
        <v>2054</v>
      </c>
      <c r="D7" s="83">
        <f>'成本+5% 3'!C22</f>
        <v>0.1762</v>
      </c>
      <c r="E7" s="366">
        <f>'成本+5% 3'!G22</f>
        <v>2.39</v>
      </c>
    </row>
    <row r="8" spans="1:5" ht="20.25" customHeight="1">
      <c r="A8" s="37"/>
      <c r="B8" s="437">
        <v>0.1</v>
      </c>
      <c r="C8" s="82">
        <f>'成本+10% 3'!G21</f>
        <v>-1222</v>
      </c>
      <c r="D8" s="83">
        <f>'成本+10% 3'!C22</f>
        <v>8.8599999999999998E-2</v>
      </c>
      <c r="E8" s="366">
        <f>'成本+10% 3'!G22</f>
        <v>4</v>
      </c>
    </row>
    <row r="9" spans="1:5" ht="20.25" customHeight="1">
      <c r="A9" s="37" t="s">
        <v>800</v>
      </c>
      <c r="B9" s="437">
        <v>-0.05</v>
      </c>
      <c r="C9" s="82">
        <f>'收入-5% 3'!G21</f>
        <v>1859</v>
      </c>
      <c r="D9" s="83">
        <f>'收入-5% 3'!C22</f>
        <v>0.1734</v>
      </c>
      <c r="E9" s="366">
        <f>'收入-5% 3'!G22</f>
        <v>2.41</v>
      </c>
    </row>
    <row r="10" spans="1:5" ht="20.25" customHeight="1">
      <c r="A10" s="37"/>
      <c r="B10" s="437">
        <v>-0.1</v>
      </c>
      <c r="C10" s="82">
        <f>'收入-10% 3'!G21</f>
        <v>-1610</v>
      </c>
      <c r="D10" s="83">
        <f>'收入-10% 3'!C22</f>
        <v>7.4700000000000003E-2</v>
      </c>
      <c r="E10" s="366">
        <f>'收入-10% 3'!G22</f>
        <v>4</v>
      </c>
    </row>
    <row r="11" spans="1:5" ht="20.25" customHeight="1">
      <c r="A11" s="438" t="s">
        <v>801</v>
      </c>
      <c r="B11" s="437"/>
      <c r="C11" s="82">
        <f>延后一年3!G21</f>
        <v>139</v>
      </c>
      <c r="D11" s="83">
        <f>延后一年3!C22</f>
        <v>8.1199999999999994E-2</v>
      </c>
      <c r="E11" s="366">
        <f>延后一年3!G22</f>
        <v>3.99</v>
      </c>
    </row>
    <row r="12" spans="1:5" ht="20.25" customHeight="1">
      <c r="A12" s="37"/>
      <c r="B12" s="437"/>
      <c r="C12" s="364"/>
      <c r="D12" s="439"/>
      <c r="E12" s="366"/>
    </row>
    <row r="13" spans="1:5" ht="20.25" customHeight="1">
      <c r="A13" s="38"/>
      <c r="B13" s="437"/>
      <c r="C13" s="364"/>
      <c r="D13" s="439"/>
      <c r="E13" s="366"/>
    </row>
    <row r="14" spans="1:5" ht="21" customHeight="1">
      <c r="A14" s="77"/>
      <c r="B14" s="437"/>
      <c r="C14" s="440"/>
      <c r="D14" s="441"/>
      <c r="E14" s="366"/>
    </row>
    <row r="15" spans="1:5" ht="20.25" customHeight="1">
      <c r="A15" s="37"/>
      <c r="B15" s="437"/>
      <c r="C15" s="440"/>
      <c r="D15" s="441"/>
      <c r="E15" s="366"/>
    </row>
    <row r="16" spans="1:5" ht="20.25" customHeight="1">
      <c r="A16" s="38"/>
      <c r="B16" s="437"/>
      <c r="C16" s="440"/>
      <c r="D16" s="441"/>
      <c r="E16" s="366"/>
    </row>
    <row r="17" spans="1:5" ht="26.25" customHeight="1">
      <c r="A17" s="77" t="s">
        <v>310</v>
      </c>
      <c r="B17" s="914" t="s">
        <v>802</v>
      </c>
      <c r="C17" s="915"/>
      <c r="D17" s="915"/>
      <c r="E17" s="442">
        <f>主表2!K13/('主表4-1'!J4-'主表4-1'!J6-'主表4-1'!J7)</f>
        <v>0.87</v>
      </c>
    </row>
    <row r="18" spans="1:5" ht="26.25" customHeight="1"/>
  </sheetData>
  <customSheetViews>
    <customSheetView guid="{33FE80C0-0EDF-11D4-8B3D-001060002050}" showPageBreaks="1" showRuler="0" topLeftCell="A11">
      <selection activeCell="E24" sqref="E23:E24"/>
      <pageMargins left="0.75" right="0.75" top="1" bottom="1" header="0.5" footer="0.5"/>
      <pageSetup paperSize="9" orientation="portrait" horizontalDpi="360" verticalDpi="360" copies="0" r:id="rId1"/>
      <headerFooter alignWithMargins="0"/>
    </customSheetView>
    <customSheetView guid="{62777320-11E7-11D4-8B3D-00E098726125}" showRuler="0" topLeftCell="A11">
      <selection activeCell="E24" sqref="E23:E24"/>
      <pageMargins left="0.75" right="0.75" top="1" bottom="1" header="0.5" footer="0.5"/>
      <pageSetup paperSize="9" orientation="portrait" horizontalDpi="360" verticalDpi="360" copies="0" r:id="rId2"/>
      <headerFooter alignWithMargins="0"/>
    </customSheetView>
  </customSheetViews>
  <mergeCells count="2">
    <mergeCell ref="B2:D2"/>
    <mergeCell ref="B17:D17"/>
  </mergeCells>
  <phoneticPr fontId="2" type="noConversion"/>
  <pageMargins left="0.75" right="0.75" top="1" bottom="1" header="0.5" footer="0.5"/>
  <pageSetup paperSize="9" orientation="portrait" horizontalDpi="360" verticalDpi="36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5"/>
  <sheetViews>
    <sheetView zoomScaleNormal="100" zoomScaleSheetLayoutView="100" workbookViewId="0" xr3:uid="{11A3ACCB-1F19-5AC9-A611-4158731A345D}">
      <selection activeCell="G19" sqref="A19:G21"/>
    </sheetView>
  </sheetViews>
  <sheetFormatPr defaultRowHeight="14.25"/>
  <cols>
    <col min="1" max="1" width="4.5" style="111" customWidth="1"/>
    <col min="2" max="2" width="26.75" style="111" customWidth="1"/>
    <col min="3" max="3" width="10.125" style="397" customWidth="1"/>
    <col min="4" max="4" width="11.25" style="111" customWidth="1"/>
    <col min="5" max="9" width="8.625" style="111" customWidth="1"/>
    <col min="10" max="10" width="9" style="111"/>
    <col min="11" max="11" width="9" style="397"/>
    <col min="12" max="16384" width="9" style="111"/>
  </cols>
  <sheetData>
    <row r="1" spans="1:11" ht="24.75" customHeight="1">
      <c r="A1" s="918" t="s">
        <v>453</v>
      </c>
      <c r="B1" s="919"/>
      <c r="C1" s="919"/>
      <c r="D1" s="919"/>
      <c r="E1" s="919"/>
      <c r="F1" s="919"/>
      <c r="G1" s="919"/>
      <c r="H1" s="919"/>
      <c r="I1" s="919"/>
      <c r="J1" s="448"/>
      <c r="K1" s="458"/>
    </row>
    <row r="2" spans="1:11" ht="18.75" customHeight="1">
      <c r="A2" s="424" t="s">
        <v>819</v>
      </c>
      <c r="B2" s="425"/>
      <c r="C2" s="920" t="str">
        <f>'底表6（续）'!C2:F2</f>
        <v>安徽省芜湖市芜湖县荆江路以北 芜湖中路以东 世纪大道以西</v>
      </c>
      <c r="D2" s="920"/>
      <c r="E2" s="917"/>
      <c r="F2" s="425"/>
      <c r="G2" s="425"/>
      <c r="H2" s="916" t="s">
        <v>27</v>
      </c>
      <c r="I2" s="917"/>
      <c r="J2" s="448"/>
      <c r="K2" s="458"/>
    </row>
    <row r="3" spans="1:11" ht="21.95" customHeight="1">
      <c r="A3" s="426" t="s">
        <v>28</v>
      </c>
      <c r="B3" s="426" t="s">
        <v>454</v>
      </c>
      <c r="C3" s="426" t="s">
        <v>455</v>
      </c>
      <c r="D3" s="428" t="s">
        <v>456</v>
      </c>
      <c r="E3" s="921" t="s">
        <v>820</v>
      </c>
      <c r="F3" s="923"/>
      <c r="G3" s="923"/>
      <c r="H3" s="923"/>
      <c r="I3" s="923"/>
      <c r="J3" s="923"/>
      <c r="K3" s="924"/>
    </row>
    <row r="4" spans="1:11" ht="21.95" customHeight="1">
      <c r="A4" s="449"/>
      <c r="B4" s="449"/>
      <c r="C4" s="450"/>
      <c r="D4" s="449"/>
      <c r="E4" s="450" t="str">
        <f>主表2!D3</f>
        <v>2018年</v>
      </c>
      <c r="F4" s="450" t="str">
        <f>主表2!E3</f>
        <v>2019年</v>
      </c>
      <c r="G4" s="450" t="str">
        <f>主表2!F3</f>
        <v>2020年</v>
      </c>
      <c r="H4" s="450" t="str">
        <f>主表2!G3</f>
        <v>2021年</v>
      </c>
      <c r="I4" s="450" t="str">
        <f>主表2!H3</f>
        <v>2022年</v>
      </c>
      <c r="J4" s="450" t="str">
        <f>主表2!I3</f>
        <v>2023年</v>
      </c>
      <c r="K4" s="450" t="str">
        <f>主表2!J3</f>
        <v>2024年</v>
      </c>
    </row>
    <row r="5" spans="1:11" ht="21.95" customHeight="1">
      <c r="A5" s="450">
        <v>1</v>
      </c>
      <c r="B5" s="512" t="s">
        <v>839</v>
      </c>
      <c r="C5" s="452">
        <v>60000</v>
      </c>
      <c r="D5" s="452">
        <v>2014</v>
      </c>
      <c r="E5" s="452"/>
      <c r="F5" s="452">
        <v>0</v>
      </c>
      <c r="G5" s="452">
        <v>0</v>
      </c>
      <c r="H5" s="427">
        <v>60000</v>
      </c>
      <c r="I5" s="452">
        <v>0</v>
      </c>
      <c r="J5" s="459"/>
      <c r="K5" s="459"/>
    </row>
    <row r="6" spans="1:11" ht="21.95" customHeight="1">
      <c r="A6" s="450">
        <v>2</v>
      </c>
      <c r="B6" s="451"/>
      <c r="C6" s="452"/>
      <c r="D6" s="454"/>
      <c r="E6" s="454"/>
      <c r="F6" s="454"/>
      <c r="G6" s="454"/>
      <c r="H6" s="454"/>
      <c r="I6" s="454"/>
      <c r="J6" s="453"/>
      <c r="K6" s="459"/>
    </row>
    <row r="7" spans="1:11" ht="21.95" customHeight="1">
      <c r="A7" s="450">
        <v>3</v>
      </c>
      <c r="B7" s="451"/>
      <c r="C7" s="452"/>
      <c r="D7" s="454"/>
      <c r="E7" s="454"/>
      <c r="F7" s="454"/>
      <c r="G7" s="454"/>
      <c r="H7" s="454"/>
      <c r="I7" s="454"/>
      <c r="J7" s="453"/>
      <c r="K7" s="459"/>
    </row>
    <row r="8" spans="1:11" ht="21.95" customHeight="1">
      <c r="A8" s="450">
        <v>4</v>
      </c>
      <c r="B8" s="451"/>
      <c r="C8" s="452"/>
      <c r="D8" s="454"/>
      <c r="E8" s="454"/>
      <c r="F8" s="454"/>
      <c r="G8" s="454"/>
      <c r="H8" s="454"/>
      <c r="I8" s="454"/>
      <c r="J8" s="453"/>
      <c r="K8" s="459"/>
    </row>
    <row r="9" spans="1:11" ht="21.95" customHeight="1">
      <c r="A9" s="450">
        <v>5</v>
      </c>
      <c r="B9" s="451"/>
      <c r="C9" s="452"/>
      <c r="D9" s="454"/>
      <c r="E9" s="454"/>
      <c r="F9" s="454"/>
      <c r="G9" s="454"/>
      <c r="H9" s="454"/>
      <c r="I9" s="454"/>
      <c r="J9" s="453"/>
      <c r="K9" s="459"/>
    </row>
    <row r="10" spans="1:11" ht="21.95" customHeight="1">
      <c r="A10" s="450">
        <v>6</v>
      </c>
      <c r="B10" s="454"/>
      <c r="C10" s="452"/>
      <c r="D10" s="454"/>
      <c r="E10" s="454"/>
      <c r="F10" s="454"/>
      <c r="G10" s="454"/>
      <c r="H10" s="454"/>
      <c r="I10" s="454"/>
      <c r="J10" s="453"/>
      <c r="K10" s="459"/>
    </row>
    <row r="11" spans="1:11" ht="21.95" customHeight="1">
      <c r="A11" s="450">
        <v>7</v>
      </c>
      <c r="B11" s="454"/>
      <c r="C11" s="452"/>
      <c r="D11" s="454"/>
      <c r="E11" s="454"/>
      <c r="F11" s="454"/>
      <c r="G11" s="454"/>
      <c r="H11" s="454"/>
      <c r="I11" s="454"/>
      <c r="J11" s="453"/>
      <c r="K11" s="459"/>
    </row>
    <row r="12" spans="1:11" ht="21.95" customHeight="1">
      <c r="A12" s="450">
        <v>8</v>
      </c>
      <c r="B12" s="454"/>
      <c r="C12" s="452"/>
      <c r="D12" s="454"/>
      <c r="E12" s="454"/>
      <c r="F12" s="454"/>
      <c r="G12" s="454"/>
      <c r="H12" s="454"/>
      <c r="I12" s="454"/>
      <c r="J12" s="453"/>
      <c r="K12" s="459"/>
    </row>
    <row r="13" spans="1:11" ht="21.95" customHeight="1">
      <c r="A13" s="450">
        <v>9</v>
      </c>
      <c r="B13" s="454"/>
      <c r="C13" s="452"/>
      <c r="D13" s="454"/>
      <c r="E13" s="454"/>
      <c r="F13" s="454"/>
      <c r="G13" s="454"/>
      <c r="H13" s="454"/>
      <c r="I13" s="454"/>
      <c r="J13" s="453"/>
      <c r="K13" s="459"/>
    </row>
    <row r="14" spans="1:11" ht="21.95" customHeight="1">
      <c r="A14" s="455">
        <v>10</v>
      </c>
      <c r="B14" s="456"/>
      <c r="C14" s="452"/>
      <c r="D14" s="454"/>
      <c r="E14" s="454"/>
      <c r="F14" s="454"/>
      <c r="G14" s="454"/>
      <c r="H14" s="454"/>
      <c r="I14" s="454"/>
      <c r="J14" s="453"/>
      <c r="K14" s="459"/>
    </row>
    <row r="15" spans="1:11" ht="21.95" customHeight="1">
      <c r="A15" s="921" t="s">
        <v>821</v>
      </c>
      <c r="B15" s="922"/>
      <c r="C15" s="457">
        <f>SUM(C5:C14)</f>
        <v>60000</v>
      </c>
      <c r="D15" s="449"/>
      <c r="E15" s="450">
        <f t="shared" ref="E15:K15" si="0">SUM(E5:E14)</f>
        <v>0</v>
      </c>
      <c r="F15" s="450">
        <f t="shared" si="0"/>
        <v>0</v>
      </c>
      <c r="G15" s="450">
        <f t="shared" si="0"/>
        <v>0</v>
      </c>
      <c r="H15" s="450">
        <f t="shared" si="0"/>
        <v>60000</v>
      </c>
      <c r="I15" s="450">
        <f t="shared" si="0"/>
        <v>0</v>
      </c>
      <c r="J15" s="450">
        <f t="shared" si="0"/>
        <v>0</v>
      </c>
      <c r="K15" s="450">
        <f t="shared" si="0"/>
        <v>0</v>
      </c>
    </row>
  </sheetData>
  <customSheetViews>
    <customSheetView guid="{33FE80C0-0EDF-11D4-8B3D-001060002050}" scale="75" showPageBreaks="1" showRuler="0">
      <selection activeCell="G10" sqref="G10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horizontalDpi="300" verticalDpi="300" r:id="rId1"/>
      <headerFooter alignWithMargins="0"/>
    </customSheetView>
    <customSheetView guid="{62777320-11E7-11D4-8B3D-00E098726125}" scale="75" showRuler="0">
      <selection activeCell="G10" sqref="G10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horizontalDpi="300" verticalDpi="300" r:id="rId2"/>
      <headerFooter alignWithMargins="0"/>
    </customSheetView>
  </customSheetViews>
  <mergeCells count="5">
    <mergeCell ref="H2:I2"/>
    <mergeCell ref="A1:I1"/>
    <mergeCell ref="C2:E2"/>
    <mergeCell ref="A15:B15"/>
    <mergeCell ref="E3:K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4" orientation="landscape" horizontalDpi="300" verticalDpi="300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1"/>
  <sheetViews>
    <sheetView workbookViewId="0" xr3:uid="{F1CDC194-CB96-5A2D-8E84-222F42300CFA}">
      <selection activeCell="F21" sqref="A21:F22"/>
    </sheetView>
  </sheetViews>
  <sheetFormatPr defaultRowHeight="14.25"/>
  <cols>
    <col min="1" max="1" width="6.625" style="40" customWidth="1"/>
    <col min="2" max="2" width="31.5" style="40" customWidth="1"/>
    <col min="3" max="3" width="24.625" style="40" customWidth="1"/>
    <col min="4" max="16384" width="9" style="40"/>
  </cols>
  <sheetData>
    <row r="1" spans="1:3">
      <c r="A1" s="753" t="s">
        <v>807</v>
      </c>
      <c r="B1" s="754"/>
      <c r="C1" s="754"/>
    </row>
    <row r="2" spans="1:3" ht="16.5" customHeight="1">
      <c r="A2" s="74" t="s">
        <v>808</v>
      </c>
      <c r="B2" s="925" t="str">
        <f>主表7!B2</f>
        <v>安徽省芜湖市芜湖县荆江路以北 芜湖中路以东 世纪大道以西</v>
      </c>
      <c r="C2" s="925"/>
    </row>
    <row r="3" spans="1:3" ht="27.95" customHeight="1">
      <c r="A3" s="37" t="s">
        <v>28</v>
      </c>
      <c r="B3" s="37" t="s">
        <v>809</v>
      </c>
      <c r="C3" s="37" t="s">
        <v>810</v>
      </c>
    </row>
    <row r="4" spans="1:3" ht="27.95" customHeight="1">
      <c r="A4" s="35">
        <v>1</v>
      </c>
      <c r="B4" s="38" t="s">
        <v>811</v>
      </c>
      <c r="C4" s="443" t="b">
        <f>IF(基础数据!C12="担保",0.5,IF(基础数据!C12="抵押",0.5,IF(基础数据!C12="信用",1)))</f>
        <v>0</v>
      </c>
    </row>
    <row r="5" spans="1:3" ht="27.95" customHeight="1">
      <c r="A5" s="35">
        <v>2</v>
      </c>
      <c r="B5" s="38" t="s">
        <v>812</v>
      </c>
      <c r="C5" s="443">
        <f>IF(基础数据!C11="AAA",0.4,IF(基础数据!C11="AA",0.5,IF(基础数据!C11="A",0.6,IF(OR(基础数据!C11="BBB",基础数据!C11="未评定"),0.7,IF(基础数据!C11="BB",0.8,)))))</f>
        <v>0.6</v>
      </c>
    </row>
    <row r="6" spans="1:3" ht="27.95" customHeight="1">
      <c r="A6" s="35">
        <v>3</v>
      </c>
      <c r="B6" s="38" t="s">
        <v>813</v>
      </c>
      <c r="C6" s="443">
        <f>IF(底表8!C21="AAA",0.4,IF(底表8!C21="AA",0.5,IF(底表8!C21="A",0.6,IF(底表8!C21="BBB",0.7,IF(底表8!C21="BB",0.8,IF(底表8!C21="B",1))))))</f>
        <v>0.6</v>
      </c>
    </row>
    <row r="7" spans="1:3" ht="27.95" customHeight="1">
      <c r="A7" s="35">
        <v>4</v>
      </c>
      <c r="B7" s="38" t="s">
        <v>814</v>
      </c>
      <c r="C7" s="443">
        <f>主表2!K4/(三年资产负债!M35/10000+主表2!K4)</f>
        <v>1</v>
      </c>
    </row>
    <row r="8" spans="1:3" ht="27.95" customHeight="1">
      <c r="A8" s="35">
        <v>5</v>
      </c>
      <c r="B8" s="38" t="s">
        <v>255</v>
      </c>
      <c r="C8" s="444">
        <f>C4*(C5*(1-C7)+C6*C7)</f>
        <v>0</v>
      </c>
    </row>
    <row r="9" spans="1:3" ht="29.25" customHeight="1"/>
    <row r="10" spans="1:3" ht="21.95" customHeight="1">
      <c r="A10" s="162" t="s">
        <v>223</v>
      </c>
      <c r="B10" s="163"/>
      <c r="C10" s="164"/>
    </row>
    <row r="11" spans="1:3" ht="21.95" customHeight="1">
      <c r="A11" s="165" t="s">
        <v>224</v>
      </c>
      <c r="B11" s="166"/>
      <c r="C11" s="167"/>
    </row>
    <row r="12" spans="1:3" ht="15.75" customHeight="1">
      <c r="A12" s="168"/>
      <c r="B12" s="156"/>
      <c r="C12" s="169"/>
    </row>
    <row r="13" spans="1:3" ht="21.95" customHeight="1">
      <c r="A13" s="170" t="s">
        <v>225</v>
      </c>
      <c r="B13" s="171"/>
      <c r="C13" s="172"/>
    </row>
    <row r="14" spans="1:3" ht="21.95" customHeight="1">
      <c r="A14" s="165" t="s">
        <v>226</v>
      </c>
      <c r="B14" s="166"/>
      <c r="C14" s="167"/>
    </row>
    <row r="15" spans="1:3" ht="13.5" customHeight="1">
      <c r="A15" s="168"/>
      <c r="B15" s="156"/>
      <c r="C15" s="169"/>
    </row>
    <row r="16" spans="1:3" ht="21.95" customHeight="1">
      <c r="A16" s="170" t="s">
        <v>227</v>
      </c>
      <c r="B16" s="171"/>
      <c r="C16" s="172"/>
    </row>
    <row r="17" spans="1:3" ht="21.75" customHeight="1">
      <c r="A17" s="165" t="s">
        <v>228</v>
      </c>
      <c r="B17" s="166"/>
      <c r="C17" s="167"/>
    </row>
    <row r="18" spans="1:3" ht="15" customHeight="1">
      <c r="A18" s="168"/>
      <c r="B18" s="156"/>
      <c r="C18" s="169"/>
    </row>
    <row r="19" spans="1:3" ht="21.95" customHeight="1">
      <c r="A19" s="170" t="s">
        <v>229</v>
      </c>
      <c r="B19" s="171"/>
      <c r="C19" s="172"/>
    </row>
    <row r="20" spans="1:3" ht="21.95" customHeight="1">
      <c r="A20" s="40" t="s">
        <v>230</v>
      </c>
    </row>
    <row r="21" spans="1:3" ht="21.95" customHeight="1">
      <c r="A21" s="40" t="s">
        <v>231</v>
      </c>
    </row>
  </sheetData>
  <customSheetViews>
    <customSheetView guid="{33FE80C0-0EDF-11D4-8B3D-001060002050}" showPageBreaks="1" showRuler="0">
      <selection activeCell="C8" sqref="A1:C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1"/>
      <headerFooter alignWithMargins="0"/>
    </customSheetView>
    <customSheetView guid="{62777320-11E7-11D4-8B3D-00E098726125}" showRuler="0">
      <selection activeCell="C8" sqref="A1:C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2"/>
      <headerFooter alignWithMargins="0"/>
    </customSheetView>
  </customSheetViews>
  <mergeCells count="2">
    <mergeCell ref="A1:C1"/>
    <mergeCell ref="B2:C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"/>
  <sheetViews>
    <sheetView workbookViewId="0" xr3:uid="{CF366857-BBDD-5199-9BC9-FF52903B0715}">
      <selection activeCell="C13" sqref="C13"/>
    </sheetView>
  </sheetViews>
  <sheetFormatPr defaultRowHeight="14.25"/>
  <cols>
    <col min="1" max="1" width="9.25" style="111" customWidth="1"/>
    <col min="2" max="2" width="22.5" style="111" customWidth="1"/>
    <col min="3" max="3" width="10" style="111" customWidth="1"/>
    <col min="4" max="4" width="6.5" style="111" customWidth="1"/>
    <col min="5" max="5" width="3.5" style="111" customWidth="1"/>
    <col min="6" max="6" width="16.125" style="111" customWidth="1"/>
    <col min="7" max="7" width="8.375" style="111" customWidth="1"/>
    <col min="8" max="8" width="28.75" style="111" customWidth="1"/>
    <col min="9" max="9" width="36.375" style="111" customWidth="1"/>
    <col min="10" max="10" width="16.875" style="111" customWidth="1"/>
    <col min="11" max="16384" width="9" style="111"/>
  </cols>
  <sheetData>
    <row r="1" spans="1:9" ht="24" customHeight="1">
      <c r="A1" s="753" t="s">
        <v>457</v>
      </c>
      <c r="B1" s="754"/>
      <c r="C1" s="754"/>
      <c r="D1" s="173"/>
      <c r="F1" s="174" t="s">
        <v>363</v>
      </c>
      <c r="G1" s="175"/>
      <c r="H1" s="175"/>
      <c r="I1" s="175"/>
    </row>
    <row r="2" spans="1:9" ht="23.25" customHeight="1">
      <c r="A2" s="74" t="s">
        <v>815</v>
      </c>
      <c r="B2" s="925" t="str">
        <f>底表7!C2</f>
        <v>安徽省芜湖市芜湖县荆江路以北 芜湖中路以东 世纪大道以西</v>
      </c>
      <c r="C2" s="925"/>
      <c r="D2" s="176"/>
      <c r="E2" s="177" t="s">
        <v>314</v>
      </c>
      <c r="F2" s="178" t="s">
        <v>364</v>
      </c>
      <c r="G2" s="178" t="s">
        <v>365</v>
      </c>
      <c r="H2" s="178" t="s">
        <v>366</v>
      </c>
      <c r="I2" s="178" t="s">
        <v>367</v>
      </c>
    </row>
    <row r="3" spans="1:9" ht="24" customHeight="1">
      <c r="A3" s="37" t="s">
        <v>28</v>
      </c>
      <c r="B3" s="37" t="s">
        <v>816</v>
      </c>
      <c r="C3" s="37" t="s">
        <v>817</v>
      </c>
      <c r="D3" s="179"/>
      <c r="E3" s="180" t="s">
        <v>368</v>
      </c>
      <c r="F3" s="177" t="s">
        <v>369</v>
      </c>
      <c r="G3" s="178">
        <v>40</v>
      </c>
      <c r="H3" s="181"/>
      <c r="I3" s="177"/>
    </row>
    <row r="4" spans="1:9" ht="24" customHeight="1">
      <c r="A4" s="37" t="s">
        <v>458</v>
      </c>
      <c r="B4" s="445" t="s">
        <v>50</v>
      </c>
      <c r="C4" s="35">
        <f>SUM(C5:C10)</f>
        <v>38</v>
      </c>
      <c r="D4" s="182"/>
      <c r="E4" s="183">
        <v>1</v>
      </c>
      <c r="F4" s="183" t="s">
        <v>370</v>
      </c>
      <c r="G4" s="183">
        <v>10</v>
      </c>
      <c r="H4" s="184" t="s">
        <v>371</v>
      </c>
      <c r="I4" s="184" t="s">
        <v>372</v>
      </c>
    </row>
    <row r="5" spans="1:9" ht="24" customHeight="1">
      <c r="A5" s="35">
        <v>1</v>
      </c>
      <c r="B5" s="38" t="s">
        <v>459</v>
      </c>
      <c r="C5" s="35">
        <v>10</v>
      </c>
      <c r="D5" s="182"/>
      <c r="E5" s="180">
        <v>2</v>
      </c>
      <c r="F5" s="181" t="s">
        <v>373</v>
      </c>
      <c r="G5" s="177">
        <v>6</v>
      </c>
      <c r="H5" s="181"/>
      <c r="I5" s="181" t="s">
        <v>374</v>
      </c>
    </row>
    <row r="6" spans="1:9" ht="24" customHeight="1">
      <c r="A6" s="35">
        <v>2</v>
      </c>
      <c r="B6" s="38" t="s">
        <v>460</v>
      </c>
      <c r="C6" s="35">
        <v>6</v>
      </c>
      <c r="D6" s="182"/>
      <c r="E6" s="180">
        <v>3</v>
      </c>
      <c r="F6" s="177" t="s">
        <v>375</v>
      </c>
      <c r="G6" s="177">
        <v>8</v>
      </c>
      <c r="H6" s="181" t="s">
        <v>376</v>
      </c>
      <c r="I6" s="181" t="s">
        <v>377</v>
      </c>
    </row>
    <row r="7" spans="1:9" ht="24" customHeight="1">
      <c r="A7" s="35">
        <v>3</v>
      </c>
      <c r="B7" s="38" t="s">
        <v>461</v>
      </c>
      <c r="C7" s="35">
        <v>8</v>
      </c>
      <c r="D7" s="182"/>
      <c r="E7" s="180">
        <v>4</v>
      </c>
      <c r="F7" s="181" t="s">
        <v>378</v>
      </c>
      <c r="G7" s="177">
        <v>4</v>
      </c>
      <c r="H7" s="181"/>
      <c r="I7" s="181" t="s">
        <v>379</v>
      </c>
    </row>
    <row r="8" spans="1:9" ht="24" customHeight="1">
      <c r="A8" s="35">
        <v>4</v>
      </c>
      <c r="B8" s="38" t="s">
        <v>462</v>
      </c>
      <c r="C8" s="446">
        <v>4</v>
      </c>
      <c r="D8" s="182"/>
      <c r="E8" s="183">
        <v>5</v>
      </c>
      <c r="F8" s="184" t="s">
        <v>380</v>
      </c>
      <c r="G8" s="183">
        <v>10</v>
      </c>
      <c r="H8" s="184" t="s">
        <v>381</v>
      </c>
      <c r="I8" s="184" t="s">
        <v>382</v>
      </c>
    </row>
    <row r="9" spans="1:9" ht="24" customHeight="1">
      <c r="A9" s="35">
        <v>5</v>
      </c>
      <c r="B9" s="38" t="s">
        <v>463</v>
      </c>
      <c r="C9" s="35">
        <v>10</v>
      </c>
      <c r="D9" s="182"/>
      <c r="E9" s="180">
        <v>6</v>
      </c>
      <c r="F9" s="181" t="s">
        <v>383</v>
      </c>
      <c r="G9" s="177">
        <v>2</v>
      </c>
      <c r="H9" s="181" t="s">
        <v>384</v>
      </c>
      <c r="I9" s="181" t="s">
        <v>385</v>
      </c>
    </row>
    <row r="10" spans="1:9" ht="24" customHeight="1">
      <c r="A10" s="35">
        <v>6</v>
      </c>
      <c r="B10" s="38" t="s">
        <v>464</v>
      </c>
      <c r="C10" s="35">
        <v>0</v>
      </c>
      <c r="D10" s="182"/>
      <c r="E10" s="180" t="s">
        <v>386</v>
      </c>
      <c r="F10" s="177" t="s">
        <v>387</v>
      </c>
      <c r="G10" s="178">
        <v>20</v>
      </c>
      <c r="H10" s="181"/>
      <c r="I10" s="181"/>
    </row>
    <row r="11" spans="1:9" ht="24" customHeight="1">
      <c r="A11" s="37" t="s">
        <v>465</v>
      </c>
      <c r="B11" s="445" t="s">
        <v>49</v>
      </c>
      <c r="C11" s="35">
        <v>8</v>
      </c>
      <c r="D11" s="182"/>
      <c r="E11" s="180">
        <v>7</v>
      </c>
      <c r="F11" s="177" t="s">
        <v>388</v>
      </c>
      <c r="G11" s="177">
        <v>4</v>
      </c>
      <c r="H11" s="181" t="s">
        <v>389</v>
      </c>
      <c r="I11" s="181" t="s">
        <v>390</v>
      </c>
    </row>
    <row r="12" spans="1:9" ht="24" customHeight="1">
      <c r="A12" s="35">
        <v>7</v>
      </c>
      <c r="B12" s="38" t="s">
        <v>466</v>
      </c>
      <c r="C12" s="35">
        <v>4</v>
      </c>
      <c r="D12" s="182"/>
      <c r="E12" s="180">
        <v>8</v>
      </c>
      <c r="F12" s="177" t="s">
        <v>391</v>
      </c>
      <c r="G12" s="177">
        <v>4</v>
      </c>
      <c r="H12" s="181" t="s">
        <v>392</v>
      </c>
      <c r="I12" s="181" t="s">
        <v>393</v>
      </c>
    </row>
    <row r="13" spans="1:9" ht="24" customHeight="1">
      <c r="A13" s="35">
        <v>8</v>
      </c>
      <c r="B13" s="38" t="s">
        <v>467</v>
      </c>
      <c r="C13" s="35">
        <v>2</v>
      </c>
      <c r="D13" s="182"/>
      <c r="E13" s="180">
        <v>9</v>
      </c>
      <c r="F13" s="177" t="s">
        <v>394</v>
      </c>
      <c r="G13" s="177">
        <v>4</v>
      </c>
      <c r="H13" s="181" t="s">
        <v>395</v>
      </c>
      <c r="I13" s="181" t="s">
        <v>396</v>
      </c>
    </row>
    <row r="14" spans="1:9" ht="24" customHeight="1">
      <c r="A14" s="35">
        <v>9</v>
      </c>
      <c r="B14" s="38" t="s">
        <v>468</v>
      </c>
      <c r="C14" s="35">
        <v>4</v>
      </c>
      <c r="D14" s="182"/>
      <c r="E14" s="180">
        <v>10</v>
      </c>
      <c r="F14" s="177" t="s">
        <v>397</v>
      </c>
      <c r="G14" s="177">
        <v>8</v>
      </c>
      <c r="H14" s="181" t="s">
        <v>398</v>
      </c>
      <c r="I14" s="181" t="s">
        <v>399</v>
      </c>
    </row>
    <row r="15" spans="1:9" ht="24" customHeight="1">
      <c r="A15" s="35">
        <v>10</v>
      </c>
      <c r="B15" s="38" t="s">
        <v>469</v>
      </c>
      <c r="C15" s="35">
        <v>8</v>
      </c>
      <c r="D15" s="182"/>
      <c r="E15" s="180" t="s">
        <v>400</v>
      </c>
      <c r="F15" s="177" t="s">
        <v>401</v>
      </c>
      <c r="G15" s="178">
        <v>40</v>
      </c>
      <c r="H15" s="181"/>
      <c r="I15" s="181"/>
    </row>
    <row r="16" spans="1:9" ht="24" customHeight="1">
      <c r="A16" s="37" t="s">
        <v>470</v>
      </c>
      <c r="B16" s="445" t="s">
        <v>48</v>
      </c>
      <c r="C16" s="35">
        <f>SUM(C17:C19)</f>
        <v>28</v>
      </c>
      <c r="D16" s="182"/>
      <c r="E16" s="183">
        <v>11</v>
      </c>
      <c r="F16" s="183" t="s">
        <v>402</v>
      </c>
      <c r="G16" s="183">
        <v>30</v>
      </c>
      <c r="H16" s="184"/>
      <c r="I16" s="184" t="s">
        <v>403</v>
      </c>
    </row>
    <row r="17" spans="1:9" ht="24" customHeight="1">
      <c r="A17" s="35">
        <v>11</v>
      </c>
      <c r="B17" s="38" t="s">
        <v>471</v>
      </c>
      <c r="C17" s="35">
        <v>18</v>
      </c>
      <c r="D17" s="182"/>
      <c r="E17" s="183">
        <v>12</v>
      </c>
      <c r="F17" s="183" t="s">
        <v>404</v>
      </c>
      <c r="G17" s="183">
        <v>5</v>
      </c>
      <c r="H17" s="184"/>
      <c r="I17" s="184" t="s">
        <v>405</v>
      </c>
    </row>
    <row r="18" spans="1:9" ht="24" customHeight="1">
      <c r="A18" s="35">
        <v>12</v>
      </c>
      <c r="B18" s="38" t="s">
        <v>472</v>
      </c>
      <c r="C18" s="35">
        <v>5</v>
      </c>
      <c r="D18" s="182"/>
      <c r="E18" s="183">
        <v>13</v>
      </c>
      <c r="F18" s="183" t="s">
        <v>406</v>
      </c>
      <c r="G18" s="183">
        <v>5</v>
      </c>
      <c r="H18" s="184"/>
      <c r="I18" s="184" t="s">
        <v>407</v>
      </c>
    </row>
    <row r="19" spans="1:9" ht="24" customHeight="1">
      <c r="A19" s="35">
        <v>13</v>
      </c>
      <c r="B19" s="38" t="s">
        <v>473</v>
      </c>
      <c r="C19" s="35">
        <f>IF(主表7!D7&lt;9.36%,0,IF(主表7!D7&gt;=12%,5,IF(主表7!D7&gt;=9.36%,3,)))</f>
        <v>5</v>
      </c>
      <c r="D19" s="182"/>
      <c r="E19" s="180"/>
      <c r="F19" s="177" t="s">
        <v>408</v>
      </c>
      <c r="G19" s="178">
        <v>100</v>
      </c>
      <c r="H19" s="185" t="s">
        <v>409</v>
      </c>
      <c r="I19" s="186"/>
    </row>
    <row r="20" spans="1:9" ht="24" customHeight="1">
      <c r="A20" s="35" t="s">
        <v>3</v>
      </c>
      <c r="B20" s="445" t="s">
        <v>818</v>
      </c>
      <c r="C20" s="35">
        <f>C4+C11+C16</f>
        <v>74</v>
      </c>
      <c r="D20" s="176"/>
    </row>
    <row r="21" spans="1:9" ht="24" customHeight="1">
      <c r="A21" s="35" t="s">
        <v>3</v>
      </c>
      <c r="B21" s="38" t="s">
        <v>474</v>
      </c>
      <c r="C21" s="447" t="str">
        <f>IF(C20&gt;=90,"AAA",(IF(C20&gt;=80,"AA",(IF(C20&gt;=70,"A",(IF(C20&gt;=60,"BBB",(IF(C20&gt;=40,"BB",(IF(AND(C20&gt;=0,C20&lt;40),"B","")))))))))))</f>
        <v>A</v>
      </c>
      <c r="D21" s="113"/>
      <c r="E21" s="113"/>
    </row>
  </sheetData>
  <customSheetViews>
    <customSheetView guid="{33FE80C0-0EDF-11D4-8B3D-001060002050}" showPageBreaks="1" showRuler="0" topLeftCell="A15">
      <selection activeCell="B22" sqref="B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1"/>
      <headerFooter alignWithMargins="0"/>
    </customSheetView>
    <customSheetView guid="{62777320-11E7-11D4-8B3D-00E098726125}" showRuler="0" topLeftCell="A15">
      <selection activeCell="B22" sqref="B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2"/>
      <headerFooter alignWithMargins="0"/>
    </customSheetView>
  </customSheetViews>
  <mergeCells count="2">
    <mergeCell ref="A1:C1"/>
    <mergeCell ref="B2:C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topLeftCell="A25" zoomScaleNormal="100" workbookViewId="0" xr3:uid="{958C4451-9541-5A59-BF78-D2F731DF1C81}">
      <selection activeCell="M3" sqref="M3"/>
    </sheetView>
  </sheetViews>
  <sheetFormatPr defaultRowHeight="14.25"/>
  <cols>
    <col min="1" max="1" width="22.125" style="536" customWidth="1"/>
    <col min="2" max="2" width="30.125" style="536" customWidth="1"/>
    <col min="3" max="3" width="53.875" style="536" customWidth="1"/>
    <col min="4" max="4" width="17.25" style="536" customWidth="1"/>
    <col min="5" max="5" width="14" style="536" customWidth="1"/>
    <col min="6" max="6" width="36.125" style="536" bestFit="1" customWidth="1"/>
    <col min="7" max="7" width="13.25" style="536" customWidth="1"/>
    <col min="8" max="8" width="12.625" style="536" customWidth="1"/>
    <col min="9" max="9" width="11.25" style="536" customWidth="1"/>
    <col min="10" max="10" width="30.875" style="536" customWidth="1"/>
    <col min="11" max="11" width="14.625" style="536" customWidth="1"/>
    <col min="12" max="16384" width="9" style="536"/>
  </cols>
  <sheetData>
    <row r="1" spans="1:16">
      <c r="A1" s="542" t="s">
        <v>888</v>
      </c>
      <c r="B1" s="639" t="s">
        <v>1041</v>
      </c>
      <c r="C1" s="639" t="s">
        <v>1040</v>
      </c>
      <c r="E1" s="546"/>
      <c r="F1" s="546"/>
      <c r="G1" s="546"/>
      <c r="H1" s="546"/>
      <c r="I1" s="546"/>
      <c r="J1" s="544"/>
      <c r="K1" s="544" t="s">
        <v>912</v>
      </c>
    </row>
    <row r="2" spans="1:16">
      <c r="A2" s="542" t="s">
        <v>889</v>
      </c>
      <c r="B2" s="542">
        <f>B3+B4+B5+B6</f>
        <v>82074</v>
      </c>
      <c r="C2" s="535"/>
      <c r="E2" s="647" t="s">
        <v>900</v>
      </c>
      <c r="F2" s="647" t="s">
        <v>901</v>
      </c>
      <c r="G2" s="647" t="s">
        <v>902</v>
      </c>
      <c r="H2" s="647" t="s">
        <v>903</v>
      </c>
      <c r="I2" s="647" t="s">
        <v>904</v>
      </c>
      <c r="J2" s="647" t="s">
        <v>911</v>
      </c>
      <c r="K2" s="648">
        <v>2016</v>
      </c>
      <c r="L2" s="648">
        <v>2017</v>
      </c>
      <c r="M2" s="648">
        <v>2018</v>
      </c>
      <c r="N2" s="648">
        <v>2019</v>
      </c>
      <c r="O2" s="648">
        <v>2020</v>
      </c>
      <c r="P2" s="649" t="s">
        <v>297</v>
      </c>
    </row>
    <row r="3" spans="1:16">
      <c r="A3" s="535" t="s">
        <v>890</v>
      </c>
      <c r="B3" s="643">
        <f>B41</f>
        <v>82074</v>
      </c>
      <c r="C3" s="535"/>
      <c r="E3" s="650" t="s">
        <v>1044</v>
      </c>
      <c r="F3" s="647" t="s">
        <v>909</v>
      </c>
      <c r="G3" s="648">
        <v>18800</v>
      </c>
      <c r="H3" s="660">
        <f>基础数据!C9</f>
        <v>0.115</v>
      </c>
      <c r="I3" s="662">
        <v>1</v>
      </c>
      <c r="J3" s="650" t="s">
        <v>1049</v>
      </c>
      <c r="K3" s="648"/>
      <c r="L3" s="649"/>
      <c r="M3" s="649">
        <f>G3*H3</f>
        <v>2162</v>
      </c>
      <c r="N3" s="649"/>
      <c r="O3" s="649"/>
      <c r="P3" s="648">
        <f t="shared" ref="P3:P8" si="0">SUM(K3:O3)</f>
        <v>2162</v>
      </c>
    </row>
    <row r="4" spans="1:16">
      <c r="A4" s="535"/>
      <c r="B4" s="535"/>
      <c r="C4" s="535"/>
      <c r="E4" s="650" t="s">
        <v>1044</v>
      </c>
      <c r="F4" s="705" t="s">
        <v>1046</v>
      </c>
      <c r="G4" s="648">
        <v>7500</v>
      </c>
      <c r="H4" s="648"/>
      <c r="I4" s="648"/>
      <c r="J4" s="648"/>
      <c r="K4" s="648"/>
      <c r="L4" s="648"/>
      <c r="M4" s="648"/>
      <c r="N4" s="648"/>
      <c r="O4" s="648"/>
      <c r="P4" s="648">
        <f t="shared" si="0"/>
        <v>0</v>
      </c>
    </row>
    <row r="5" spans="1:16">
      <c r="A5" s="535"/>
      <c r="B5" s="535"/>
      <c r="C5" s="535"/>
      <c r="D5" s="544"/>
      <c r="E5" s="650" t="s">
        <v>1044</v>
      </c>
      <c r="F5" s="650" t="s">
        <v>1045</v>
      </c>
      <c r="G5" s="648">
        <v>80</v>
      </c>
      <c r="H5" s="652"/>
      <c r="I5" s="648"/>
      <c r="J5" s="653"/>
      <c r="K5" s="648">
        <f>ROUND(G5*H5/12*3,0)</f>
        <v>0</v>
      </c>
      <c r="L5" s="648">
        <f>ROUND(G5*H5,0)</f>
        <v>0</v>
      </c>
      <c r="M5" s="648">
        <f>ROUND((G5-主表6!E22)*H5,0)</f>
        <v>0</v>
      </c>
      <c r="N5" s="648">
        <f>ROUND((G5-(主表6!E22+主表6!F22))*H5,0)</f>
        <v>0</v>
      </c>
      <c r="O5" s="648"/>
      <c r="P5" s="648">
        <f t="shared" si="0"/>
        <v>0</v>
      </c>
    </row>
    <row r="6" spans="1:16">
      <c r="A6" s="535"/>
      <c r="B6" s="535"/>
      <c r="C6" s="535"/>
      <c r="D6" s="544"/>
      <c r="E6" s="650" t="s">
        <v>1048</v>
      </c>
      <c r="F6" s="650" t="s">
        <v>1046</v>
      </c>
      <c r="G6" s="648">
        <v>17500</v>
      </c>
      <c r="H6" s="652"/>
      <c r="I6" s="648"/>
      <c r="J6" s="654"/>
      <c r="K6" s="648">
        <f>ROUND(G6*H6/2,0)</f>
        <v>0</v>
      </c>
      <c r="L6" s="648">
        <f>ROUND(G6*H6,0)</f>
        <v>0</v>
      </c>
      <c r="M6" s="648">
        <f>ROUND(G6*H6,0)</f>
        <v>0</v>
      </c>
      <c r="N6" s="648">
        <f>ROUND(G6*H6,0)</f>
        <v>0</v>
      </c>
      <c r="O6" s="648"/>
      <c r="P6" s="648">
        <f t="shared" si="0"/>
        <v>0</v>
      </c>
    </row>
    <row r="7" spans="1:16">
      <c r="D7" s="544"/>
      <c r="E7" s="650" t="s">
        <v>1048</v>
      </c>
      <c r="F7" s="663" t="s">
        <v>1047</v>
      </c>
      <c r="G7" s="642">
        <v>4640</v>
      </c>
      <c r="H7" s="655"/>
      <c r="I7" s="648"/>
      <c r="J7" s="647"/>
      <c r="K7" s="648">
        <f>ROUND(主表2!E9*H7/12*3,0)</f>
        <v>0</v>
      </c>
      <c r="L7" s="648">
        <f>ROUND(G7*H7/12*9,0)</f>
        <v>0</v>
      </c>
      <c r="M7" s="648"/>
      <c r="N7" s="648"/>
      <c r="O7" s="648"/>
      <c r="P7" s="648">
        <f t="shared" si="0"/>
        <v>0</v>
      </c>
    </row>
    <row r="8" spans="1:16">
      <c r="D8" s="544"/>
      <c r="E8" s="647"/>
      <c r="F8" s="647"/>
      <c r="G8" s="648"/>
      <c r="H8" s="651"/>
      <c r="I8" s="648"/>
      <c r="J8" s="648"/>
      <c r="K8" s="648">
        <f>ROUND(G8*H8/12*3,0)</f>
        <v>0</v>
      </c>
      <c r="L8" s="648">
        <f>ROUND(G8*H8,0)</f>
        <v>0</v>
      </c>
      <c r="M8" s="648">
        <f>ROUND((G8-主表6!E23)*H8,0)</f>
        <v>0</v>
      </c>
      <c r="N8" s="648">
        <f>ROUND((G8-(主表6!E23+主表6!F23))*H8,0)</f>
        <v>0</v>
      </c>
      <c r="O8" s="648"/>
      <c r="P8" s="648">
        <f t="shared" si="0"/>
        <v>0</v>
      </c>
    </row>
    <row r="9" spans="1:16">
      <c r="A9" s="559" t="s">
        <v>512</v>
      </c>
      <c r="B9" s="559" t="s">
        <v>924</v>
      </c>
      <c r="E9" s="648"/>
      <c r="F9" s="649" t="s">
        <v>915</v>
      </c>
      <c r="G9" s="648"/>
      <c r="H9" s="648"/>
      <c r="I9" s="648"/>
      <c r="J9" s="648"/>
      <c r="K9" s="648">
        <f>K5+K8+K3</f>
        <v>0</v>
      </c>
      <c r="L9" s="648">
        <f>L5+L8+L3</f>
        <v>0</v>
      </c>
      <c r="M9" s="648">
        <f>M5+M8+M3</f>
        <v>2162</v>
      </c>
      <c r="N9" s="648">
        <f>N5+N8+N3</f>
        <v>0</v>
      </c>
      <c r="O9" s="648"/>
      <c r="P9" s="648">
        <f>P5+P8+P3</f>
        <v>2162</v>
      </c>
    </row>
    <row r="10" spans="1:16">
      <c r="A10" s="542" t="s">
        <v>891</v>
      </c>
      <c r="B10" s="645">
        <f>B11+B12+B13+B14</f>
        <v>198997</v>
      </c>
      <c r="E10" s="648"/>
      <c r="F10" s="649" t="s">
        <v>916</v>
      </c>
      <c r="G10" s="648"/>
      <c r="H10" s="648"/>
      <c r="I10" s="648"/>
      <c r="J10" s="648"/>
      <c r="K10" s="648">
        <f>K7+K6</f>
        <v>0</v>
      </c>
      <c r="L10" s="648">
        <f>L7+L6</f>
        <v>0</v>
      </c>
      <c r="M10" s="648">
        <f>M7+M6</f>
        <v>0</v>
      </c>
      <c r="N10" s="648">
        <f>N7+N6</f>
        <v>0</v>
      </c>
      <c r="O10" s="648"/>
      <c r="P10" s="648">
        <f>P7+P6</f>
        <v>0</v>
      </c>
    </row>
    <row r="11" spans="1:16">
      <c r="A11" s="535" t="str">
        <f>B53</f>
        <v>住宅</v>
      </c>
      <c r="B11" s="644">
        <f>C53</f>
        <v>122943</v>
      </c>
      <c r="E11" s="648"/>
      <c r="F11" s="649" t="s">
        <v>917</v>
      </c>
      <c r="G11" s="648"/>
      <c r="H11" s="648"/>
      <c r="I11" s="648"/>
      <c r="J11" s="648"/>
      <c r="K11" s="648">
        <f>SUM(K9:K10)</f>
        <v>0</v>
      </c>
      <c r="L11" s="648">
        <f>SUM(L9:L10)</f>
        <v>0</v>
      </c>
      <c r="M11" s="648">
        <f>SUM(M9:M10)</f>
        <v>2162</v>
      </c>
      <c r="N11" s="648">
        <f>SUM(N9:N10)</f>
        <v>0</v>
      </c>
      <c r="O11" s="648"/>
      <c r="P11" s="648">
        <f>SUM(P9:P10)</f>
        <v>2162</v>
      </c>
    </row>
    <row r="12" spans="1:16">
      <c r="A12" s="535" t="str">
        <f>B57</f>
        <v>商业&amp;办公</v>
      </c>
      <c r="B12" s="644">
        <f>C57</f>
        <v>22160</v>
      </c>
      <c r="E12" s="656"/>
      <c r="F12" s="656"/>
      <c r="G12" s="656"/>
      <c r="H12" s="656"/>
      <c r="I12" s="656"/>
      <c r="J12" s="657"/>
      <c r="K12" s="657"/>
      <c r="L12" s="657"/>
      <c r="M12" s="657"/>
      <c r="N12" s="657"/>
      <c r="O12" s="657"/>
      <c r="P12" s="657"/>
    </row>
    <row r="13" spans="1:16">
      <c r="A13" s="535" t="str">
        <f>A60</f>
        <v>公建配套（地上）</v>
      </c>
      <c r="B13" s="644">
        <f>C60</f>
        <v>2630</v>
      </c>
      <c r="E13" s="656"/>
      <c r="F13" s="656"/>
      <c r="G13" s="656"/>
      <c r="H13" s="656"/>
      <c r="I13" s="656"/>
      <c r="J13" s="657"/>
      <c r="K13" s="657"/>
      <c r="L13" s="649">
        <f>ROUND((G3+主表2!E5)*H3/12*3,0)</f>
        <v>541</v>
      </c>
      <c r="M13" s="657"/>
      <c r="N13" s="657"/>
      <c r="O13" s="657"/>
      <c r="P13" s="657"/>
    </row>
    <row r="14" spans="1:16">
      <c r="A14" s="535" t="str">
        <f>A62</f>
        <v>地下面积（车库+其他）</v>
      </c>
      <c r="B14" s="644">
        <f>B62</f>
        <v>51264</v>
      </c>
      <c r="E14" s="656"/>
      <c r="F14" s="735" t="s">
        <v>918</v>
      </c>
      <c r="G14" s="736"/>
      <c r="H14" s="737"/>
      <c r="I14" s="656"/>
      <c r="J14" s="657"/>
      <c r="K14" s="657"/>
      <c r="L14" s="648">
        <f>ROUND(G5*H5/12*3,0)</f>
        <v>0</v>
      </c>
      <c r="M14" s="657"/>
      <c r="N14" s="657"/>
      <c r="O14" s="657"/>
      <c r="P14" s="657"/>
    </row>
    <row r="15" spans="1:16">
      <c r="E15" s="656"/>
      <c r="F15" s="654" t="s">
        <v>908</v>
      </c>
      <c r="G15" s="648">
        <f>G3+主表2!E5</f>
        <v>18800</v>
      </c>
      <c r="H15" s="658">
        <f>G15/G18</f>
        <v>0.996</v>
      </c>
      <c r="I15" s="656"/>
      <c r="J15" s="657"/>
      <c r="K15" s="657"/>
      <c r="L15" s="648">
        <f>ROUND(G8*H8/12*3,0)</f>
        <v>0</v>
      </c>
      <c r="M15" s="657"/>
      <c r="N15" s="657"/>
      <c r="O15" s="657"/>
      <c r="P15" s="657"/>
    </row>
    <row r="16" spans="1:16">
      <c r="E16" s="656"/>
      <c r="F16" s="654" t="s">
        <v>919</v>
      </c>
      <c r="G16" s="648">
        <f>G5</f>
        <v>80</v>
      </c>
      <c r="H16" s="658">
        <f>G16/G18</f>
        <v>4.0000000000000001E-3</v>
      </c>
      <c r="I16" s="656"/>
      <c r="J16" s="657"/>
      <c r="K16" s="657"/>
      <c r="L16" s="657">
        <f>SUM(L13:L15)</f>
        <v>541</v>
      </c>
      <c r="M16" s="657"/>
      <c r="N16" s="657"/>
      <c r="O16" s="657"/>
      <c r="P16" s="657"/>
    </row>
    <row r="17" spans="1:16">
      <c r="E17" s="656"/>
      <c r="F17" s="654" t="s">
        <v>910</v>
      </c>
      <c r="G17" s="648">
        <f>G8</f>
        <v>0</v>
      </c>
      <c r="H17" s="658">
        <f>G17/G18</f>
        <v>0</v>
      </c>
      <c r="I17" s="656"/>
      <c r="J17" s="657"/>
      <c r="K17" s="657"/>
      <c r="L17" s="657"/>
      <c r="M17" s="657"/>
      <c r="N17" s="657"/>
      <c r="O17" s="657"/>
      <c r="P17" s="657"/>
    </row>
    <row r="18" spans="1:16">
      <c r="E18" s="656"/>
      <c r="F18" s="654" t="s">
        <v>297</v>
      </c>
      <c r="G18" s="648">
        <f>SUM(G15:G17)</f>
        <v>18880</v>
      </c>
      <c r="H18" s="648"/>
      <c r="I18" s="656"/>
      <c r="J18" s="657"/>
      <c r="K18" s="657"/>
      <c r="L18" s="657"/>
      <c r="M18" s="657"/>
      <c r="N18" s="657"/>
      <c r="O18" s="657"/>
      <c r="P18" s="657"/>
    </row>
    <row r="19" spans="1:16">
      <c r="E19" s="543"/>
      <c r="F19" s="543"/>
      <c r="G19" s="543"/>
      <c r="H19" s="543"/>
      <c r="I19" s="543"/>
    </row>
    <row r="20" spans="1:16">
      <c r="E20" s="543"/>
      <c r="F20" s="543"/>
      <c r="G20" s="543"/>
      <c r="H20" s="543"/>
      <c r="I20" s="543"/>
    </row>
    <row r="21" spans="1:16">
      <c r="E21" s="543"/>
      <c r="F21" s="543"/>
      <c r="G21" s="543"/>
      <c r="H21" s="543"/>
      <c r="I21" s="543"/>
    </row>
    <row r="22" spans="1:16">
      <c r="A22" s="545" t="s">
        <v>892</v>
      </c>
      <c r="B22" s="535">
        <f>B23+B24</f>
        <v>392000000</v>
      </c>
      <c r="C22" s="547" t="s">
        <v>893</v>
      </c>
      <c r="E22" s="543"/>
      <c r="F22" s="543"/>
      <c r="G22" s="543"/>
      <c r="H22" s="543"/>
      <c r="I22" s="543"/>
    </row>
    <row r="23" spans="1:16">
      <c r="A23" s="545" t="s">
        <v>865</v>
      </c>
      <c r="B23" s="535">
        <v>392000000</v>
      </c>
      <c r="E23" s="543"/>
      <c r="F23" s="543"/>
      <c r="G23" s="543"/>
      <c r="H23" s="543"/>
      <c r="I23" s="543"/>
    </row>
    <row r="24" spans="1:16">
      <c r="A24" s="640" t="s">
        <v>894</v>
      </c>
      <c r="B24" s="641">
        <f>0</f>
        <v>0</v>
      </c>
      <c r="E24" s="543"/>
      <c r="F24" s="543"/>
      <c r="G24" s="543"/>
      <c r="H24" s="543"/>
      <c r="I24" s="543"/>
    </row>
    <row r="25" spans="1:16">
      <c r="E25" s="543"/>
      <c r="F25" s="648" t="s">
        <v>930</v>
      </c>
      <c r="G25" s="648" t="s">
        <v>931</v>
      </c>
      <c r="H25" s="648" t="s">
        <v>932</v>
      </c>
      <c r="I25" s="648" t="s">
        <v>933</v>
      </c>
      <c r="J25" s="648" t="s">
        <v>934</v>
      </c>
      <c r="K25" s="648" t="s">
        <v>935</v>
      </c>
      <c r="L25" s="659" t="s">
        <v>297</v>
      </c>
    </row>
    <row r="26" spans="1:16">
      <c r="F26" s="659" t="s">
        <v>936</v>
      </c>
      <c r="G26" s="648">
        <v>0</v>
      </c>
      <c r="H26" s="648">
        <v>296326</v>
      </c>
      <c r="I26" s="648">
        <v>330000</v>
      </c>
      <c r="J26" s="648">
        <v>420000</v>
      </c>
      <c r="K26" s="648">
        <v>317910</v>
      </c>
      <c r="L26" s="648">
        <f t="shared" ref="L26:L31" si="1">SUM(G26:K26)</f>
        <v>1364236</v>
      </c>
    </row>
    <row r="27" spans="1:16">
      <c r="A27" s="545" t="s">
        <v>895</v>
      </c>
      <c r="B27" s="548">
        <v>43343</v>
      </c>
      <c r="F27" s="648" t="s">
        <v>925</v>
      </c>
      <c r="G27" s="648"/>
      <c r="H27" s="648">
        <v>296326</v>
      </c>
      <c r="I27" s="648">
        <v>70000</v>
      </c>
      <c r="J27" s="648">
        <v>220000</v>
      </c>
      <c r="K27" s="648">
        <v>247674</v>
      </c>
      <c r="L27" s="648">
        <f t="shared" si="1"/>
        <v>834000</v>
      </c>
    </row>
    <row r="28" spans="1:16">
      <c r="A28" s="545" t="s">
        <v>896</v>
      </c>
      <c r="B28" s="639" t="s">
        <v>1039</v>
      </c>
      <c r="F28" s="648" t="s">
        <v>926</v>
      </c>
      <c r="G28" s="648"/>
      <c r="H28" s="648"/>
      <c r="I28" s="648">
        <v>100000</v>
      </c>
      <c r="J28" s="648">
        <v>100000</v>
      </c>
      <c r="K28" s="648">
        <v>23655</v>
      </c>
      <c r="L28" s="648">
        <f t="shared" si="1"/>
        <v>223655</v>
      </c>
    </row>
    <row r="29" spans="1:16">
      <c r="A29" s="545" t="s">
        <v>897</v>
      </c>
      <c r="B29" s="548">
        <v>43939</v>
      </c>
      <c r="F29" s="648" t="s">
        <v>927</v>
      </c>
      <c r="G29" s="648"/>
      <c r="H29" s="648"/>
      <c r="I29" s="648">
        <v>10000</v>
      </c>
      <c r="J29" s="648">
        <v>100000</v>
      </c>
      <c r="K29" s="648">
        <v>24193</v>
      </c>
      <c r="L29" s="648">
        <f t="shared" si="1"/>
        <v>134193</v>
      </c>
    </row>
    <row r="30" spans="1:16">
      <c r="F30" s="648" t="s">
        <v>928</v>
      </c>
      <c r="G30" s="648"/>
      <c r="H30" s="648"/>
      <c r="I30" s="648"/>
      <c r="J30" s="648"/>
      <c r="K30" s="648">
        <v>22388</v>
      </c>
      <c r="L30" s="648">
        <f t="shared" si="1"/>
        <v>22388</v>
      </c>
    </row>
    <row r="31" spans="1:16">
      <c r="F31" s="648" t="s">
        <v>929</v>
      </c>
      <c r="G31" s="648"/>
      <c r="H31" s="648"/>
      <c r="I31" s="648">
        <v>150000</v>
      </c>
      <c r="J31" s="648"/>
      <c r="K31" s="648"/>
      <c r="L31" s="648">
        <f t="shared" si="1"/>
        <v>150000</v>
      </c>
    </row>
    <row r="32" spans="1:16">
      <c r="A32" s="545" t="s">
        <v>898</v>
      </c>
      <c r="B32" s="548">
        <v>43446</v>
      </c>
    </row>
    <row r="33" spans="1:8">
      <c r="A33" s="545" t="s">
        <v>899</v>
      </c>
      <c r="B33" s="639" t="s">
        <v>1038</v>
      </c>
    </row>
    <row r="34" spans="1:8">
      <c r="A34" s="543"/>
      <c r="B34" s="543"/>
    </row>
    <row r="37" spans="1:8" ht="15" thickBot="1"/>
    <row r="38" spans="1:8" ht="16.5">
      <c r="A38" s="720" t="s">
        <v>1004</v>
      </c>
      <c r="B38" s="721"/>
      <c r="C38" s="721"/>
      <c r="D38" s="721"/>
      <c r="E38" s="721"/>
      <c r="F38" s="721"/>
      <c r="G38" s="721"/>
      <c r="H38" s="722"/>
    </row>
    <row r="39" spans="1:8">
      <c r="A39" s="572" t="s">
        <v>944</v>
      </c>
      <c r="B39" s="573" t="s">
        <v>945</v>
      </c>
      <c r="C39" s="573" t="s">
        <v>946</v>
      </c>
      <c r="D39" s="573" t="s">
        <v>944</v>
      </c>
      <c r="E39" s="573" t="s">
        <v>945</v>
      </c>
      <c r="F39" s="573" t="s">
        <v>946</v>
      </c>
      <c r="G39" s="723" t="s">
        <v>1005</v>
      </c>
      <c r="H39" s="724"/>
    </row>
    <row r="40" spans="1:8">
      <c r="A40" s="575" t="s">
        <v>1006</v>
      </c>
      <c r="B40" s="611">
        <v>82074</v>
      </c>
      <c r="C40" s="577" t="s">
        <v>949</v>
      </c>
      <c r="D40" s="585" t="s">
        <v>1007</v>
      </c>
      <c r="E40" s="612">
        <v>0.3</v>
      </c>
      <c r="F40" s="577" t="s">
        <v>959</v>
      </c>
      <c r="G40" s="725"/>
      <c r="H40" s="726"/>
    </row>
    <row r="41" spans="1:8">
      <c r="A41" s="575" t="s">
        <v>1008</v>
      </c>
      <c r="B41" s="611">
        <f>B40</f>
        <v>82074</v>
      </c>
      <c r="C41" s="577" t="s">
        <v>949</v>
      </c>
      <c r="D41" s="585" t="s">
        <v>1009</v>
      </c>
      <c r="E41" s="612">
        <v>0.35</v>
      </c>
      <c r="F41" s="577" t="s">
        <v>959</v>
      </c>
      <c r="G41" s="725"/>
      <c r="H41" s="726"/>
    </row>
    <row r="42" spans="1:8">
      <c r="A42" s="575" t="s">
        <v>1010</v>
      </c>
      <c r="B42" s="613" t="str">
        <f>IF(B40-B41=0,"",B40-B41)</f>
        <v/>
      </c>
      <c r="C42" s="577" t="s">
        <v>949</v>
      </c>
      <c r="D42" s="585" t="s">
        <v>1011</v>
      </c>
      <c r="E42" s="614"/>
      <c r="F42" s="577" t="s">
        <v>1012</v>
      </c>
      <c r="G42" s="725"/>
      <c r="H42" s="726"/>
    </row>
    <row r="43" spans="1:8">
      <c r="A43" s="583" t="s">
        <v>1013</v>
      </c>
      <c r="B43" s="727" t="s">
        <v>1014</v>
      </c>
      <c r="C43" s="727"/>
      <c r="D43" s="585" t="s">
        <v>1015</v>
      </c>
      <c r="E43" s="615">
        <v>1.8</v>
      </c>
      <c r="F43" s="577" t="s">
        <v>983</v>
      </c>
      <c r="G43" s="725"/>
      <c r="H43" s="726"/>
    </row>
    <row r="44" spans="1:8" ht="16.5">
      <c r="A44" s="728" t="s">
        <v>1016</v>
      </c>
      <c r="B44" s="729"/>
      <c r="C44" s="729"/>
      <c r="D44" s="729"/>
      <c r="E44" s="729"/>
      <c r="F44" s="729"/>
      <c r="G44" s="729"/>
      <c r="H44" s="730"/>
    </row>
    <row r="45" spans="1:8">
      <c r="A45" s="572" t="s">
        <v>944</v>
      </c>
      <c r="B45" s="573" t="s">
        <v>945</v>
      </c>
      <c r="C45" s="573" t="s">
        <v>946</v>
      </c>
      <c r="D45" s="573" t="s">
        <v>944</v>
      </c>
      <c r="E45" s="573" t="s">
        <v>945</v>
      </c>
      <c r="F45" s="573" t="s">
        <v>946</v>
      </c>
      <c r="G45" s="573" t="s">
        <v>944</v>
      </c>
      <c r="H45" s="574" t="s">
        <v>947</v>
      </c>
    </row>
    <row r="46" spans="1:8">
      <c r="A46" s="575" t="s">
        <v>948</v>
      </c>
      <c r="B46" s="576">
        <v>198997</v>
      </c>
      <c r="C46" s="577" t="s">
        <v>949</v>
      </c>
      <c r="D46" s="577" t="s">
        <v>950</v>
      </c>
      <c r="E46" s="578">
        <v>145103</v>
      </c>
      <c r="F46" s="577" t="s">
        <v>949</v>
      </c>
      <c r="G46" s="577" t="s">
        <v>951</v>
      </c>
      <c r="H46" s="579"/>
    </row>
    <row r="47" spans="1:8">
      <c r="A47" s="575" t="s">
        <v>952</v>
      </c>
      <c r="B47" s="576">
        <v>147733</v>
      </c>
      <c r="C47" s="577" t="s">
        <v>949</v>
      </c>
      <c r="D47" s="577" t="s">
        <v>953</v>
      </c>
      <c r="E47" s="576">
        <v>145103</v>
      </c>
      <c r="F47" s="577" t="s">
        <v>949</v>
      </c>
      <c r="G47" s="723" t="s">
        <v>954</v>
      </c>
      <c r="H47" s="724"/>
    </row>
    <row r="48" spans="1:8">
      <c r="A48" s="575" t="s">
        <v>955</v>
      </c>
      <c r="B48" s="576">
        <v>51264</v>
      </c>
      <c r="C48" s="577" t="s">
        <v>949</v>
      </c>
      <c r="D48" s="577" t="s">
        <v>956</v>
      </c>
      <c r="E48" s="580"/>
      <c r="F48" s="577" t="s">
        <v>949</v>
      </c>
      <c r="G48" s="577" t="s">
        <v>957</v>
      </c>
      <c r="H48" s="579">
        <v>0</v>
      </c>
    </row>
    <row r="49" spans="1:8">
      <c r="A49" s="575" t="s">
        <v>958</v>
      </c>
      <c r="B49" s="581">
        <v>0.73</v>
      </c>
      <c r="C49" s="577" t="s">
        <v>959</v>
      </c>
      <c r="D49" s="577" t="s">
        <v>960</v>
      </c>
      <c r="E49" s="576">
        <f>E50+E51</f>
        <v>0</v>
      </c>
      <c r="F49" s="577" t="s">
        <v>949</v>
      </c>
      <c r="G49" s="577" t="s">
        <v>961</v>
      </c>
      <c r="H49" s="582">
        <v>51264</v>
      </c>
    </row>
    <row r="50" spans="1:8">
      <c r="A50" s="583" t="s">
        <v>962</v>
      </c>
      <c r="B50" s="584">
        <v>147733</v>
      </c>
      <c r="C50" s="577" t="s">
        <v>949</v>
      </c>
      <c r="D50" s="585" t="s">
        <v>963</v>
      </c>
      <c r="E50" s="580">
        <v>0</v>
      </c>
      <c r="F50" s="577" t="s">
        <v>949</v>
      </c>
      <c r="G50" s="577" t="s">
        <v>964</v>
      </c>
      <c r="H50" s="586">
        <v>36</v>
      </c>
    </row>
    <row r="51" spans="1:8">
      <c r="A51" s="583" t="s">
        <v>965</v>
      </c>
      <c r="B51" s="576">
        <f>SUMIFS(D91:D118,C91:C118,"持有")</f>
        <v>0</v>
      </c>
      <c r="C51" s="577" t="s">
        <v>949</v>
      </c>
      <c r="D51" s="585" t="s">
        <v>966</v>
      </c>
      <c r="E51" s="580">
        <v>0</v>
      </c>
      <c r="F51" s="577" t="s">
        <v>949</v>
      </c>
      <c r="G51" s="738" t="s">
        <v>967</v>
      </c>
      <c r="H51" s="739"/>
    </row>
    <row r="52" spans="1:8">
      <c r="A52" s="740" t="s">
        <v>968</v>
      </c>
      <c r="B52" s="723"/>
      <c r="C52" s="573" t="s">
        <v>969</v>
      </c>
      <c r="D52" s="573" t="s">
        <v>970</v>
      </c>
      <c r="E52" s="573" t="s">
        <v>971</v>
      </c>
      <c r="F52" s="573" t="s">
        <v>972</v>
      </c>
      <c r="G52" s="573" t="s">
        <v>973</v>
      </c>
      <c r="H52" s="574" t="s">
        <v>974</v>
      </c>
    </row>
    <row r="53" spans="1:8">
      <c r="A53" s="588" t="s">
        <v>975</v>
      </c>
      <c r="B53" s="589" t="s">
        <v>976</v>
      </c>
      <c r="C53" s="590">
        <f>SUM(C54:C56)</f>
        <v>122943</v>
      </c>
      <c r="D53" s="590">
        <f>SUM(D54:D69)</f>
        <v>170427</v>
      </c>
      <c r="E53" s="590">
        <f>SUM(E54:E69)</f>
        <v>0</v>
      </c>
      <c r="F53" s="590">
        <f>SUM(F54:F69)</f>
        <v>169699</v>
      </c>
      <c r="G53" s="590">
        <f>SUM(G54:G69)</f>
        <v>0</v>
      </c>
      <c r="H53" s="591" t="s">
        <v>977</v>
      </c>
    </row>
    <row r="54" spans="1:8">
      <c r="A54" s="592"/>
      <c r="B54" s="593" t="s">
        <v>978</v>
      </c>
      <c r="C54" s="594">
        <f>SUM(D54:E54)</f>
        <v>72438</v>
      </c>
      <c r="D54" s="595">
        <v>72438</v>
      </c>
      <c r="E54" s="595"/>
      <c r="F54" s="595">
        <f>D54</f>
        <v>72438</v>
      </c>
      <c r="G54" s="595"/>
      <c r="H54" s="596" t="s">
        <v>979</v>
      </c>
    </row>
    <row r="55" spans="1:8">
      <c r="A55" s="592"/>
      <c r="B55" s="593" t="s">
        <v>980</v>
      </c>
      <c r="C55" s="594">
        <f>SUM(D55:E55)</f>
        <v>28725</v>
      </c>
      <c r="D55" s="595">
        <v>28725</v>
      </c>
      <c r="E55" s="595"/>
      <c r="F55" s="595">
        <f>D55</f>
        <v>28725</v>
      </c>
      <c r="G55" s="595"/>
      <c r="H55" s="596" t="s">
        <v>979</v>
      </c>
    </row>
    <row r="56" spans="1:8">
      <c r="A56" s="592"/>
      <c r="B56" s="593" t="s">
        <v>981</v>
      </c>
      <c r="C56" s="594">
        <f>SUM(D56:E56)</f>
        <v>21780</v>
      </c>
      <c r="D56" s="595">
        <v>21780</v>
      </c>
      <c r="E56" s="595"/>
      <c r="F56" s="595">
        <f>D56</f>
        <v>21780</v>
      </c>
      <c r="G56" s="595"/>
      <c r="H56" s="596" t="s">
        <v>979</v>
      </c>
    </row>
    <row r="57" spans="1:8">
      <c r="A57" s="588" t="s">
        <v>975</v>
      </c>
      <c r="B57" s="597" t="s">
        <v>982</v>
      </c>
      <c r="C57" s="598">
        <f>SUM(C58:C59)</f>
        <v>22160</v>
      </c>
      <c r="D57" s="598">
        <f>SUM(D58:D61)</f>
        <v>22160</v>
      </c>
      <c r="E57" s="598">
        <f>SUM(E58:E61)</f>
        <v>0</v>
      </c>
      <c r="F57" s="598">
        <f>SUM(F58:F61)</f>
        <v>22160</v>
      </c>
      <c r="G57" s="598">
        <f>SUM(G58:G61)</f>
        <v>0</v>
      </c>
      <c r="H57" s="599" t="s">
        <v>983</v>
      </c>
    </row>
    <row r="58" spans="1:8">
      <c r="A58" s="592"/>
      <c r="B58" s="593" t="s">
        <v>984</v>
      </c>
      <c r="C58" s="594">
        <f>SUM(D58:E58)</f>
        <v>18160</v>
      </c>
      <c r="D58" s="600">
        <v>18160</v>
      </c>
      <c r="E58" s="600"/>
      <c r="F58" s="600">
        <f>D58</f>
        <v>18160</v>
      </c>
      <c r="G58" s="600"/>
      <c r="H58" s="596" t="s">
        <v>979</v>
      </c>
    </row>
    <row r="59" spans="1:8">
      <c r="A59" s="592"/>
      <c r="B59" s="593" t="s">
        <v>985</v>
      </c>
      <c r="C59" s="594">
        <f>SUM(D59:E59)</f>
        <v>4000</v>
      </c>
      <c r="D59" s="600">
        <v>4000</v>
      </c>
      <c r="E59" s="600"/>
      <c r="F59" s="600">
        <f>D59</f>
        <v>4000</v>
      </c>
      <c r="G59" s="600"/>
      <c r="H59" s="596" t="s">
        <v>979</v>
      </c>
    </row>
    <row r="60" spans="1:8">
      <c r="A60" s="741" t="s">
        <v>986</v>
      </c>
      <c r="B60" s="742"/>
      <c r="C60" s="598">
        <f>SUM(C61:C61)</f>
        <v>2630</v>
      </c>
      <c r="D60" s="743" t="s">
        <v>987</v>
      </c>
      <c r="E60" s="743"/>
      <c r="F60" s="743"/>
      <c r="G60" s="743"/>
      <c r="H60" s="744"/>
    </row>
    <row r="61" spans="1:8">
      <c r="A61" s="731" t="s">
        <v>988</v>
      </c>
      <c r="B61" s="732"/>
      <c r="C61" s="600">
        <v>2630.2</v>
      </c>
      <c r="D61" s="733"/>
      <c r="E61" s="733"/>
      <c r="F61" s="733"/>
      <c r="G61" s="733"/>
      <c r="H61" s="734"/>
    </row>
    <row r="62" spans="1:8">
      <c r="A62" s="601" t="s">
        <v>989</v>
      </c>
      <c r="B62" s="598">
        <f>SUM(B63:B65)</f>
        <v>51264</v>
      </c>
      <c r="C62" s="602" t="s">
        <v>990</v>
      </c>
      <c r="D62" s="598">
        <f>SUM(D63:D65)</f>
        <v>1582</v>
      </c>
      <c r="E62" s="602" t="s">
        <v>991</v>
      </c>
      <c r="F62" s="598">
        <f>SUM(F63:F65)</f>
        <v>1218</v>
      </c>
      <c r="G62" s="717" t="s">
        <v>992</v>
      </c>
      <c r="H62" s="718"/>
    </row>
    <row r="63" spans="1:8">
      <c r="A63" s="583" t="s">
        <v>993</v>
      </c>
      <c r="B63" s="600">
        <v>40577</v>
      </c>
      <c r="C63" s="577" t="s">
        <v>994</v>
      </c>
      <c r="D63" s="600">
        <v>1424</v>
      </c>
      <c r="E63" s="577" t="s">
        <v>995</v>
      </c>
      <c r="F63" s="600">
        <v>1218</v>
      </c>
      <c r="G63" s="719" t="s">
        <v>992</v>
      </c>
      <c r="H63" s="603"/>
    </row>
    <row r="64" spans="1:8">
      <c r="A64" s="583" t="s">
        <v>996</v>
      </c>
      <c r="B64" s="600">
        <v>7387</v>
      </c>
      <c r="C64" s="577" t="s">
        <v>997</v>
      </c>
      <c r="D64" s="600"/>
      <c r="E64" s="577" t="s">
        <v>998</v>
      </c>
      <c r="F64" s="600"/>
      <c r="G64" s="719"/>
      <c r="H64" s="604" t="s">
        <v>999</v>
      </c>
    </row>
    <row r="65" spans="1:8" ht="15" thickBot="1">
      <c r="A65" s="605" t="s">
        <v>1000</v>
      </c>
      <c r="B65" s="606">
        <v>3300</v>
      </c>
      <c r="C65" s="607" t="s">
        <v>1001</v>
      </c>
      <c r="D65" s="606">
        <v>158</v>
      </c>
      <c r="E65" s="608" t="s">
        <v>1002</v>
      </c>
      <c r="F65" s="606"/>
      <c r="G65" s="609" t="s">
        <v>1003</v>
      </c>
      <c r="H65" s="610"/>
    </row>
    <row r="70" spans="1:8">
      <c r="C70" s="587"/>
    </row>
  </sheetData>
  <mergeCells count="15">
    <mergeCell ref="F14:H14"/>
    <mergeCell ref="G47:H47"/>
    <mergeCell ref="G51:H51"/>
    <mergeCell ref="A52:B52"/>
    <mergeCell ref="A60:B60"/>
    <mergeCell ref="D60:H60"/>
    <mergeCell ref="G62:H62"/>
    <mergeCell ref="G63:G64"/>
    <mergeCell ref="A38:H38"/>
    <mergeCell ref="G39:H39"/>
    <mergeCell ref="G40:H43"/>
    <mergeCell ref="B43:C43"/>
    <mergeCell ref="A44:H44"/>
    <mergeCell ref="A61:B61"/>
    <mergeCell ref="D61:H61"/>
  </mergeCells>
  <phoneticPr fontId="2" type="noConversion"/>
  <conditionalFormatting sqref="H58:H59">
    <cfRule type="expression" dxfId="5" priority="1">
      <formula>AND($D58&lt;&gt;"",$J58="")</formula>
    </cfRule>
  </conditionalFormatting>
  <conditionalFormatting sqref="H54:H56">
    <cfRule type="expression" dxfId="4" priority="2">
      <formula>AND($D54&lt;&gt;"",$J54="")</formula>
    </cfRule>
  </conditionalFormatting>
  <dataValidations count="6">
    <dataValidation type="list" allowBlank="1" showInputMessage="1" showErrorMessage="1" sqref="H54:H56 H58:H59" xr:uid="{00000000-0002-0000-0100-000000000000}">
      <formula1>"毛坯,精装"</formula1>
    </dataValidation>
    <dataValidation type="list" allowBlank="1" showInputMessage="1" showErrorMessage="1" sqref="B54:B56" xr:uid="{00000000-0002-0000-0100-000001000000}">
      <formula1>$D$132:$D$152</formula1>
    </dataValidation>
    <dataValidation type="list" allowBlank="1" showInputMessage="1" showErrorMessage="1" promptTitle="填报要求：" prompt="1）运营分期应与计划部门确认_x000a_2）销售分批应与销售部门确认" sqref="A54:A56 A58:A59" xr:uid="{00000000-0002-0000-0100-000002000000}">
      <formula1>"1期1批,1期2批,1期3批,2期1批,2期2批,2期3批,3期1批,3期2批,3期3批,4期1批,4期2批,4期3批,5期1批,5期2批,5期3批"</formula1>
    </dataValidation>
    <dataValidation type="list" allowBlank="1" showInputMessage="1" showErrorMessage="1" sqref="B58:B59" xr:uid="{00000000-0002-0000-0100-000003000000}">
      <formula1>$E$132:$E$151</formula1>
    </dataValidation>
    <dataValidation type="list" allowBlank="1" showInputMessage="1" showErrorMessage="1" sqref="H64" xr:uid="{00000000-0002-0000-0100-000004000000}">
      <formula1>"个,㎡"</formula1>
    </dataValidation>
    <dataValidation type="list" allowBlank="1" showInputMessage="1" showErrorMessage="1" sqref="B43:C43" xr:uid="{00000000-0002-0000-0100-000005000000}">
      <formula1>"住宅,商业,办公,住宅&amp;商业,住宅&amp;办公,商业&amp;办公"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2"/>
  <sheetViews>
    <sheetView topLeftCell="A13" zoomScaleNormal="100" workbookViewId="0" xr3:uid="{34904945-5288-588E-9F07-34343C13E9F2}">
      <selection activeCell="I16" sqref="I16"/>
    </sheetView>
  </sheetViews>
  <sheetFormatPr defaultRowHeight="14.25"/>
  <cols>
    <col min="1" max="1" width="4.125" style="111" customWidth="1"/>
    <col min="2" max="2" width="22" style="111" customWidth="1"/>
    <col min="3" max="7" width="10.625" style="111" customWidth="1"/>
    <col min="8" max="8" width="9.125" style="111" customWidth="1"/>
    <col min="9" max="16384" width="9" style="111"/>
  </cols>
  <sheetData>
    <row r="1" spans="1:7" ht="17.100000000000001" customHeight="1">
      <c r="A1" s="929" t="s">
        <v>430</v>
      </c>
      <c r="B1" s="929"/>
      <c r="C1" s="929"/>
      <c r="D1" s="929"/>
      <c r="E1" s="929"/>
      <c r="F1" s="929"/>
      <c r="G1" s="929"/>
    </row>
    <row r="2" spans="1:7" ht="17.100000000000001" customHeight="1">
      <c r="A2" s="111" t="s">
        <v>440</v>
      </c>
      <c r="C2" s="930" t="str">
        <f>底表3!C2</f>
        <v>安徽省芜湖市芜湖县荆江路以北 芜湖中路以东 世纪大道以西</v>
      </c>
      <c r="D2" s="930"/>
      <c r="E2" s="930"/>
      <c r="F2" s="930" t="s">
        <v>117</v>
      </c>
      <c r="G2" s="930"/>
    </row>
    <row r="3" spans="1:7" ht="17.100000000000001" customHeight="1">
      <c r="A3" s="187" t="s">
        <v>51</v>
      </c>
      <c r="B3" s="187"/>
      <c r="C3" s="926" t="s">
        <v>180</v>
      </c>
      <c r="D3" s="927"/>
      <c r="E3" s="927"/>
      <c r="F3" s="927"/>
      <c r="G3" s="928"/>
    </row>
    <row r="4" spans="1:7" ht="17.100000000000001" customHeight="1">
      <c r="A4" s="188" t="s">
        <v>52</v>
      </c>
      <c r="B4" s="189" t="s">
        <v>73</v>
      </c>
      <c r="C4" s="190" t="str">
        <f>三年资产负债!F3</f>
        <v>2015年</v>
      </c>
      <c r="D4" s="191" t="s">
        <v>14</v>
      </c>
      <c r="E4" s="191" t="s">
        <v>14</v>
      </c>
      <c r="F4" s="192" t="s">
        <v>74</v>
      </c>
      <c r="G4" s="192" t="s">
        <v>74</v>
      </c>
    </row>
    <row r="5" spans="1:7" ht="17.100000000000001" customHeight="1">
      <c r="A5" s="48">
        <v>1</v>
      </c>
      <c r="B5" s="67" t="s">
        <v>75</v>
      </c>
      <c r="C5" s="193"/>
      <c r="D5" s="48">
        <f>SUM(D6:D9)</f>
        <v>0</v>
      </c>
      <c r="E5" s="48">
        <f>SUM(E6:E9)</f>
        <v>0</v>
      </c>
      <c r="F5" s="48">
        <f>SUM(F6:F9)</f>
        <v>0</v>
      </c>
      <c r="G5" s="48">
        <f>SUM(G6:G9)</f>
        <v>0</v>
      </c>
    </row>
    <row r="6" spans="1:7" ht="17.100000000000001" customHeight="1">
      <c r="A6" s="48">
        <v>2</v>
      </c>
      <c r="B6" s="57" t="s">
        <v>415</v>
      </c>
      <c r="C6" s="193"/>
      <c r="D6" s="193"/>
      <c r="E6" s="193"/>
      <c r="F6" s="193"/>
      <c r="G6" s="193"/>
    </row>
    <row r="7" spans="1:7" ht="17.100000000000001" customHeight="1">
      <c r="A7" s="48">
        <v>3</v>
      </c>
      <c r="B7" s="57" t="s">
        <v>416</v>
      </c>
      <c r="C7" s="193"/>
      <c r="D7" s="193"/>
      <c r="E7" s="193"/>
      <c r="F7" s="193"/>
      <c r="G7" s="193"/>
    </row>
    <row r="8" spans="1:7" ht="17.100000000000001" customHeight="1">
      <c r="A8" s="48">
        <v>4</v>
      </c>
      <c r="B8" s="57" t="s">
        <v>417</v>
      </c>
      <c r="C8" s="193"/>
      <c r="D8" s="193"/>
      <c r="E8" s="193"/>
      <c r="F8" s="193"/>
      <c r="G8" s="193"/>
    </row>
    <row r="9" spans="1:7" ht="17.100000000000001" customHeight="1">
      <c r="A9" s="48">
        <v>5</v>
      </c>
      <c r="B9" s="57" t="s">
        <v>418</v>
      </c>
      <c r="C9" s="193"/>
      <c r="D9" s="193"/>
      <c r="E9" s="193"/>
      <c r="F9" s="193"/>
      <c r="G9" s="193"/>
    </row>
    <row r="10" spans="1:7" ht="17.100000000000001" customHeight="1">
      <c r="A10" s="48">
        <v>6</v>
      </c>
      <c r="B10" s="67" t="s">
        <v>13</v>
      </c>
      <c r="C10" s="193"/>
      <c r="D10" s="193"/>
      <c r="E10" s="193"/>
      <c r="F10" s="193"/>
      <c r="G10" s="193"/>
    </row>
    <row r="11" spans="1:7" ht="17.100000000000001" customHeight="1">
      <c r="A11" s="48">
        <v>7</v>
      </c>
      <c r="B11" s="67" t="s">
        <v>76</v>
      </c>
      <c r="C11" s="193"/>
      <c r="D11" s="48">
        <f>D12-D15+D16</f>
        <v>0</v>
      </c>
      <c r="E11" s="48">
        <f>E12-E15+E16</f>
        <v>0</v>
      </c>
      <c r="F11" s="48">
        <f>F12-F15+F16</f>
        <v>0</v>
      </c>
      <c r="G11" s="48">
        <f>G12-G15+G16</f>
        <v>0</v>
      </c>
    </row>
    <row r="12" spans="1:7" ht="17.100000000000001" customHeight="1">
      <c r="A12" s="48">
        <v>8</v>
      </c>
      <c r="B12" s="57" t="s">
        <v>414</v>
      </c>
      <c r="C12" s="193"/>
      <c r="D12" s="193"/>
      <c r="E12" s="193"/>
      <c r="F12" s="193"/>
      <c r="G12" s="193"/>
    </row>
    <row r="13" spans="1:7" ht="17.100000000000001" customHeight="1">
      <c r="A13" s="48">
        <v>9</v>
      </c>
      <c r="B13" s="57" t="s">
        <v>419</v>
      </c>
      <c r="C13" s="193"/>
      <c r="D13" s="193"/>
      <c r="E13" s="193"/>
      <c r="F13" s="193"/>
      <c r="G13" s="193"/>
    </row>
    <row r="14" spans="1:7" ht="17.100000000000001" customHeight="1">
      <c r="A14" s="48">
        <v>10</v>
      </c>
      <c r="B14" s="57" t="s">
        <v>420</v>
      </c>
      <c r="C14" s="193"/>
      <c r="D14" s="48">
        <f>D12-D13</f>
        <v>0</v>
      </c>
      <c r="E14" s="48">
        <f>E12-E13</f>
        <v>0</v>
      </c>
      <c r="F14" s="48">
        <f>F12-F13</f>
        <v>0</v>
      </c>
      <c r="G14" s="48">
        <f>G12-G13</f>
        <v>0</v>
      </c>
    </row>
    <row r="15" spans="1:7" ht="17.100000000000001" customHeight="1">
      <c r="A15" s="48">
        <v>11</v>
      </c>
      <c r="B15" s="57" t="s">
        <v>421</v>
      </c>
      <c r="C15" s="193"/>
      <c r="D15" s="193"/>
      <c r="E15" s="193"/>
      <c r="F15" s="193"/>
      <c r="G15" s="193"/>
    </row>
    <row r="16" spans="1:7" ht="17.100000000000001" customHeight="1">
      <c r="A16" s="48">
        <v>12</v>
      </c>
      <c r="B16" s="57" t="s">
        <v>422</v>
      </c>
      <c r="C16" s="193"/>
      <c r="D16" s="193"/>
      <c r="E16" s="193"/>
      <c r="F16" s="193"/>
      <c r="G16" s="193"/>
    </row>
    <row r="17" spans="1:7" ht="17.100000000000001" customHeight="1">
      <c r="A17" s="48">
        <v>13</v>
      </c>
      <c r="B17" s="67" t="s">
        <v>77</v>
      </c>
      <c r="C17" s="193"/>
      <c r="D17" s="193"/>
      <c r="E17" s="193"/>
      <c r="F17" s="193"/>
      <c r="G17" s="193"/>
    </row>
    <row r="18" spans="1:7" ht="17.100000000000001" customHeight="1">
      <c r="A18" s="48">
        <v>14</v>
      </c>
      <c r="B18" s="67" t="s">
        <v>78</v>
      </c>
      <c r="C18" s="193"/>
      <c r="D18" s="193"/>
      <c r="E18" s="193"/>
      <c r="F18" s="193"/>
      <c r="G18" s="193"/>
    </row>
    <row r="19" spans="1:7" ht="17.100000000000001" customHeight="1">
      <c r="A19" s="48">
        <v>15</v>
      </c>
      <c r="B19" s="67" t="s">
        <v>177</v>
      </c>
      <c r="C19" s="193"/>
      <c r="D19" s="48">
        <f>D5+D11+D17+D18</f>
        <v>0</v>
      </c>
      <c r="E19" s="48">
        <f>E5+E11+E17+E18</f>
        <v>0</v>
      </c>
      <c r="F19" s="48">
        <f>F5+F11+F17+F18</f>
        <v>0</v>
      </c>
      <c r="G19" s="48">
        <f>G5+G11+G17+G18</f>
        <v>0</v>
      </c>
    </row>
    <row r="20" spans="1:7" ht="17.100000000000001" customHeight="1">
      <c r="A20" s="48">
        <v>16</v>
      </c>
      <c r="B20" s="67" t="s">
        <v>79</v>
      </c>
      <c r="C20" s="193"/>
      <c r="D20" s="48">
        <f>SUM(D21:D23)</f>
        <v>0</v>
      </c>
      <c r="E20" s="48">
        <f>SUM(E21:E23)</f>
        <v>0</v>
      </c>
      <c r="F20" s="48">
        <f>SUM(F21:F23)</f>
        <v>0</v>
      </c>
      <c r="G20" s="48">
        <f>SUM(G21:G23)</f>
        <v>0</v>
      </c>
    </row>
    <row r="21" spans="1:7" ht="17.100000000000001" customHeight="1">
      <c r="A21" s="48">
        <v>17</v>
      </c>
      <c r="B21" s="57" t="s">
        <v>423</v>
      </c>
      <c r="C21" s="193"/>
      <c r="D21" s="193"/>
      <c r="E21" s="193"/>
      <c r="F21" s="193"/>
      <c r="G21" s="193"/>
    </row>
    <row r="22" spans="1:7" ht="17.100000000000001" customHeight="1">
      <c r="A22" s="48">
        <v>18</v>
      </c>
      <c r="B22" s="57" t="s">
        <v>424</v>
      </c>
      <c r="C22" s="193"/>
      <c r="D22" s="193"/>
      <c r="E22" s="193"/>
      <c r="F22" s="193"/>
      <c r="G22" s="193"/>
    </row>
    <row r="23" spans="1:7" ht="17.100000000000001" customHeight="1">
      <c r="A23" s="48">
        <v>19</v>
      </c>
      <c r="B23" s="57" t="s">
        <v>425</v>
      </c>
      <c r="C23" s="193"/>
      <c r="D23" s="193"/>
      <c r="E23" s="193"/>
      <c r="F23" s="193"/>
      <c r="G23" s="193"/>
    </row>
    <row r="24" spans="1:7" ht="17.100000000000001" customHeight="1">
      <c r="A24" s="48">
        <v>20</v>
      </c>
      <c r="B24" s="67" t="s">
        <v>22</v>
      </c>
      <c r="C24" s="193"/>
      <c r="D24" s="48">
        <f>SUM(D25:D26)</f>
        <v>0</v>
      </c>
      <c r="E24" s="48">
        <f>SUM(E25:E26)</f>
        <v>0</v>
      </c>
      <c r="F24" s="48">
        <f>SUM(F25:F26)</f>
        <v>0</v>
      </c>
      <c r="G24" s="48">
        <f>SUM(G25:G26)</f>
        <v>0</v>
      </c>
    </row>
    <row r="25" spans="1:7" ht="17.100000000000001" customHeight="1">
      <c r="A25" s="48">
        <v>21</v>
      </c>
      <c r="B25" s="57" t="s">
        <v>426</v>
      </c>
      <c r="C25" s="193"/>
      <c r="D25" s="193"/>
      <c r="E25" s="193"/>
      <c r="F25" s="193"/>
      <c r="G25" s="193"/>
    </row>
    <row r="26" spans="1:7" ht="17.100000000000001" customHeight="1">
      <c r="A26" s="48">
        <v>22</v>
      </c>
      <c r="B26" s="57" t="s">
        <v>427</v>
      </c>
      <c r="C26" s="193"/>
      <c r="D26" s="193"/>
      <c r="E26" s="193"/>
      <c r="F26" s="193"/>
      <c r="G26" s="193"/>
    </row>
    <row r="27" spans="1:7" ht="17.100000000000001" customHeight="1">
      <c r="A27" s="48">
        <v>23</v>
      </c>
      <c r="B27" s="67" t="s">
        <v>178</v>
      </c>
      <c r="C27" s="193"/>
      <c r="D27" s="48">
        <f>D20+D24</f>
        <v>0</v>
      </c>
      <c r="E27" s="48">
        <f>E20+E24</f>
        <v>0</v>
      </c>
      <c r="F27" s="48">
        <f>F20+F24</f>
        <v>0</v>
      </c>
      <c r="G27" s="48">
        <f>G20+G24</f>
        <v>0</v>
      </c>
    </row>
    <row r="28" spans="1:7" ht="17.100000000000001" customHeight="1">
      <c r="A28" s="48">
        <v>24</v>
      </c>
      <c r="B28" s="67" t="s">
        <v>23</v>
      </c>
      <c r="C28" s="193"/>
      <c r="D28" s="48">
        <f>D29+D29+D30+D31+D33</f>
        <v>0</v>
      </c>
      <c r="E28" s="48">
        <f>E29+E29+E30+E31+E33</f>
        <v>0</v>
      </c>
      <c r="F28" s="48">
        <f>F29+F29+F30+F31+F33</f>
        <v>0</v>
      </c>
      <c r="G28" s="48">
        <f>G29+G29+G30+G31+G33</f>
        <v>0</v>
      </c>
    </row>
    <row r="29" spans="1:7" ht="17.100000000000001" customHeight="1">
      <c r="A29" s="48">
        <v>25</v>
      </c>
      <c r="B29" s="67" t="s">
        <v>80</v>
      </c>
      <c r="C29" s="193"/>
      <c r="D29" s="193"/>
      <c r="E29" s="193"/>
      <c r="F29" s="193"/>
      <c r="G29" s="193"/>
    </row>
    <row r="30" spans="1:7" ht="17.100000000000001" customHeight="1">
      <c r="A30" s="48">
        <v>26</v>
      </c>
      <c r="B30" s="67" t="s">
        <v>81</v>
      </c>
      <c r="C30" s="193"/>
      <c r="D30" s="193"/>
      <c r="E30" s="193"/>
      <c r="F30" s="193"/>
      <c r="G30" s="193"/>
    </row>
    <row r="31" spans="1:7" ht="17.100000000000001" customHeight="1">
      <c r="A31" s="48">
        <v>27</v>
      </c>
      <c r="B31" s="67" t="s">
        <v>82</v>
      </c>
      <c r="C31" s="193"/>
      <c r="D31" s="193"/>
      <c r="E31" s="193"/>
      <c r="F31" s="193"/>
      <c r="G31" s="193"/>
    </row>
    <row r="32" spans="1:7" ht="17.100000000000001" customHeight="1">
      <c r="A32" s="48">
        <v>28</v>
      </c>
      <c r="B32" s="57" t="s">
        <v>87</v>
      </c>
      <c r="C32" s="193"/>
      <c r="D32" s="193"/>
      <c r="E32" s="193"/>
      <c r="F32" s="193"/>
      <c r="G32" s="193"/>
    </row>
    <row r="33" spans="1:8" ht="17.100000000000001" customHeight="1">
      <c r="A33" s="48">
        <v>29</v>
      </c>
      <c r="B33" s="67" t="s">
        <v>83</v>
      </c>
      <c r="C33" s="193"/>
      <c r="D33" s="193"/>
      <c r="E33" s="193"/>
      <c r="F33" s="193"/>
      <c r="G33" s="193"/>
    </row>
    <row r="34" spans="1:8" ht="17.100000000000001" customHeight="1">
      <c r="A34" s="48">
        <v>30</v>
      </c>
      <c r="B34" s="67" t="s">
        <v>179</v>
      </c>
      <c r="C34" s="193"/>
      <c r="D34" s="48">
        <f>D27+D28</f>
        <v>0</v>
      </c>
      <c r="E34" s="48">
        <f>E27+E28</f>
        <v>0</v>
      </c>
      <c r="F34" s="48">
        <f>F27+F28</f>
        <v>0</v>
      </c>
      <c r="G34" s="48">
        <f>G27+G28</f>
        <v>0</v>
      </c>
    </row>
    <row r="35" spans="1:8" ht="17.100000000000001" customHeight="1">
      <c r="A35" s="48">
        <v>31</v>
      </c>
      <c r="B35" s="67" t="s">
        <v>86</v>
      </c>
      <c r="C35" s="194" t="e">
        <f>C27/C19</f>
        <v>#DIV/0!</v>
      </c>
      <c r="D35" s="194" t="e">
        <f>D27/D19</f>
        <v>#DIV/0!</v>
      </c>
      <c r="E35" s="194" t="e">
        <f>E27/E19</f>
        <v>#DIV/0!</v>
      </c>
      <c r="F35" s="194" t="e">
        <f>F27/F19</f>
        <v>#DIV/0!</v>
      </c>
      <c r="G35" s="194" t="e">
        <f>G27/G19</f>
        <v>#DIV/0!</v>
      </c>
    </row>
    <row r="36" spans="1:8" ht="17.100000000000001" customHeight="1">
      <c r="A36" s="48">
        <v>32</v>
      </c>
      <c r="B36" s="67" t="s">
        <v>84</v>
      </c>
      <c r="C36" s="194" t="e">
        <f>C5/C20</f>
        <v>#DIV/0!</v>
      </c>
      <c r="D36" s="194" t="e">
        <f>D5/D20</f>
        <v>#DIV/0!</v>
      </c>
      <c r="E36" s="194" t="e">
        <f>E5/E20</f>
        <v>#DIV/0!</v>
      </c>
      <c r="F36" s="194" t="e">
        <f>F5/F20</f>
        <v>#DIV/0!</v>
      </c>
      <c r="G36" s="194" t="e">
        <f>G5/G20</f>
        <v>#DIV/0!</v>
      </c>
    </row>
    <row r="37" spans="1:8" ht="17.100000000000001" customHeight="1">
      <c r="A37" s="48">
        <v>33</v>
      </c>
      <c r="B37" s="67" t="s">
        <v>85</v>
      </c>
      <c r="C37" s="194" t="e">
        <f>(C5-C8)/C20</f>
        <v>#DIV/0!</v>
      </c>
      <c r="D37" s="194" t="e">
        <f>(D5-D8)/D20</f>
        <v>#DIV/0!</v>
      </c>
      <c r="E37" s="194" t="e">
        <f>(E5-E8)/E20</f>
        <v>#DIV/0!</v>
      </c>
      <c r="F37" s="194" t="e">
        <f>(F5-F8)/F20</f>
        <v>#DIV/0!</v>
      </c>
      <c r="G37" s="194" t="e">
        <f>(G5-G8)/G20</f>
        <v>#DIV/0!</v>
      </c>
    </row>
    <row r="38" spans="1:8" ht="17.100000000000001" customHeight="1"/>
    <row r="39" spans="1:8" ht="17.100000000000001" customHeight="1">
      <c r="A39" s="40" t="s">
        <v>3</v>
      </c>
      <c r="B39" s="195" t="s">
        <v>181</v>
      </c>
      <c r="C39" s="195"/>
      <c r="D39" s="195"/>
      <c r="E39" s="195"/>
      <c r="F39" s="195"/>
      <c r="G39" s="195"/>
      <c r="H39" s="195"/>
    </row>
    <row r="40" spans="1:8" ht="21.95" customHeight="1">
      <c r="A40" s="195"/>
      <c r="B40" s="931" t="s">
        <v>176</v>
      </c>
      <c r="C40" s="931"/>
      <c r="D40" s="931"/>
      <c r="E40" s="931"/>
      <c r="F40" s="931"/>
      <c r="G40" s="931"/>
      <c r="H40" s="931"/>
    </row>
    <row r="41" spans="1:8" ht="21.95" customHeight="1">
      <c r="A41" s="195"/>
      <c r="B41" s="196"/>
      <c r="C41" s="196"/>
      <c r="D41" s="196"/>
      <c r="E41" s="196"/>
      <c r="F41" s="196"/>
      <c r="G41" s="196"/>
      <c r="H41" s="196"/>
    </row>
    <row r="42" spans="1:8" ht="21.95" customHeight="1">
      <c r="A42" s="195"/>
      <c r="B42" s="40" t="s">
        <v>88</v>
      </c>
      <c r="C42" s="159"/>
      <c r="D42" s="159"/>
      <c r="E42" s="159"/>
      <c r="F42" s="159"/>
      <c r="G42" s="159"/>
      <c r="H42" s="159"/>
    </row>
    <row r="43" spans="1:8" ht="21.95" customHeight="1">
      <c r="A43" s="159"/>
      <c r="B43" s="40" t="s">
        <v>89</v>
      </c>
      <c r="C43" s="159"/>
      <c r="D43" s="159"/>
      <c r="E43" s="159"/>
      <c r="F43" s="159"/>
      <c r="G43" s="159"/>
      <c r="H43" s="159"/>
    </row>
    <row r="44" spans="1:8" ht="21.95" customHeight="1">
      <c r="A44" s="159"/>
      <c r="B44" s="40" t="s">
        <v>90</v>
      </c>
      <c r="C44" s="159"/>
      <c r="D44" s="159"/>
      <c r="E44" s="159"/>
      <c r="F44" s="159"/>
      <c r="G44" s="159"/>
      <c r="H44" s="159"/>
    </row>
    <row r="45" spans="1:8" ht="21.95" customHeight="1">
      <c r="A45" s="159"/>
      <c r="B45" s="40" t="s">
        <v>174</v>
      </c>
      <c r="C45" s="159"/>
      <c r="D45" s="159"/>
      <c r="E45" s="159"/>
      <c r="F45" s="159"/>
      <c r="G45" s="159"/>
      <c r="H45" s="159"/>
    </row>
    <row r="46" spans="1:8" ht="21.95" customHeight="1">
      <c r="A46" s="159"/>
      <c r="B46" s="40" t="s">
        <v>175</v>
      </c>
      <c r="C46" s="159"/>
      <c r="D46" s="159"/>
      <c r="E46" s="159"/>
      <c r="F46" s="159"/>
      <c r="G46" s="159"/>
      <c r="H46" s="159"/>
    </row>
    <row r="47" spans="1:8" ht="21.95" customHeight="1">
      <c r="A47" s="159"/>
      <c r="B47" s="40" t="s">
        <v>91</v>
      </c>
      <c r="C47" s="159"/>
      <c r="D47" s="159"/>
      <c r="E47" s="159"/>
      <c r="F47" s="159"/>
      <c r="G47" s="159"/>
      <c r="H47" s="159"/>
    </row>
    <row r="48" spans="1:8" ht="21.95" customHeight="1">
      <c r="A48" s="159"/>
      <c r="B48" s="40" t="s">
        <v>92</v>
      </c>
      <c r="C48" s="159"/>
      <c r="D48" s="159"/>
      <c r="E48" s="159"/>
      <c r="F48" s="159"/>
      <c r="G48" s="159"/>
      <c r="H48" s="159"/>
    </row>
    <row r="49" spans="1:8" ht="21.95" customHeight="1">
      <c r="A49" s="159"/>
      <c r="B49" s="40" t="s">
        <v>93</v>
      </c>
      <c r="C49" s="159"/>
      <c r="D49" s="159"/>
      <c r="E49" s="159"/>
      <c r="F49" s="159"/>
      <c r="G49" s="159"/>
      <c r="H49" s="159"/>
    </row>
    <row r="50" spans="1:8" ht="21.95" customHeight="1">
      <c r="A50" s="159"/>
      <c r="B50" s="40" t="s">
        <v>94</v>
      </c>
      <c r="C50" s="159"/>
      <c r="D50" s="159"/>
      <c r="E50" s="159"/>
      <c r="F50" s="159"/>
      <c r="G50" s="159"/>
      <c r="H50" s="159"/>
    </row>
    <row r="51" spans="1:8" ht="21.95" customHeight="1">
      <c r="A51" s="159"/>
      <c r="B51" s="40" t="s">
        <v>95</v>
      </c>
      <c r="C51" s="159"/>
      <c r="D51" s="159"/>
      <c r="E51" s="159"/>
      <c r="F51" s="159"/>
      <c r="G51" s="159"/>
      <c r="H51" s="159"/>
    </row>
    <row r="52" spans="1:8" ht="21.95" customHeight="1">
      <c r="A52" s="159"/>
      <c r="B52" s="40" t="s">
        <v>96</v>
      </c>
      <c r="C52" s="159"/>
      <c r="D52" s="159"/>
      <c r="E52" s="159"/>
      <c r="F52" s="159"/>
      <c r="G52" s="159"/>
      <c r="H52" s="159"/>
    </row>
  </sheetData>
  <sheetProtection password="C79D" sheet="1" objects="1" scenarios="1"/>
  <customSheetViews>
    <customSheetView guid="{33FE80C0-0EDF-11D4-8B3D-001060002050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 r:id="rId1"/>
      <headerFooter alignWithMargins="0"/>
    </customSheetView>
    <customSheetView guid="{62777320-11E7-11D4-8B3D-00E098726125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 r:id="rId2"/>
      <headerFooter alignWithMargins="0"/>
    </customSheetView>
  </customSheetViews>
  <mergeCells count="5">
    <mergeCell ref="C3:G3"/>
    <mergeCell ref="A1:G1"/>
    <mergeCell ref="F2:G2"/>
    <mergeCell ref="B40:H40"/>
    <mergeCell ref="C2:E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5"/>
  <sheetViews>
    <sheetView zoomScaleNormal="100" workbookViewId="0" xr3:uid="{731C365F-4EDE-5636-9D2D-917179ED8537}">
      <selection activeCell="C1" sqref="A1:IV65536"/>
    </sheetView>
  </sheetViews>
  <sheetFormatPr defaultRowHeight="14.25"/>
  <cols>
    <col min="1" max="1" width="4.125" style="111" customWidth="1"/>
    <col min="2" max="2" width="30.125" style="111" customWidth="1"/>
    <col min="3" max="7" width="8.125" style="111" customWidth="1"/>
    <col min="8" max="16384" width="9" style="111"/>
  </cols>
  <sheetData>
    <row r="1" spans="1:7" ht="18.75">
      <c r="A1" s="931" t="s">
        <v>97</v>
      </c>
      <c r="B1" s="931"/>
      <c r="C1" s="931"/>
      <c r="D1" s="931"/>
      <c r="E1" s="931"/>
      <c r="F1" s="931"/>
      <c r="G1" s="931"/>
    </row>
    <row r="2" spans="1:7" ht="18" customHeight="1">
      <c r="A2" s="143" t="s">
        <v>439</v>
      </c>
      <c r="B2" s="143"/>
      <c r="C2" s="932" t="str">
        <f>底表4!C2</f>
        <v>安徽省芜湖市芜湖县荆江路以北 芜湖中路以东 世纪大道以西</v>
      </c>
      <c r="D2" s="932"/>
      <c r="E2" s="932"/>
      <c r="F2" s="932" t="s">
        <v>117</v>
      </c>
      <c r="G2" s="932"/>
    </row>
    <row r="3" spans="1:7" ht="18" customHeight="1">
      <c r="A3" s="187" t="s">
        <v>51</v>
      </c>
      <c r="B3" s="187"/>
      <c r="C3" s="926" t="s">
        <v>171</v>
      </c>
      <c r="D3" s="927"/>
      <c r="E3" s="927"/>
      <c r="F3" s="927"/>
      <c r="G3" s="928"/>
    </row>
    <row r="4" spans="1:7" ht="18" customHeight="1">
      <c r="A4" s="197" t="s">
        <v>52</v>
      </c>
      <c r="B4" s="198" t="s">
        <v>73</v>
      </c>
      <c r="C4" s="199" t="str">
        <f>三年资产负债!F3</f>
        <v>2015年</v>
      </c>
      <c r="D4" s="200" t="s">
        <v>170</v>
      </c>
      <c r="E4" s="201" t="s">
        <v>170</v>
      </c>
      <c r="F4" s="202" t="s">
        <v>170</v>
      </c>
      <c r="G4" s="202" t="s">
        <v>170</v>
      </c>
    </row>
    <row r="5" spans="1:7" ht="18" customHeight="1">
      <c r="A5" s="48">
        <v>1</v>
      </c>
      <c r="B5" s="67" t="s">
        <v>98</v>
      </c>
      <c r="C5" s="119"/>
      <c r="D5" s="119"/>
      <c r="E5" s="119"/>
      <c r="F5" s="119"/>
      <c r="G5" s="119"/>
    </row>
    <row r="6" spans="1:7" ht="18" customHeight="1">
      <c r="A6" s="48">
        <v>2</v>
      </c>
      <c r="B6" s="57" t="s">
        <v>99</v>
      </c>
      <c r="C6" s="119"/>
      <c r="D6" s="119"/>
      <c r="E6" s="119"/>
      <c r="F6" s="119"/>
      <c r="G6" s="119"/>
    </row>
    <row r="7" spans="1:7" ht="18" customHeight="1">
      <c r="A7" s="48">
        <v>3</v>
      </c>
      <c r="B7" s="57" t="s">
        <v>100</v>
      </c>
      <c r="C7" s="119"/>
      <c r="D7" s="119"/>
      <c r="E7" s="119"/>
      <c r="F7" s="119"/>
      <c r="G7" s="119"/>
    </row>
    <row r="8" spans="1:7" ht="18" customHeight="1">
      <c r="A8" s="48">
        <v>4</v>
      </c>
      <c r="B8" s="57" t="s">
        <v>101</v>
      </c>
      <c r="C8" s="119"/>
      <c r="D8" s="119"/>
      <c r="E8" s="119"/>
      <c r="F8" s="119"/>
      <c r="G8" s="119"/>
    </row>
    <row r="9" spans="1:7" ht="18" customHeight="1">
      <c r="A9" s="48">
        <v>5</v>
      </c>
      <c r="B9" s="67" t="s">
        <v>102</v>
      </c>
      <c r="C9" s="119"/>
      <c r="D9" s="48">
        <f>D5-D6-D7-D8</f>
        <v>0</v>
      </c>
      <c r="E9" s="48">
        <f>E5-E6-E7-E8</f>
        <v>0</v>
      </c>
      <c r="F9" s="48">
        <f>F5-F6-F7-F8</f>
        <v>0</v>
      </c>
      <c r="G9" s="48">
        <f>G5-G6-G7-G8</f>
        <v>0</v>
      </c>
    </row>
    <row r="10" spans="1:7" ht="18" customHeight="1">
      <c r="A10" s="48">
        <v>6</v>
      </c>
      <c r="B10" s="57" t="s">
        <v>103</v>
      </c>
      <c r="C10" s="119"/>
      <c r="D10" s="119"/>
      <c r="E10" s="119"/>
      <c r="F10" s="119"/>
      <c r="G10" s="119"/>
    </row>
    <row r="11" spans="1:7" ht="18" customHeight="1">
      <c r="A11" s="48">
        <v>7</v>
      </c>
      <c r="B11" s="57" t="s">
        <v>104</v>
      </c>
      <c r="C11" s="119"/>
      <c r="D11" s="119"/>
      <c r="E11" s="119"/>
      <c r="F11" s="119"/>
      <c r="G11" s="119"/>
    </row>
    <row r="12" spans="1:7" ht="18" customHeight="1">
      <c r="A12" s="48">
        <v>8</v>
      </c>
      <c r="B12" s="57" t="s">
        <v>105</v>
      </c>
      <c r="C12" s="119"/>
      <c r="D12" s="119"/>
      <c r="E12" s="119"/>
      <c r="F12" s="119"/>
      <c r="G12" s="119"/>
    </row>
    <row r="13" spans="1:7" ht="18" customHeight="1">
      <c r="A13" s="48">
        <v>9</v>
      </c>
      <c r="B13" s="57" t="s">
        <v>106</v>
      </c>
      <c r="C13" s="119"/>
      <c r="D13" s="119"/>
      <c r="E13" s="119"/>
      <c r="F13" s="119"/>
      <c r="G13" s="119"/>
    </row>
    <row r="14" spans="1:7" ht="18" customHeight="1">
      <c r="A14" s="48">
        <v>10</v>
      </c>
      <c r="B14" s="57" t="s">
        <v>107</v>
      </c>
      <c r="C14" s="119"/>
      <c r="D14" s="119"/>
      <c r="E14" s="119"/>
      <c r="F14" s="119"/>
      <c r="G14" s="119"/>
    </row>
    <row r="15" spans="1:7" ht="18" customHeight="1">
      <c r="A15" s="48">
        <v>11</v>
      </c>
      <c r="B15" s="57"/>
      <c r="C15" s="119"/>
      <c r="D15" s="119"/>
      <c r="E15" s="119"/>
      <c r="F15" s="119"/>
      <c r="G15" s="119"/>
    </row>
    <row r="16" spans="1:7" ht="18" customHeight="1">
      <c r="A16" s="48">
        <v>12</v>
      </c>
      <c r="B16" s="67" t="s">
        <v>102</v>
      </c>
      <c r="C16" s="119"/>
      <c r="D16" s="48">
        <f>D9+D10-D11-D12</f>
        <v>0</v>
      </c>
      <c r="E16" s="48">
        <f>E9+E10-E11-E12</f>
        <v>0</v>
      </c>
      <c r="F16" s="48">
        <f>F9+F10-F11-F12</f>
        <v>0</v>
      </c>
      <c r="G16" s="48">
        <f>G9+G10-G11-G12</f>
        <v>0</v>
      </c>
    </row>
    <row r="17" spans="1:7" ht="18" customHeight="1">
      <c r="A17" s="48">
        <v>13</v>
      </c>
      <c r="B17" s="57" t="s">
        <v>108</v>
      </c>
      <c r="C17" s="119"/>
      <c r="D17" s="119"/>
      <c r="E17" s="119"/>
      <c r="F17" s="119"/>
      <c r="G17" s="119"/>
    </row>
    <row r="18" spans="1:7" ht="18" customHeight="1">
      <c r="A18" s="48">
        <v>14</v>
      </c>
      <c r="B18" s="57" t="s">
        <v>109</v>
      </c>
      <c r="C18" s="119"/>
      <c r="D18" s="119"/>
      <c r="E18" s="119"/>
      <c r="F18" s="119"/>
      <c r="G18" s="119"/>
    </row>
    <row r="19" spans="1:7" ht="18" customHeight="1">
      <c r="A19" s="48">
        <v>15</v>
      </c>
      <c r="B19" s="57" t="s">
        <v>3</v>
      </c>
      <c r="C19" s="119"/>
      <c r="D19" s="119"/>
      <c r="E19" s="119"/>
      <c r="F19" s="119"/>
      <c r="G19" s="119"/>
    </row>
    <row r="20" spans="1:7" ht="18" customHeight="1">
      <c r="A20" s="48">
        <v>16</v>
      </c>
      <c r="B20" s="67" t="s">
        <v>10</v>
      </c>
      <c r="C20" s="119"/>
      <c r="D20" s="48">
        <f>D16+D17+D18</f>
        <v>0</v>
      </c>
      <c r="E20" s="48">
        <f>E16+E17+E18</f>
        <v>0</v>
      </c>
      <c r="F20" s="48">
        <f>F16+F17+F18</f>
        <v>0</v>
      </c>
      <c r="G20" s="48">
        <f>G16+G17+G18</f>
        <v>0</v>
      </c>
    </row>
    <row r="21" spans="1:7" ht="18" customHeight="1">
      <c r="A21" s="48">
        <v>17</v>
      </c>
      <c r="B21" s="57" t="s">
        <v>110</v>
      </c>
      <c r="C21" s="119"/>
      <c r="D21" s="119"/>
      <c r="E21" s="119"/>
      <c r="F21" s="119"/>
      <c r="G21" s="119"/>
    </row>
    <row r="22" spans="1:7" ht="18" customHeight="1">
      <c r="A22" s="48">
        <v>18</v>
      </c>
      <c r="B22" s="67" t="s">
        <v>111</v>
      </c>
      <c r="C22" s="119"/>
      <c r="D22" s="48">
        <f>D20-D21</f>
        <v>0</v>
      </c>
      <c r="E22" s="48">
        <f>E20-E21</f>
        <v>0</v>
      </c>
      <c r="F22" s="48">
        <f>F20-F21</f>
        <v>0</v>
      </c>
      <c r="G22" s="48">
        <f>G20-G21</f>
        <v>0</v>
      </c>
    </row>
    <row r="23" spans="1:7" ht="18" customHeight="1">
      <c r="A23" s="48">
        <v>19</v>
      </c>
      <c r="B23" s="57" t="s">
        <v>112</v>
      </c>
      <c r="C23" s="119"/>
      <c r="D23" s="119"/>
      <c r="E23" s="119"/>
      <c r="F23" s="119"/>
      <c r="G23" s="119"/>
    </row>
    <row r="24" spans="1:7" ht="18" customHeight="1">
      <c r="A24" s="48">
        <v>20</v>
      </c>
      <c r="B24" s="57"/>
      <c r="C24" s="119"/>
      <c r="D24" s="119"/>
      <c r="E24" s="119"/>
      <c r="F24" s="119"/>
      <c r="G24" s="119"/>
    </row>
    <row r="25" spans="1:7" ht="18" customHeight="1">
      <c r="A25" s="48">
        <v>21</v>
      </c>
      <c r="B25" s="67" t="s">
        <v>113</v>
      </c>
      <c r="C25" s="119"/>
      <c r="D25" s="48">
        <f>D22+D23</f>
        <v>0</v>
      </c>
      <c r="E25" s="48">
        <f>E22+E23</f>
        <v>0</v>
      </c>
      <c r="F25" s="48">
        <f>F22+F23</f>
        <v>0</v>
      </c>
      <c r="G25" s="48">
        <f>G22+G23</f>
        <v>0</v>
      </c>
    </row>
    <row r="26" spans="1:7" ht="18" customHeight="1">
      <c r="A26" s="48">
        <v>22</v>
      </c>
      <c r="B26" s="67"/>
      <c r="C26" s="119"/>
      <c r="D26" s="119"/>
      <c r="E26" s="119"/>
      <c r="F26" s="119"/>
      <c r="G26" s="119"/>
    </row>
    <row r="27" spans="1:7" ht="18" customHeight="1">
      <c r="A27" s="48">
        <v>23</v>
      </c>
      <c r="B27" s="57" t="s">
        <v>114</v>
      </c>
      <c r="C27" s="119"/>
      <c r="D27" s="119"/>
      <c r="E27" s="119"/>
      <c r="F27" s="119"/>
      <c r="G27" s="119"/>
    </row>
    <row r="28" spans="1:7" ht="18" customHeight="1">
      <c r="A28" s="48">
        <v>24</v>
      </c>
      <c r="B28" s="57" t="s">
        <v>428</v>
      </c>
      <c r="C28" s="119"/>
      <c r="D28" s="119"/>
      <c r="E28" s="119"/>
      <c r="F28" s="119"/>
      <c r="G28" s="119"/>
    </row>
    <row r="29" spans="1:7" ht="18" customHeight="1">
      <c r="A29" s="48">
        <v>25</v>
      </c>
      <c r="B29" s="57" t="s">
        <v>115</v>
      </c>
      <c r="C29" s="119"/>
      <c r="D29" s="119"/>
      <c r="E29" s="119"/>
      <c r="F29" s="119"/>
      <c r="G29" s="119"/>
    </row>
    <row r="30" spans="1:7" ht="18" customHeight="1">
      <c r="A30" s="48">
        <v>26</v>
      </c>
      <c r="B30" s="67" t="s">
        <v>116</v>
      </c>
      <c r="C30" s="193"/>
      <c r="D30" s="48">
        <f>D25-D27-D29</f>
        <v>0</v>
      </c>
      <c r="E30" s="48">
        <f>E25-E27-E29</f>
        <v>0</v>
      </c>
      <c r="F30" s="48">
        <f>F25-F27-F29</f>
        <v>0</v>
      </c>
      <c r="G30" s="48">
        <f>G25-G27-G29</f>
        <v>0</v>
      </c>
    </row>
    <row r="31" spans="1:7" ht="18" customHeight="1">
      <c r="A31" s="48">
        <v>27</v>
      </c>
      <c r="B31" s="57" t="s">
        <v>3</v>
      </c>
      <c r="C31" s="119"/>
      <c r="D31" s="119"/>
      <c r="E31" s="119"/>
      <c r="F31" s="119"/>
      <c r="G31" s="119"/>
    </row>
    <row r="32" spans="1:7" ht="18" customHeight="1">
      <c r="A32" s="48">
        <v>28</v>
      </c>
      <c r="B32" s="67" t="s">
        <v>172</v>
      </c>
      <c r="C32" s="194" t="e">
        <f>C20/C5</f>
        <v>#DIV/0!</v>
      </c>
      <c r="D32" s="194" t="e">
        <f>D20/D5</f>
        <v>#DIV/0!</v>
      </c>
      <c r="E32" s="194" t="e">
        <f>E20/E5</f>
        <v>#DIV/0!</v>
      </c>
      <c r="F32" s="194" t="e">
        <f>F20/F5</f>
        <v>#DIV/0!</v>
      </c>
      <c r="G32" s="194" t="e">
        <f>G20/G5</f>
        <v>#DIV/0!</v>
      </c>
    </row>
    <row r="33" spans="1:10" ht="18" customHeight="1">
      <c r="A33" s="48">
        <v>29</v>
      </c>
      <c r="B33" s="67" t="s">
        <v>173</v>
      </c>
      <c r="C33" s="194" t="e">
        <f>C20/底表4!C29</f>
        <v>#DIV/0!</v>
      </c>
      <c r="D33" s="194" t="e">
        <f>D20/底表4!D29</f>
        <v>#DIV/0!</v>
      </c>
      <c r="E33" s="194" t="e">
        <f>E20/底表4!E29</f>
        <v>#DIV/0!</v>
      </c>
      <c r="F33" s="194" t="e">
        <f>F20/底表4!F29</f>
        <v>#DIV/0!</v>
      </c>
      <c r="G33" s="194" t="e">
        <f>G20/底表4!G29</f>
        <v>#DIV/0!</v>
      </c>
    </row>
    <row r="35" spans="1:10" ht="21.95" customHeight="1">
      <c r="A35" s="40" t="s">
        <v>3</v>
      </c>
      <c r="B35" s="195"/>
      <c r="C35" s="195"/>
      <c r="D35" s="195"/>
      <c r="E35" s="195"/>
      <c r="F35" s="195"/>
      <c r="G35" s="195"/>
      <c r="H35" s="195"/>
      <c r="I35" s="195"/>
      <c r="J35" s="195"/>
    </row>
  </sheetData>
  <sheetProtection password="C79D" sheet="1" objects="1" scenarios="1"/>
  <customSheetViews>
    <customSheetView guid="{33FE80C0-0EDF-11D4-8B3D-001060002050}" showRuler="0">
      <selection activeCell="A2" sqref="A2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 r:id="rId1"/>
      <headerFooter alignWithMargins="0"/>
    </customSheetView>
    <customSheetView guid="{62777320-11E7-11D4-8B3D-00E098726125}" showRuler="0">
      <selection activeCell="A2" sqref="A2"/>
      <pageMargins left="0.74803149606299213" right="0.74803149606299213" top="0.98425196850393704" bottom="0.98425196850393704" header="0.51181102362204722" footer="0.51181102362204722"/>
      <printOptions horizontalCentered="1"/>
      <pageSetup paperSize="9" orientation="portrait" r:id="rId2"/>
      <headerFooter alignWithMargins="0"/>
    </customSheetView>
  </customSheetViews>
  <mergeCells count="4">
    <mergeCell ref="C3:G3"/>
    <mergeCell ref="A1:G1"/>
    <mergeCell ref="F2:G2"/>
    <mergeCell ref="C2:E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0"/>
  <sheetViews>
    <sheetView workbookViewId="0" xr3:uid="{0801C90D-E949-51CC-9495-7D82D7DEDABF}">
      <selection activeCell="C8" sqref="C8"/>
    </sheetView>
  </sheetViews>
  <sheetFormatPr defaultRowHeight="14.25"/>
  <cols>
    <col min="1" max="1" width="3.5" style="111" customWidth="1"/>
    <col min="2" max="2" width="23.25" style="111" customWidth="1"/>
    <col min="3" max="16384" width="9" style="111"/>
  </cols>
  <sheetData>
    <row r="1" spans="1:15" ht="18">
      <c r="A1" s="929" t="s">
        <v>184</v>
      </c>
      <c r="B1" s="933"/>
      <c r="C1" s="933"/>
      <c r="D1" s="933"/>
      <c r="E1" s="933"/>
      <c r="F1" s="933"/>
      <c r="G1" s="933"/>
      <c r="H1" s="933"/>
      <c r="I1" s="933"/>
    </row>
    <row r="2" spans="1:15" ht="15">
      <c r="A2" s="203"/>
      <c r="B2" s="204">
        <f>主表7!B9</f>
        <v>-0.05</v>
      </c>
      <c r="C2" s="66"/>
      <c r="D2" s="66"/>
      <c r="E2" s="66"/>
      <c r="F2" s="66"/>
      <c r="G2" s="66"/>
      <c r="H2" s="934" t="s">
        <v>27</v>
      </c>
      <c r="I2" s="935"/>
    </row>
    <row r="3" spans="1:15" ht="15">
      <c r="A3" s="205" t="s">
        <v>28</v>
      </c>
      <c r="B3" s="206" t="s">
        <v>53</v>
      </c>
      <c r="C3" s="207" t="str">
        <f>主表2!D3</f>
        <v>2018年</v>
      </c>
      <c r="D3" s="207" t="str">
        <f>主表2!E3</f>
        <v>2019年</v>
      </c>
      <c r="E3" s="207" t="str">
        <f>主表2!F3</f>
        <v>2020年</v>
      </c>
      <c r="F3" s="207" t="str">
        <f>主表2!G3</f>
        <v>2021年</v>
      </c>
      <c r="G3" s="207" t="str">
        <f>主表2!H3</f>
        <v>2022年</v>
      </c>
      <c r="H3" s="207" t="str">
        <f>主表2!I3</f>
        <v>2023年</v>
      </c>
      <c r="I3" s="206" t="s">
        <v>233</v>
      </c>
    </row>
    <row r="4" spans="1:15" ht="15">
      <c r="A4" s="207">
        <v>1</v>
      </c>
      <c r="B4" s="208" t="s">
        <v>9</v>
      </c>
      <c r="C4" s="58">
        <f>'主表4-1'!C4*(1+$B$2)</f>
        <v>22232</v>
      </c>
      <c r="D4" s="58">
        <f>'主表4-1'!D4*(1+$B$2)</f>
        <v>73820</v>
      </c>
      <c r="E4" s="58">
        <f>'主表4-1'!E4*(1+$B$2)</f>
        <v>17859</v>
      </c>
      <c r="F4" s="58">
        <f>'主表4-1'!F4*(1+$B$2)</f>
        <v>0</v>
      </c>
      <c r="G4" s="58">
        <f>'主表4-1'!G4*(1+$B$2)</f>
        <v>0</v>
      </c>
      <c r="H4" s="58">
        <f>'主表4-1'!H4*(1+$B$2)</f>
        <v>0</v>
      </c>
      <c r="I4" s="58">
        <f>'主表4-1'!J4*(1+$B$2)</f>
        <v>113911</v>
      </c>
    </row>
    <row r="5" spans="1:15" ht="15">
      <c r="A5" s="207">
        <v>2</v>
      </c>
      <c r="B5" s="205" t="s">
        <v>519</v>
      </c>
      <c r="C5" s="58">
        <f>C4/$I$4*主表2!$K$36</f>
        <v>18382</v>
      </c>
      <c r="D5" s="58">
        <f>D4/$I$4*主表2!$K$36</f>
        <v>61038</v>
      </c>
      <c r="E5" s="58">
        <f>E4/$I$4*主表2!$K$36</f>
        <v>14767</v>
      </c>
      <c r="F5" s="58">
        <f>F4/$I$4*主表2!$K$36</f>
        <v>0</v>
      </c>
      <c r="G5" s="58">
        <f>G4/$I$4*主表2!$K$36</f>
        <v>0</v>
      </c>
      <c r="H5" s="58">
        <f>H4/$I$4*主表2!$K$36</f>
        <v>0</v>
      </c>
      <c r="I5" s="58">
        <f t="shared" ref="I5:I20" si="0">SUM(C5:H5)</f>
        <v>94187</v>
      </c>
    </row>
    <row r="6" spans="1:15" ht="15">
      <c r="A6" s="207">
        <v>3</v>
      </c>
      <c r="B6" s="205" t="s">
        <v>240</v>
      </c>
      <c r="C6" s="58">
        <f>'主表4-1'!C6*(1+$B$2)</f>
        <v>667</v>
      </c>
      <c r="D6" s="58">
        <f>'主表4-1'!D6*(1+$B$2)</f>
        <v>2214</v>
      </c>
      <c r="E6" s="58">
        <f>'主表4-1'!E6*(1+$B$2)</f>
        <v>0</v>
      </c>
      <c r="F6" s="58">
        <f>'主表4-1'!F6*(1+$B$2)</f>
        <v>0</v>
      </c>
      <c r="G6" s="58">
        <f>'主表4-1'!G6*(1+$B$2)</f>
        <v>0</v>
      </c>
      <c r="H6" s="58">
        <f>'主表4-1'!H6*(1+$B$2)</f>
        <v>0</v>
      </c>
      <c r="I6" s="58">
        <f>'主表4-1'!J6*(1+$B$2)</f>
        <v>2881</v>
      </c>
    </row>
    <row r="7" spans="1:15" ht="15">
      <c r="A7" s="207">
        <v>4</v>
      </c>
      <c r="B7" s="205" t="s">
        <v>38</v>
      </c>
      <c r="C7" s="58"/>
      <c r="D7" s="58"/>
      <c r="E7" s="58"/>
      <c r="F7" s="58"/>
      <c r="G7" s="58"/>
      <c r="H7" s="58"/>
      <c r="I7" s="58">
        <f t="shared" si="0"/>
        <v>0</v>
      </c>
    </row>
    <row r="8" spans="1:15" ht="15">
      <c r="A8" s="207">
        <v>5</v>
      </c>
      <c r="B8" s="205" t="s">
        <v>39</v>
      </c>
      <c r="C8" s="58">
        <f>ROUND(C4*2%,0)</f>
        <v>445</v>
      </c>
      <c r="D8" s="58">
        <f>ROUND(D4*2%,0)</f>
        <v>1476</v>
      </c>
      <c r="E8" s="58">
        <f>ROUND(E4*2%,0)</f>
        <v>357</v>
      </c>
      <c r="F8" s="58"/>
      <c r="G8" s="58">
        <f>G4/$I$4*$I$8</f>
        <v>0</v>
      </c>
      <c r="H8" s="58">
        <f>H4/$I$4*$I$8</f>
        <v>0</v>
      </c>
      <c r="I8" s="58">
        <f>IF(I4/(I5+I6+I7+I9+I10+I11)-1&gt;2,((I4-3*(I5+I6+I7+I9+I10+I11))*60%+(I5+I6+I7+I9+I10+I11)*(50%+0.5*40%+0.5*30%)),IF(AND(I4/(I5+I6+I7+I9+I10+I11)-1&gt;1,I4/(I5+I6+I7+I9+I10+I11)-1&lt;=2),((I4-2*(I5+I6+I7+I9+I10+I11))*50%+(I5+I6+I7+I9+I10+I11)*(0.5*40%+0.5*30%)),IF(AND(I4/(I5+I6+I7+I9+I10+I11)-1&gt;0.5,I4/(I5+I6+I7+I9+I10+I11)-1&lt;=1),((I4-1.5*(I5+I6+I7+I9+I10+I11))*40%+(I5+I6+I7+I9+I10+I11)*0.5*30%),IF(AND(I4/(I5+I6+I7+I9+I10+I11)-1&gt;=0,I4/(I5+I6+I7+I9+I10+I11)-1&lt;=0.2,基础数据!C28="是"),0,IF(AND(I4/(I5+I6+I7+I9+I10+I11)-1&gt;=0,I4/(I5+I6+I7+I9+I10+I11)-1&lt;=0.5),((I4-1*(I5+I6+I7+I9+I10+I11))*30%))))))</f>
        <v>0</v>
      </c>
    </row>
    <row r="9" spans="1:15" ht="15">
      <c r="A9" s="207">
        <v>6</v>
      </c>
      <c r="B9" s="205" t="s">
        <v>313</v>
      </c>
      <c r="C9" s="58">
        <f>主表2!D31</f>
        <v>468</v>
      </c>
      <c r="D9" s="58">
        <f>主表2!E31</f>
        <v>1554</v>
      </c>
      <c r="E9" s="58">
        <f>主表2!F31</f>
        <v>376</v>
      </c>
      <c r="F9" s="58">
        <f>主表2!G31</f>
        <v>0</v>
      </c>
      <c r="G9" s="58">
        <f>主表2!H31</f>
        <v>0</v>
      </c>
      <c r="H9" s="58">
        <f>主表2!I31</f>
        <v>0</v>
      </c>
      <c r="I9" s="58">
        <f>SUM(C9:H9)</f>
        <v>2398</v>
      </c>
    </row>
    <row r="10" spans="1:15" ht="15">
      <c r="A10" s="207">
        <v>7</v>
      </c>
      <c r="B10" s="205" t="s">
        <v>480</v>
      </c>
      <c r="C10" s="58">
        <f>主表2!D32</f>
        <v>1694</v>
      </c>
      <c r="D10" s="58">
        <f>主表2!E32</f>
        <v>659</v>
      </c>
      <c r="E10" s="58">
        <f>主表2!F32</f>
        <v>338</v>
      </c>
      <c r="F10" s="58">
        <f>主表2!G32</f>
        <v>0</v>
      </c>
      <c r="G10" s="58">
        <f>主表2!H32</f>
        <v>0</v>
      </c>
      <c r="H10" s="58">
        <f>主表2!I32</f>
        <v>0</v>
      </c>
      <c r="I10" s="58">
        <f>SUM(C10:H10)</f>
        <v>2691</v>
      </c>
    </row>
    <row r="11" spans="1:15" ht="15">
      <c r="A11" s="207">
        <v>8</v>
      </c>
      <c r="B11" s="205" t="s">
        <v>234</v>
      </c>
      <c r="C11" s="58">
        <f>主表2!D33</f>
        <v>1081</v>
      </c>
      <c r="D11" s="58">
        <f>主表2!E33</f>
        <v>1081</v>
      </c>
      <c r="E11" s="58">
        <f>主表2!F33</f>
        <v>0</v>
      </c>
      <c r="F11" s="58">
        <f>主表2!G33</f>
        <v>0</v>
      </c>
      <c r="G11" s="58">
        <f>主表2!H33</f>
        <v>0</v>
      </c>
      <c r="H11" s="58">
        <f>主表2!I33</f>
        <v>0</v>
      </c>
      <c r="I11" s="58">
        <f>SUM(C11:H11)</f>
        <v>2162</v>
      </c>
    </row>
    <row r="12" spans="1:15" ht="15">
      <c r="A12" s="207">
        <v>6</v>
      </c>
      <c r="B12" s="205" t="s">
        <v>520</v>
      </c>
      <c r="C12" s="58">
        <f t="shared" ref="C12:H12" si="1">C4-C5-C6-C7-C8-C9-C10-C11</f>
        <v>-505</v>
      </c>
      <c r="D12" s="58">
        <f t="shared" si="1"/>
        <v>5798</v>
      </c>
      <c r="E12" s="58">
        <f t="shared" si="1"/>
        <v>2021</v>
      </c>
      <c r="F12" s="58">
        <f t="shared" si="1"/>
        <v>0</v>
      </c>
      <c r="G12" s="58">
        <f t="shared" si="1"/>
        <v>0</v>
      </c>
      <c r="H12" s="58">
        <f t="shared" si="1"/>
        <v>0</v>
      </c>
      <c r="I12" s="58">
        <f t="shared" si="0"/>
        <v>7314</v>
      </c>
      <c r="J12" s="209">
        <f>C12</f>
        <v>-505</v>
      </c>
      <c r="K12" s="209">
        <f>D12+C12</f>
        <v>5293</v>
      </c>
      <c r="L12" s="209">
        <f>E12+D12+C12</f>
        <v>7314</v>
      </c>
      <c r="M12" s="209">
        <f>F12+E12+D12+C12</f>
        <v>7314</v>
      </c>
      <c r="N12" s="209">
        <f>G12+E12+F12+D12+C12</f>
        <v>7314</v>
      </c>
      <c r="O12" s="209">
        <f>H12+G12+F12+E12+D12+C12</f>
        <v>7314</v>
      </c>
    </row>
    <row r="13" spans="1:15" ht="15">
      <c r="A13" s="207">
        <v>7</v>
      </c>
      <c r="B13" s="210" t="s">
        <v>241</v>
      </c>
      <c r="C13" s="58">
        <f>IF(J12&lt;=0,0,IF(J12&gt;0,C12*基础数据!$C$19))</f>
        <v>0</v>
      </c>
      <c r="D13" s="58">
        <f>IF(D12&lt;=0,0,IF(AND(J12&lt;0,K12&gt;0),K12*基础数据!$C$19,IF(K12&lt;0,0,IF(AND(J12&gt;0,K12&gt;0),D12*基础数据!$C$19))))</f>
        <v>1323</v>
      </c>
      <c r="E13" s="58">
        <f>IF(E12&lt;=0,0,IF(AND(K12&lt;0,L12&gt;0),L12*基础数据!$C$19,IF(L12&lt;0,0,IF(AND(K12&gt;0,L12&gt;0),E12*基础数据!$C$19))))</f>
        <v>505</v>
      </c>
      <c r="F13" s="58">
        <f>IF(F12&lt;=0,0,IF(AND(L12&lt;0,M12&gt;0),M12*基础数据!$C$19,IF(M12&lt;0,0,IF(AND(L12&gt;0,M12&gt;0),F12*基础数据!$C$19))))</f>
        <v>0</v>
      </c>
      <c r="G13" s="58">
        <f>IF(G12&lt;=0,0,IF(AND(M12&lt;0,N12&gt;0),N12*基础数据!$C$19,IF(N12&lt;0,0,IF(AND(M12&gt;0,N12&gt;0),G12*基础数据!$C$19))))</f>
        <v>0</v>
      </c>
      <c r="H13" s="58">
        <f>IF(H12&lt;=0,0,IF(AND(N12&lt;0,O12&gt;0),O12*基础数据!$C$19,IF(O12&lt;0,0,IF(AND(N12&gt;0,O12&gt;0),H12*基础数据!$C$19))))</f>
        <v>0</v>
      </c>
      <c r="I13" s="58">
        <f t="shared" si="0"/>
        <v>1828</v>
      </c>
    </row>
    <row r="14" spans="1:15" ht="15">
      <c r="A14" s="207">
        <v>8</v>
      </c>
      <c r="B14" s="205" t="s">
        <v>111</v>
      </c>
      <c r="C14" s="58">
        <f t="shared" ref="C14:H14" si="2">C12-C13</f>
        <v>-505</v>
      </c>
      <c r="D14" s="58">
        <f t="shared" si="2"/>
        <v>4475</v>
      </c>
      <c r="E14" s="58">
        <f t="shared" si="2"/>
        <v>1516</v>
      </c>
      <c r="F14" s="58">
        <f t="shared" si="2"/>
        <v>0</v>
      </c>
      <c r="G14" s="58">
        <f t="shared" si="2"/>
        <v>0</v>
      </c>
      <c r="H14" s="58">
        <f t="shared" si="2"/>
        <v>0</v>
      </c>
      <c r="I14" s="58">
        <f t="shared" si="0"/>
        <v>5486</v>
      </c>
    </row>
    <row r="15" spans="1:15" ht="15">
      <c r="A15" s="207">
        <v>9</v>
      </c>
      <c r="B15" s="57" t="s">
        <v>112</v>
      </c>
      <c r="C15" s="58"/>
      <c r="D15" s="58">
        <f>C20</f>
        <v>-505</v>
      </c>
      <c r="E15" s="58">
        <f>D20</f>
        <v>3299</v>
      </c>
      <c r="F15" s="58"/>
      <c r="G15" s="58"/>
      <c r="H15" s="58"/>
      <c r="I15" s="58">
        <f t="shared" si="0"/>
        <v>2794</v>
      </c>
    </row>
    <row r="16" spans="1:15" ht="15">
      <c r="A16" s="207">
        <v>10</v>
      </c>
      <c r="B16" s="205" t="s">
        <v>113</v>
      </c>
      <c r="C16" s="58">
        <f>C15+C14</f>
        <v>-505</v>
      </c>
      <c r="D16" s="58">
        <f>D15+D14</f>
        <v>3970</v>
      </c>
      <c r="E16" s="58">
        <f>E15+E14</f>
        <v>4815</v>
      </c>
      <c r="F16" s="58"/>
      <c r="G16" s="58"/>
      <c r="H16" s="58"/>
      <c r="I16" s="58">
        <f t="shared" si="0"/>
        <v>8280</v>
      </c>
    </row>
    <row r="17" spans="1:9" ht="15">
      <c r="A17" s="207">
        <v>11</v>
      </c>
      <c r="B17" s="57" t="s">
        <v>238</v>
      </c>
      <c r="C17" s="58">
        <f>IF(C14&lt;0,0,C14*基础数据!$C$29)</f>
        <v>0</v>
      </c>
      <c r="D17" s="58">
        <f>IF(D14&lt;0,0,D14*基础数据!$C$29)</f>
        <v>671</v>
      </c>
      <c r="E17" s="58">
        <f>IF(E14&lt;0,0,E14*基础数据!$C$29)</f>
        <v>227</v>
      </c>
      <c r="F17" s="58">
        <f>IF(F14&lt;0,0,F14*基础数据!$C$29)</f>
        <v>0</v>
      </c>
      <c r="G17" s="58">
        <f>IF(G14&lt;0,0,G14*基础数据!$C$29)</f>
        <v>0</v>
      </c>
      <c r="H17" s="58">
        <f>IF(H14&lt;0,0,H14*基础数据!$C$29)</f>
        <v>0</v>
      </c>
      <c r="I17" s="58">
        <f t="shared" si="0"/>
        <v>898</v>
      </c>
    </row>
    <row r="18" spans="1:9" ht="15">
      <c r="A18" s="207">
        <v>12</v>
      </c>
      <c r="B18" s="57" t="s">
        <v>295</v>
      </c>
      <c r="C18" s="58">
        <f>IF(C14&lt;0,0,C14*基础数据!$C$30)</f>
        <v>0</v>
      </c>
      <c r="D18" s="58">
        <f>IF(D14&lt;0,0,D14*基础数据!$C$30)</f>
        <v>224</v>
      </c>
      <c r="E18" s="58">
        <f>IF(E14&lt;0,0,E14*基础数据!$C$30)</f>
        <v>76</v>
      </c>
      <c r="F18" s="58">
        <f>IF(F14&lt;0,0,F14*基础数据!$C$30)</f>
        <v>0</v>
      </c>
      <c r="G18" s="58">
        <f>IF(G14&lt;0,0,G14*基础数据!$C$30)</f>
        <v>0</v>
      </c>
      <c r="H18" s="58">
        <f>IF(H14&lt;0,0,H14*基础数据!$C$30)</f>
        <v>0</v>
      </c>
      <c r="I18" s="58">
        <f t="shared" si="0"/>
        <v>300</v>
      </c>
    </row>
    <row r="19" spans="1:9" ht="15">
      <c r="A19" s="207">
        <v>13</v>
      </c>
      <c r="B19" s="57" t="s">
        <v>239</v>
      </c>
      <c r="C19" s="58">
        <f>'主表4-1'!C19</f>
        <v>0</v>
      </c>
      <c r="D19" s="58">
        <f>'主表4-1'!D19</f>
        <v>0</v>
      </c>
      <c r="E19" s="58">
        <f>'主表4-1'!E19</f>
        <v>0</v>
      </c>
      <c r="F19" s="58">
        <f>'主表4-1'!F19</f>
        <v>0</v>
      </c>
      <c r="G19" s="58">
        <f>'主表4-1'!G19</f>
        <v>0</v>
      </c>
      <c r="H19" s="58">
        <f>'主表4-1'!H19</f>
        <v>0</v>
      </c>
      <c r="I19" s="58">
        <f t="shared" si="0"/>
        <v>0</v>
      </c>
    </row>
    <row r="20" spans="1:9" ht="15">
      <c r="A20" s="207">
        <v>14</v>
      </c>
      <c r="B20" s="205" t="s">
        <v>116</v>
      </c>
      <c r="C20" s="58">
        <f t="shared" ref="C20:H20" si="3">C16-C17-C19</f>
        <v>-505</v>
      </c>
      <c r="D20" s="58">
        <f t="shared" si="3"/>
        <v>3299</v>
      </c>
      <c r="E20" s="58">
        <f t="shared" si="3"/>
        <v>4588</v>
      </c>
      <c r="F20" s="58">
        <f t="shared" si="3"/>
        <v>0</v>
      </c>
      <c r="G20" s="58">
        <f t="shared" si="3"/>
        <v>0</v>
      </c>
      <c r="H20" s="58">
        <f t="shared" si="3"/>
        <v>0</v>
      </c>
      <c r="I20" s="58">
        <f t="shared" si="0"/>
        <v>7382</v>
      </c>
    </row>
  </sheetData>
  <customSheetViews>
    <customSheetView guid="{33FE80C0-0EDF-11D4-8B3D-001060002050}" showRuler="0">
      <selection activeCell="H19" sqref="H19"/>
      <pageMargins left="0.75" right="0.75" top="1" bottom="1" header="0.5" footer="0.5"/>
      <headerFooter alignWithMargins="0"/>
    </customSheetView>
    <customSheetView guid="{62777320-11E7-11D4-8B3D-00E098726125}" showRuler="0">
      <selection activeCell="H19" sqref="H19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2"/>
  <sheetViews>
    <sheetView workbookViewId="0" xr3:uid="{AB5DE215-5931-5800-A1A6-141DC62B4C85}">
      <selection activeCell="G32" sqref="G32"/>
    </sheetView>
  </sheetViews>
  <sheetFormatPr defaultRowHeight="14.25"/>
  <cols>
    <col min="1" max="1" width="4.625" style="111" customWidth="1"/>
    <col min="2" max="2" width="19.25" style="111" customWidth="1"/>
    <col min="3" max="3" width="11.125" style="111" customWidth="1"/>
    <col min="4" max="16384" width="9" style="111"/>
  </cols>
  <sheetData>
    <row r="1" spans="1:9" ht="18">
      <c r="A1" s="929" t="s">
        <v>31</v>
      </c>
      <c r="B1" s="933"/>
      <c r="C1" s="933"/>
      <c r="D1" s="933"/>
      <c r="E1" s="933"/>
      <c r="F1" s="933"/>
      <c r="G1" s="933"/>
      <c r="H1" s="40"/>
    </row>
    <row r="2" spans="1:9" ht="15">
      <c r="A2" s="159"/>
      <c r="B2" s="40"/>
      <c r="C2" s="40"/>
      <c r="D2" s="40"/>
      <c r="E2" s="40"/>
      <c r="F2" s="40"/>
      <c r="G2" s="40"/>
      <c r="H2" s="40"/>
    </row>
    <row r="3" spans="1:9" ht="15">
      <c r="A3" s="205" t="s">
        <v>28</v>
      </c>
      <c r="B3" s="206" t="s">
        <v>53</v>
      </c>
      <c r="C3" s="207" t="str">
        <f>主表2!D3</f>
        <v>2018年</v>
      </c>
      <c r="D3" s="207" t="str">
        <f>主表2!E3</f>
        <v>2019年</v>
      </c>
      <c r="E3" s="207" t="str">
        <f>主表2!F3</f>
        <v>2020年</v>
      </c>
      <c r="F3" s="207" t="str">
        <f>主表2!G3</f>
        <v>2021年</v>
      </c>
      <c r="G3" s="207" t="str">
        <f>主表2!H3</f>
        <v>2022年</v>
      </c>
      <c r="H3" s="207" t="str">
        <f>主表2!I3</f>
        <v>2023年</v>
      </c>
      <c r="I3" s="48" t="s">
        <v>297</v>
      </c>
    </row>
    <row r="4" spans="1:9" ht="15">
      <c r="A4" s="207">
        <v>1</v>
      </c>
      <c r="B4" s="205" t="s">
        <v>32</v>
      </c>
      <c r="C4" s="58">
        <f t="shared" ref="C4:H4" si="0">SUM(C5:C8)</f>
        <v>22232</v>
      </c>
      <c r="D4" s="58">
        <f t="shared" si="0"/>
        <v>73820</v>
      </c>
      <c r="E4" s="58">
        <f t="shared" si="0"/>
        <v>17859</v>
      </c>
      <c r="F4" s="58">
        <f t="shared" si="0"/>
        <v>0</v>
      </c>
      <c r="G4" s="58">
        <f t="shared" si="0"/>
        <v>0</v>
      </c>
      <c r="H4" s="58">
        <f t="shared" si="0"/>
        <v>0</v>
      </c>
      <c r="I4" s="211">
        <f>SUM(C4:H4)</f>
        <v>113911</v>
      </c>
    </row>
    <row r="5" spans="1:9" ht="15">
      <c r="A5" s="207">
        <v>2</v>
      </c>
      <c r="B5" s="205" t="s">
        <v>9</v>
      </c>
      <c r="C5" s="58">
        <f>底表1!F5*(1+'收入-5% 4_1'!$B$2)</f>
        <v>22232</v>
      </c>
      <c r="D5" s="58">
        <f>底表1!H5*(1+'收入-5% 4_1'!$B$2)</f>
        <v>73820</v>
      </c>
      <c r="E5" s="58">
        <f>底表1!J5*(1+'收入-5% 4_1'!$B$2)</f>
        <v>17859</v>
      </c>
      <c r="F5" s="58">
        <f>底表1!L5*(1+'收入-5% 4_1'!$B$2)</f>
        <v>0</v>
      </c>
      <c r="G5" s="58">
        <f>底表1!N5*(1+'收入-5% 4_1'!$B$2)</f>
        <v>0</v>
      </c>
      <c r="H5" s="58">
        <f>底表1!P5*(1+'收入-5% 4_1'!$B$2)</f>
        <v>0</v>
      </c>
      <c r="I5" s="211">
        <f t="shared" ref="I5:I18" si="1">SUM(C5:H5)</f>
        <v>113911</v>
      </c>
    </row>
    <row r="6" spans="1:9" ht="15">
      <c r="A6" s="207">
        <v>3</v>
      </c>
      <c r="B6" s="205" t="s">
        <v>29</v>
      </c>
      <c r="C6" s="58">
        <f>'收入-5% 4_2'!C4</f>
        <v>0</v>
      </c>
      <c r="D6" s="58">
        <f>'收入-5% 4_2'!D4</f>
        <v>0</v>
      </c>
      <c r="E6" s="58">
        <f>'收入-5% 4_2'!E4</f>
        <v>0</v>
      </c>
      <c r="F6" s="58">
        <f>'收入-5% 4_2'!F4</f>
        <v>0</v>
      </c>
      <c r="G6" s="58">
        <f>'收入-5% 4_2'!G4</f>
        <v>0</v>
      </c>
      <c r="H6" s="58">
        <f>'收入-5% 4_2'!H4</f>
        <v>0</v>
      </c>
      <c r="I6" s="211">
        <f t="shared" si="1"/>
        <v>0</v>
      </c>
    </row>
    <row r="7" spans="1:9" ht="15">
      <c r="A7" s="207">
        <v>4</v>
      </c>
      <c r="B7" s="205" t="s">
        <v>33</v>
      </c>
      <c r="C7" s="58">
        <f>主表3!C7</f>
        <v>0</v>
      </c>
      <c r="D7" s="58">
        <f>主表3!D7</f>
        <v>0</v>
      </c>
      <c r="E7" s="58">
        <f>主表3!E7</f>
        <v>0</v>
      </c>
      <c r="F7" s="58">
        <f>主表3!F7</f>
        <v>0</v>
      </c>
      <c r="G7" s="58">
        <f>主表3!G7</f>
        <v>0</v>
      </c>
      <c r="H7" s="58">
        <f>主表3!H7</f>
        <v>0</v>
      </c>
      <c r="I7" s="211">
        <f t="shared" si="1"/>
        <v>0</v>
      </c>
    </row>
    <row r="8" spans="1:9" ht="15">
      <c r="A8" s="207">
        <v>5</v>
      </c>
      <c r="B8" s="57" t="s">
        <v>3</v>
      </c>
      <c r="C8" s="58"/>
      <c r="D8" s="58"/>
      <c r="E8" s="58"/>
      <c r="F8" s="58"/>
      <c r="G8" s="58"/>
      <c r="H8" s="58"/>
      <c r="I8" s="211">
        <f t="shared" si="1"/>
        <v>0</v>
      </c>
    </row>
    <row r="9" spans="1:9" ht="15">
      <c r="A9" s="207">
        <v>6</v>
      </c>
      <c r="B9" s="205" t="s">
        <v>34</v>
      </c>
      <c r="C9" s="58">
        <f t="shared" ref="C9:H9" si="2">SUM(C10:C15)</f>
        <v>62557</v>
      </c>
      <c r="D9" s="58">
        <f t="shared" si="2"/>
        <v>30295</v>
      </c>
      <c r="E9" s="58">
        <f t="shared" si="2"/>
        <v>13411</v>
      </c>
      <c r="F9" s="58">
        <f t="shared" si="2"/>
        <v>0</v>
      </c>
      <c r="G9" s="58">
        <f t="shared" si="2"/>
        <v>0</v>
      </c>
      <c r="H9" s="58">
        <f t="shared" si="2"/>
        <v>0</v>
      </c>
      <c r="I9" s="211">
        <f t="shared" si="1"/>
        <v>106263</v>
      </c>
    </row>
    <row r="10" spans="1:9" ht="15">
      <c r="A10" s="207">
        <v>7</v>
      </c>
      <c r="B10" s="205" t="s">
        <v>35</v>
      </c>
      <c r="C10" s="58">
        <f>主表2!D38</f>
        <v>61445</v>
      </c>
      <c r="D10" s="58">
        <f>主表2!E38</f>
        <v>25282</v>
      </c>
      <c r="E10" s="58">
        <f>主表2!F38</f>
        <v>12549</v>
      </c>
      <c r="F10" s="58">
        <f>主表2!G38</f>
        <v>0</v>
      </c>
      <c r="G10" s="58">
        <f>主表2!H38</f>
        <v>0</v>
      </c>
      <c r="H10" s="58">
        <f>主表2!I38</f>
        <v>0</v>
      </c>
      <c r="I10" s="211">
        <f t="shared" si="1"/>
        <v>99276</v>
      </c>
    </row>
    <row r="11" spans="1:9" ht="15">
      <c r="A11" s="207">
        <v>8</v>
      </c>
      <c r="B11" s="205" t="s">
        <v>36</v>
      </c>
      <c r="C11" s="58">
        <f>底表3!C13</f>
        <v>0</v>
      </c>
      <c r="D11" s="58">
        <f>底表3!D13</f>
        <v>0</v>
      </c>
      <c r="E11" s="58">
        <f>底表3!E13</f>
        <v>0</v>
      </c>
      <c r="F11" s="58">
        <f>底表3!F13</f>
        <v>0</v>
      </c>
      <c r="G11" s="58">
        <f>底表3!G13</f>
        <v>0</v>
      </c>
      <c r="H11" s="58">
        <f>底表3!H13</f>
        <v>0</v>
      </c>
      <c r="I11" s="211">
        <f t="shared" si="1"/>
        <v>0</v>
      </c>
    </row>
    <row r="12" spans="1:9" ht="15">
      <c r="A12" s="207">
        <v>9</v>
      </c>
      <c r="B12" s="205" t="s">
        <v>240</v>
      </c>
      <c r="C12" s="58">
        <f>'收入-5% 4_1'!C6+'收入-5% 4_2'!C6</f>
        <v>667</v>
      </c>
      <c r="D12" s="58">
        <f>'收入-5% 4_1'!D6+'收入-5% 4_2'!D6</f>
        <v>2214</v>
      </c>
      <c r="E12" s="58">
        <f>'收入-5% 4_1'!E6+'收入-5% 4_2'!E6</f>
        <v>0</v>
      </c>
      <c r="F12" s="58">
        <f>'收入-5% 4_1'!F6+'收入-5% 4_2'!F6</f>
        <v>0</v>
      </c>
      <c r="G12" s="58">
        <f>'收入-5% 4_1'!G6+'收入-5% 4_2'!G6</f>
        <v>0</v>
      </c>
      <c r="H12" s="58">
        <f>'收入-5% 4_1'!H6+'收入-5% 4_2'!H6</f>
        <v>0</v>
      </c>
      <c r="I12" s="211">
        <f t="shared" si="1"/>
        <v>2881</v>
      </c>
    </row>
    <row r="13" spans="1:9" ht="15">
      <c r="A13" s="207">
        <v>10</v>
      </c>
      <c r="B13" s="205" t="s">
        <v>39</v>
      </c>
      <c r="C13" s="58">
        <f>'收入-5% 4_1'!C8</f>
        <v>445</v>
      </c>
      <c r="D13" s="58">
        <f>'收入-5% 4_1'!D8</f>
        <v>1476</v>
      </c>
      <c r="E13" s="58">
        <f>'收入-5% 4_1'!E8</f>
        <v>357</v>
      </c>
      <c r="F13" s="58">
        <f>'收入-5% 4_1'!F8</f>
        <v>0</v>
      </c>
      <c r="G13" s="58">
        <f>'收入-5% 4_1'!G8</f>
        <v>0</v>
      </c>
      <c r="H13" s="58">
        <f>'收入-5% 4_1'!H8</f>
        <v>0</v>
      </c>
      <c r="I13" s="211">
        <f t="shared" si="1"/>
        <v>2278</v>
      </c>
    </row>
    <row r="14" spans="1:9" ht="15">
      <c r="A14" s="207">
        <v>11</v>
      </c>
      <c r="B14" s="205" t="s">
        <v>30</v>
      </c>
      <c r="C14" s="58">
        <f>'收入-5% 4_1'!C13+'收入-5% 4_2'!C8</f>
        <v>0</v>
      </c>
      <c r="D14" s="58">
        <f>'收入-5% 4_1'!D13+'收入-5% 4_2'!D8</f>
        <v>1323</v>
      </c>
      <c r="E14" s="58">
        <f>'收入-5% 4_1'!E13+'收入-5% 4_2'!E8</f>
        <v>505</v>
      </c>
      <c r="F14" s="58">
        <f>'收入-5% 4_1'!F13+'收入-5% 4_2'!F8</f>
        <v>0</v>
      </c>
      <c r="G14" s="58">
        <f>'收入-5% 4_1'!G13+'收入-5% 4_2'!G8</f>
        <v>0</v>
      </c>
      <c r="H14" s="58">
        <f>'收入-5% 4_1'!H13+'收入-5% 4_2'!H8</f>
        <v>0</v>
      </c>
      <c r="I14" s="211">
        <f t="shared" si="1"/>
        <v>1828</v>
      </c>
    </row>
    <row r="15" spans="1:9" ht="15">
      <c r="A15" s="207">
        <v>12</v>
      </c>
      <c r="B15" s="57"/>
      <c r="C15" s="58"/>
      <c r="D15" s="58"/>
      <c r="E15" s="58"/>
      <c r="F15" s="58"/>
      <c r="G15" s="58"/>
      <c r="H15" s="58"/>
      <c r="I15" s="211">
        <f t="shared" si="1"/>
        <v>0</v>
      </c>
    </row>
    <row r="16" spans="1:9" ht="15">
      <c r="A16" s="207">
        <v>13</v>
      </c>
      <c r="B16" s="205" t="s">
        <v>40</v>
      </c>
      <c r="C16" s="58">
        <f t="shared" ref="C16:H16" si="3">C4-C9</f>
        <v>-40325</v>
      </c>
      <c r="D16" s="58">
        <f t="shared" si="3"/>
        <v>43525</v>
      </c>
      <c r="E16" s="58">
        <f t="shared" si="3"/>
        <v>4448</v>
      </c>
      <c r="F16" s="58">
        <f t="shared" si="3"/>
        <v>0</v>
      </c>
      <c r="G16" s="58">
        <f t="shared" si="3"/>
        <v>0</v>
      </c>
      <c r="H16" s="58">
        <f t="shared" si="3"/>
        <v>0</v>
      </c>
      <c r="I16" s="211">
        <f t="shared" si="1"/>
        <v>7648</v>
      </c>
    </row>
    <row r="17" spans="1:9" ht="15">
      <c r="A17" s="207">
        <v>14</v>
      </c>
      <c r="B17" s="205" t="s">
        <v>41</v>
      </c>
      <c r="C17" s="58">
        <f>C16</f>
        <v>-40325</v>
      </c>
      <c r="D17" s="58">
        <f>C17+D16</f>
        <v>3200</v>
      </c>
      <c r="E17" s="58">
        <f>D17+E16</f>
        <v>7648</v>
      </c>
      <c r="F17" s="58"/>
      <c r="G17" s="58"/>
      <c r="H17" s="58"/>
      <c r="I17" s="211"/>
    </row>
    <row r="18" spans="1:9" ht="15">
      <c r="A18" s="207">
        <v>15</v>
      </c>
      <c r="B18" s="205" t="s">
        <v>235</v>
      </c>
      <c r="C18" s="58">
        <f>C16/(1+$C$21)^1</f>
        <v>-36004</v>
      </c>
      <c r="D18" s="58">
        <f>D16/(1+$C$21)^2</f>
        <v>34698</v>
      </c>
      <c r="E18" s="58">
        <f>E16/(1+$C$21)^3</f>
        <v>3166</v>
      </c>
      <c r="F18" s="58"/>
      <c r="G18" s="58"/>
      <c r="H18" s="58"/>
      <c r="I18" s="211">
        <f t="shared" si="1"/>
        <v>1860</v>
      </c>
    </row>
    <row r="19" spans="1:9" ht="15">
      <c r="A19" s="207">
        <v>16</v>
      </c>
      <c r="B19" s="205" t="s">
        <v>42</v>
      </c>
      <c r="C19" s="58">
        <f>C18</f>
        <v>-36004</v>
      </c>
      <c r="D19" s="58">
        <f>C19+D18</f>
        <v>-1306</v>
      </c>
      <c r="E19" s="58">
        <f>D19+E18</f>
        <v>1860</v>
      </c>
      <c r="F19" s="58"/>
      <c r="G19" s="58"/>
      <c r="H19" s="58"/>
      <c r="I19" s="211"/>
    </row>
    <row r="20" spans="1:9" ht="15">
      <c r="A20" s="66"/>
      <c r="B20" s="66"/>
      <c r="C20" s="66"/>
      <c r="D20" s="66"/>
      <c r="E20" s="66"/>
      <c r="F20" s="66"/>
      <c r="G20" s="66"/>
      <c r="H20" s="66"/>
      <c r="I20" s="143"/>
    </row>
    <row r="21" spans="1:9" ht="15">
      <c r="A21" s="66" t="s">
        <v>410</v>
      </c>
      <c r="B21" s="66"/>
      <c r="C21" s="212">
        <f>基础数据!C10</f>
        <v>0.12</v>
      </c>
      <c r="D21" s="66" t="s">
        <v>412</v>
      </c>
      <c r="E21" s="66"/>
      <c r="F21" s="66"/>
      <c r="G21" s="213">
        <f>NPV(C21,C16:H16)</f>
        <v>1859</v>
      </c>
      <c r="H21" s="143" t="s">
        <v>353</v>
      </c>
      <c r="I21" s="143"/>
    </row>
    <row r="22" spans="1:9" ht="15">
      <c r="A22" s="66" t="s">
        <v>411</v>
      </c>
      <c r="B22" s="66"/>
      <c r="C22" s="214">
        <f>IRR(C16:H16,0.2)</f>
        <v>0.1734</v>
      </c>
      <c r="D22" s="66" t="s">
        <v>413</v>
      </c>
      <c r="E22" s="66"/>
      <c r="F22" s="66"/>
      <c r="G22" s="215">
        <f>IF(D19&gt;=0,2-D19/(D19-C19),IF(E19&gt;=0,3-E19/(E19-D19),IF(F19&gt;=0,4-F19/(F19-E19),IF(G19&gt;=0,5-G19/(G19-F19),IF(H19&gt;=0,6-H19/(H19-G19),"超出")))))</f>
        <v>2.41</v>
      </c>
      <c r="H22" s="143" t="s">
        <v>354</v>
      </c>
      <c r="I22" s="143"/>
    </row>
  </sheetData>
  <customSheetViews>
    <customSheetView guid="{33FE80C0-0EDF-11D4-8B3D-001060002050}" showRuler="0" topLeftCell="A8">
      <selection activeCell="C23" sqref="C23"/>
      <pageMargins left="0.75" right="0.75" top="1" bottom="1" header="0.5" footer="0.5"/>
      <headerFooter alignWithMargins="0"/>
    </customSheetView>
    <customSheetView guid="{62777320-11E7-11D4-8B3D-00E098726125}" showRuler="0" topLeftCell="A8">
      <selection activeCell="C23" sqref="C23"/>
      <pageMargins left="0.75" right="0.75" top="1" bottom="1" header="0.5" footer="0.5"/>
      <headerFooter alignWithMargins="0"/>
    </customSheetView>
  </customSheetViews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0"/>
  <sheetViews>
    <sheetView workbookViewId="0" xr3:uid="{96AA9D09-0E06-52DD-9EE1-B522AFA11096}">
      <selection activeCell="E9" sqref="E9"/>
    </sheetView>
  </sheetViews>
  <sheetFormatPr defaultRowHeight="14.25"/>
  <cols>
    <col min="1" max="1" width="5.375" customWidth="1"/>
    <col min="2" max="2" width="23.375" customWidth="1"/>
  </cols>
  <sheetData>
    <row r="1" spans="1:15" ht="18">
      <c r="A1" s="936" t="s">
        <v>184</v>
      </c>
      <c r="B1" s="937"/>
      <c r="C1" s="937"/>
      <c r="D1" s="937"/>
      <c r="E1" s="937"/>
      <c r="F1" s="937"/>
      <c r="G1" s="937"/>
      <c r="H1" s="937"/>
      <c r="I1" s="937"/>
    </row>
    <row r="2" spans="1:15" ht="15">
      <c r="A2" s="22"/>
      <c r="B2" s="19">
        <f>主表7!B10</f>
        <v>-0.1</v>
      </c>
      <c r="C2" s="18"/>
      <c r="D2" s="18"/>
      <c r="E2" s="18"/>
      <c r="F2" s="18"/>
      <c r="G2" s="18"/>
      <c r="H2" s="938" t="s">
        <v>27</v>
      </c>
      <c r="I2" s="939"/>
    </row>
    <row r="3" spans="1:15" ht="15">
      <c r="A3" s="9" t="s">
        <v>28</v>
      </c>
      <c r="B3" s="14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4" t="s">
        <v>233</v>
      </c>
    </row>
    <row r="4" spans="1:15" ht="15">
      <c r="A4" s="10">
        <v>1</v>
      </c>
      <c r="B4" s="9" t="s">
        <v>9</v>
      </c>
      <c r="C4" s="15">
        <f>'主表4-1'!C4*(1+$B$2)</f>
        <v>21062</v>
      </c>
      <c r="D4" s="15">
        <f>'主表4-1'!D4*(1+$B$2)</f>
        <v>69935</v>
      </c>
      <c r="E4" s="15">
        <f>'主表4-1'!E4*(1+$B$2)</f>
        <v>16919</v>
      </c>
      <c r="F4" s="15">
        <f>'主表4-1'!F4*(1+$B$2)</f>
        <v>0</v>
      </c>
      <c r="G4" s="15">
        <f>'主表4-1'!G4*(1+$B$2)</f>
        <v>0</v>
      </c>
      <c r="H4" s="15">
        <f>'主表4-1'!H4*(1+$B$2)</f>
        <v>0</v>
      </c>
      <c r="I4" s="15">
        <f>'主表4-1'!J4*(1+$B$2)</f>
        <v>107915</v>
      </c>
    </row>
    <row r="5" spans="1:15" ht="15">
      <c r="A5" s="10">
        <v>2</v>
      </c>
      <c r="B5" s="9" t="s">
        <v>519</v>
      </c>
      <c r="C5" s="15">
        <f>C4/$I$4*主表2!$K$36</f>
        <v>18383</v>
      </c>
      <c r="D5" s="15">
        <f>D4/$I$4*主表2!$K$36</f>
        <v>61038</v>
      </c>
      <c r="E5" s="15">
        <f>主表2!K36-'收入-10% 4_1'!D5-'收入-10% 4_1'!C5</f>
        <v>14766</v>
      </c>
      <c r="F5" s="15">
        <f>F4/$I$4*主表2!$K$36</f>
        <v>0</v>
      </c>
      <c r="G5" s="15">
        <f>G4/$I$4*主表2!$K$36</f>
        <v>0</v>
      </c>
      <c r="H5" s="15">
        <f>H4/$I$4*主表2!$K$36</f>
        <v>0</v>
      </c>
      <c r="I5" s="15">
        <f t="shared" ref="I5:I20" si="0">SUM(C5:H5)</f>
        <v>94187</v>
      </c>
    </row>
    <row r="6" spans="1:15" ht="15">
      <c r="A6" s="10">
        <v>3</v>
      </c>
      <c r="B6" s="9" t="s">
        <v>240</v>
      </c>
      <c r="C6" s="15">
        <f>底表1!F12*(1+$B$2)</f>
        <v>632</v>
      </c>
      <c r="D6" s="15">
        <f>底表1!H12*(1+$B$2)</f>
        <v>2098</v>
      </c>
      <c r="E6" s="15">
        <f>底表1!J12*(1+$B$2)</f>
        <v>0</v>
      </c>
      <c r="F6" s="15">
        <f>底表1!L12*(1+$B$2)</f>
        <v>0</v>
      </c>
      <c r="G6" s="15">
        <f>底表1!N12*(1+$B$2)</f>
        <v>0</v>
      </c>
      <c r="H6" s="15">
        <f>底表1!P12*(1+$B$2)</f>
        <v>0</v>
      </c>
      <c r="I6" s="15">
        <f t="shared" si="0"/>
        <v>2730</v>
      </c>
    </row>
    <row r="7" spans="1:15" ht="15">
      <c r="A7" s="10">
        <v>4</v>
      </c>
      <c r="B7" s="9" t="s">
        <v>38</v>
      </c>
      <c r="C7" s="15"/>
      <c r="D7" s="15"/>
      <c r="E7" s="15"/>
      <c r="F7" s="15"/>
      <c r="G7" s="15"/>
      <c r="H7" s="15"/>
      <c r="I7" s="15">
        <f t="shared" si="0"/>
        <v>0</v>
      </c>
    </row>
    <row r="8" spans="1:15" ht="15">
      <c r="A8" s="10">
        <v>5</v>
      </c>
      <c r="B8" s="9" t="s">
        <v>39</v>
      </c>
      <c r="C8" s="15">
        <f>ROUND(C4*2%,0)</f>
        <v>421</v>
      </c>
      <c r="D8" s="15">
        <f>ROUND(D4*2%,0)</f>
        <v>1399</v>
      </c>
      <c r="E8" s="15">
        <f>ROUND(E4*2%,0)</f>
        <v>338</v>
      </c>
      <c r="F8" s="15">
        <f>F4/$I$4*$I$8</f>
        <v>0</v>
      </c>
      <c r="G8" s="15">
        <f>G4/$I$4*$I$8</f>
        <v>0</v>
      </c>
      <c r="H8" s="15">
        <f>H4/$I$4*$I$8</f>
        <v>0</v>
      </c>
      <c r="I8" s="507">
        <f>IF(I4/(I5+I6+I7+I9+I10+I11)-1&gt;2,((I4-3*(I5+I6+I7+I9+I10+I11))*60%+(I5+I6+I7+I9+I10+I11)*(50%+0.5*40%+0.5*30%)),IF(AND(I4/(I5+I6+I7+I9+I10+I11)-1&gt;1,I4/(I5+I6+I7+I9+I10+I11)-1&lt;=2),((I4-2*(I5+I6+I7+I9+I10+I11))*50%+(I5+I6+I7+I9+I10+I11)*(0.5*40%+0.5*30%)),IF(AND(I4/(I5+I6+I7+I9+I10+I11)-1&gt;0.5,I4/(I5+I6+I7+I9+I10+I11)-1&lt;=1),((I4-1.5*(I5+I6+I7+I9+I10+I11))*40%+(I5+I6+I7+I9+I10+I11)*0.5*30%),IF(AND(I4/(I5+I6+I7+I9+I10+I11)-1&gt;=0,I4/(I5+I6+I7+I9+I10+I11)-1&lt;=0.2,基础数据!C28="是"),0,IF(AND(I4/(I5+I6+I7+I9+I10+I11)-1&gt;=0,I4/(I5+I6+I7+I9+I10+I11)-1&lt;=0.5),((I4-1*(I5+I6+I7+I9+I10+I11))*30%))))))</f>
        <v>0</v>
      </c>
    </row>
    <row r="9" spans="1:15" ht="15">
      <c r="A9" s="10">
        <v>6</v>
      </c>
      <c r="B9" s="13" t="s">
        <v>313</v>
      </c>
      <c r="C9" s="15">
        <f>主表2!D31</f>
        <v>468</v>
      </c>
      <c r="D9" s="15">
        <f>主表2!E31</f>
        <v>1554</v>
      </c>
      <c r="E9" s="15">
        <f>主表2!F31</f>
        <v>376</v>
      </c>
      <c r="F9" s="15">
        <f>主表2!G31</f>
        <v>0</v>
      </c>
      <c r="G9" s="15">
        <f>主表2!H31</f>
        <v>0</v>
      </c>
      <c r="H9" s="15">
        <f>主表2!I31</f>
        <v>0</v>
      </c>
      <c r="I9" s="15">
        <f>SUM(C9:H9)</f>
        <v>2398</v>
      </c>
    </row>
    <row r="10" spans="1:15" ht="15">
      <c r="A10" s="10">
        <v>7</v>
      </c>
      <c r="B10" s="9" t="s">
        <v>480</v>
      </c>
      <c r="C10" s="15">
        <f>主表2!D32</f>
        <v>1694</v>
      </c>
      <c r="D10" s="15">
        <f>主表2!E32</f>
        <v>659</v>
      </c>
      <c r="E10" s="15">
        <f>主表2!F32</f>
        <v>338</v>
      </c>
      <c r="F10" s="15">
        <f>主表2!G32</f>
        <v>0</v>
      </c>
      <c r="G10" s="15">
        <f>主表2!H32</f>
        <v>0</v>
      </c>
      <c r="H10" s="15">
        <f>主表2!I32</f>
        <v>0</v>
      </c>
      <c r="I10" s="15">
        <f>SUM(C10:H10)</f>
        <v>2691</v>
      </c>
    </row>
    <row r="11" spans="1:15" ht="15">
      <c r="A11" s="10">
        <v>8</v>
      </c>
      <c r="B11" s="9" t="s">
        <v>234</v>
      </c>
      <c r="C11" s="15">
        <f>主表2!D33</f>
        <v>1081</v>
      </c>
      <c r="D11" s="15">
        <f>主表2!E33</f>
        <v>1081</v>
      </c>
      <c r="E11" s="15">
        <f>主表2!F33</f>
        <v>0</v>
      </c>
      <c r="F11" s="15">
        <f>主表2!G33</f>
        <v>0</v>
      </c>
      <c r="G11" s="15">
        <f>主表2!H33</f>
        <v>0</v>
      </c>
      <c r="H11" s="15">
        <f>主表2!I33</f>
        <v>0</v>
      </c>
      <c r="I11" s="15">
        <f>SUM(C11:H11)</f>
        <v>2162</v>
      </c>
    </row>
    <row r="12" spans="1:15" ht="15">
      <c r="A12" s="10">
        <v>9</v>
      </c>
      <c r="B12" s="17" t="s">
        <v>520</v>
      </c>
      <c r="C12" s="15">
        <f t="shared" ref="C12:H12" si="1">C4-C5-C6-C7-C8-C9-C10-C11</f>
        <v>-1617</v>
      </c>
      <c r="D12" s="15">
        <f t="shared" si="1"/>
        <v>2106</v>
      </c>
      <c r="E12" s="15">
        <f t="shared" si="1"/>
        <v>1101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0"/>
        <v>1590</v>
      </c>
      <c r="J12" s="31">
        <f>C12</f>
        <v>-1617</v>
      </c>
      <c r="K12" s="31">
        <f>D12+C12</f>
        <v>489</v>
      </c>
      <c r="L12" s="31">
        <f>E12+D12+C12</f>
        <v>1590</v>
      </c>
      <c r="M12" s="31">
        <f>F12+E12+D12+C12</f>
        <v>1590</v>
      </c>
      <c r="N12" s="31">
        <f>G12+F12+E12+D12+C12</f>
        <v>1590</v>
      </c>
      <c r="O12" s="31">
        <f>H12+G12+F12+E12+D12+C12</f>
        <v>1590</v>
      </c>
    </row>
    <row r="13" spans="1:15" ht="15">
      <c r="A13" s="10">
        <v>10</v>
      </c>
      <c r="B13" s="30" t="s">
        <v>241</v>
      </c>
      <c r="C13" s="15">
        <f>IF(J12&lt;=0,0,IF(J12&gt;0,C12*基础数据!$C$19))</f>
        <v>0</v>
      </c>
      <c r="D13" s="15">
        <f>IF(D12&lt;=0,0,IF(AND(J12&lt;0,K12&gt;0),K12*基础数据!$C$19,IF(K12&lt;0,0,IF(AND(J12&gt;0,K12&gt;0),D12*基础数据!$C$19))))</f>
        <v>122</v>
      </c>
      <c r="E13" s="15">
        <f>IF(E12&lt;=0,0,IF(AND(K12&lt;0,L12&gt;0),L12*基础数据!$C$19,IF(L12&lt;0,0,IF(AND(K12&gt;0,L12&gt;0),E12*基础数据!$C$19))))</f>
        <v>275</v>
      </c>
      <c r="F13" s="15">
        <f>IF(F12&lt;=0,0,IF(AND(L12&lt;0,M12&gt;0),M12*基础数据!$C$19,IF(M12&lt;0,0,IF(AND(L12&gt;0,M12&gt;0),F12*基础数据!$C$19))))</f>
        <v>0</v>
      </c>
      <c r="G13" s="15">
        <f>IF(G12&lt;=0,0,IF(AND(M12&lt;0,N12&gt;0),N12*基础数据!$C$19,IF(N12&lt;0,0,IF(AND(M12&gt;0,N12&gt;0),G12*基础数据!$C$19))))</f>
        <v>0</v>
      </c>
      <c r="H13" s="15">
        <f>IF(H12&lt;=0,0,IF(AND(N12&lt;0,O12&gt;0),O12*基础数据!$C$19,IF(O12&lt;0,0,IF(AND(N12&gt;0,O12&gt;0),H12*基础数据!$C$19))))</f>
        <v>0</v>
      </c>
      <c r="I13" s="15">
        <f t="shared" si="0"/>
        <v>397</v>
      </c>
    </row>
    <row r="14" spans="1:15" ht="15">
      <c r="A14" s="10">
        <v>11</v>
      </c>
      <c r="B14" s="9" t="s">
        <v>111</v>
      </c>
      <c r="C14" s="15">
        <f t="shared" ref="C14:H14" si="2">C12-C13</f>
        <v>-1617</v>
      </c>
      <c r="D14" s="15">
        <f t="shared" si="2"/>
        <v>1984</v>
      </c>
      <c r="E14" s="15">
        <f t="shared" si="2"/>
        <v>826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0"/>
        <v>1193</v>
      </c>
    </row>
    <row r="15" spans="1:15" ht="15">
      <c r="A15" s="10">
        <v>12</v>
      </c>
      <c r="B15" s="11" t="s">
        <v>112</v>
      </c>
      <c r="C15" s="15"/>
      <c r="D15" s="15">
        <f>C20</f>
        <v>-1617</v>
      </c>
      <c r="E15" s="15">
        <f>D20</f>
        <v>69</v>
      </c>
      <c r="F15" s="15"/>
      <c r="G15" s="15"/>
      <c r="H15" s="15"/>
      <c r="I15" s="15">
        <f t="shared" si="0"/>
        <v>-1548</v>
      </c>
    </row>
    <row r="16" spans="1:15" ht="15">
      <c r="A16" s="10">
        <v>13</v>
      </c>
      <c r="B16" s="9" t="s">
        <v>113</v>
      </c>
      <c r="C16" s="15">
        <f>C15+C14</f>
        <v>-1617</v>
      </c>
      <c r="D16" s="15">
        <f>D15+D14</f>
        <v>367</v>
      </c>
      <c r="E16" s="15">
        <f>E15+E14</f>
        <v>895</v>
      </c>
      <c r="F16" s="15"/>
      <c r="G16" s="15"/>
      <c r="H16" s="15"/>
      <c r="I16" s="15">
        <f t="shared" si="0"/>
        <v>-355</v>
      </c>
    </row>
    <row r="17" spans="1:9" ht="15">
      <c r="A17" s="10">
        <v>14</v>
      </c>
      <c r="B17" s="11" t="s">
        <v>238</v>
      </c>
      <c r="C17" s="15">
        <f>IF(C14&lt;0,0,C14*基础数据!$C$29)</f>
        <v>0</v>
      </c>
      <c r="D17" s="15">
        <f>IF(D14&lt;0,0,D14*基础数据!$C$29)</f>
        <v>298</v>
      </c>
      <c r="E17" s="15">
        <f>IF(E14&lt;0,0,E14*基础数据!$C$29)</f>
        <v>124</v>
      </c>
      <c r="F17" s="15">
        <f>IF(F14&lt;0,0,F14*基础数据!$C$29)</f>
        <v>0</v>
      </c>
      <c r="G17" s="15">
        <f>IF(G14&lt;0,0,G14*基础数据!$C$29)</f>
        <v>0</v>
      </c>
      <c r="H17" s="15">
        <f>IF(H14&lt;0,0,H14*基础数据!$C$29)</f>
        <v>0</v>
      </c>
      <c r="I17" s="15">
        <f t="shared" si="0"/>
        <v>422</v>
      </c>
    </row>
    <row r="18" spans="1:9" ht="15">
      <c r="A18" s="10">
        <v>15</v>
      </c>
      <c r="B18" s="11" t="s">
        <v>295</v>
      </c>
      <c r="C18" s="15">
        <f>IF(C14&lt;0,0,C14*基础数据!$C$30)</f>
        <v>0</v>
      </c>
      <c r="D18" s="15">
        <f>IF(D14&lt;0,0,D14*基础数据!$C$30)</f>
        <v>99</v>
      </c>
      <c r="E18" s="15">
        <f>IF(E14&lt;0,0,E14*基础数据!$C$30)</f>
        <v>41</v>
      </c>
      <c r="F18" s="15">
        <f>IF(F14&lt;0,0,F14*基础数据!$C$30)</f>
        <v>0</v>
      </c>
      <c r="G18" s="15">
        <f>IF(G14&lt;0,0,G14*基础数据!$C$30)</f>
        <v>0</v>
      </c>
      <c r="H18" s="15">
        <f>IF(H14&lt;0,0,H14*基础数据!$C$30)</f>
        <v>0</v>
      </c>
      <c r="I18" s="15">
        <f t="shared" si="0"/>
        <v>140</v>
      </c>
    </row>
    <row r="19" spans="1:9" ht="15">
      <c r="A19" s="10">
        <v>16</v>
      </c>
      <c r="B19" s="11" t="s">
        <v>239</v>
      </c>
      <c r="C19" s="15">
        <f>'主表4-1'!C19</f>
        <v>0</v>
      </c>
      <c r="D19" s="15">
        <f>'主表4-1'!D19</f>
        <v>0</v>
      </c>
      <c r="E19" s="15">
        <f>'主表4-1'!E19</f>
        <v>0</v>
      </c>
      <c r="F19" s="15">
        <f>'主表4-1'!F19</f>
        <v>0</v>
      </c>
      <c r="G19" s="15">
        <f>'主表4-1'!G19</f>
        <v>0</v>
      </c>
      <c r="H19" s="15">
        <f>'主表4-1'!H19</f>
        <v>0</v>
      </c>
      <c r="I19" s="15">
        <f t="shared" si="0"/>
        <v>0</v>
      </c>
    </row>
    <row r="20" spans="1:9" ht="15">
      <c r="A20" s="10">
        <v>17</v>
      </c>
      <c r="B20" s="9" t="s">
        <v>116</v>
      </c>
      <c r="C20" s="15">
        <f t="shared" ref="C20:H20" si="3">C16-C17-C19</f>
        <v>-1617</v>
      </c>
      <c r="D20" s="15">
        <f t="shared" si="3"/>
        <v>69</v>
      </c>
      <c r="E20" s="15">
        <f t="shared" si="3"/>
        <v>771</v>
      </c>
      <c r="F20" s="15">
        <f t="shared" si="3"/>
        <v>0</v>
      </c>
      <c r="G20" s="15">
        <f t="shared" si="3"/>
        <v>0</v>
      </c>
      <c r="H20" s="15">
        <f t="shared" si="3"/>
        <v>0</v>
      </c>
      <c r="I20" s="15">
        <f t="shared" si="0"/>
        <v>-777</v>
      </c>
    </row>
  </sheetData>
  <customSheetViews>
    <customSheetView guid="{33FE80C0-0EDF-11D4-8B3D-001060002050}" showRuler="0">
      <selection activeCell="F14" sqref="F14"/>
      <pageMargins left="0.75" right="0.75" top="1" bottom="1" header="0.5" footer="0.5"/>
      <headerFooter alignWithMargins="0"/>
    </customSheetView>
    <customSheetView guid="{62777320-11E7-11D4-8B3D-00E098726125}" showRuler="0">
      <selection activeCell="F14" sqref="F14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2"/>
  <sheetViews>
    <sheetView workbookViewId="0" xr3:uid="{2C1BA805-FFAE-53D9-94C0-3D95D45B0C9C}">
      <selection activeCell="F31" sqref="F31"/>
    </sheetView>
  </sheetViews>
  <sheetFormatPr defaultRowHeight="14.25"/>
  <cols>
    <col min="1" max="1" width="5.625" customWidth="1"/>
    <col min="2" max="2" width="17.125" bestFit="1" customWidth="1"/>
    <col min="3" max="3" width="9.125" bestFit="1" customWidth="1"/>
  </cols>
  <sheetData>
    <row r="1" spans="1:9" ht="18">
      <c r="A1" s="936" t="s">
        <v>31</v>
      </c>
      <c r="B1" s="937"/>
      <c r="C1" s="937"/>
      <c r="D1" s="937"/>
      <c r="E1" s="937"/>
      <c r="F1" s="937"/>
      <c r="G1" s="937"/>
      <c r="H1" s="2"/>
    </row>
    <row r="2" spans="1:9" ht="15">
      <c r="A2" s="5"/>
      <c r="B2" s="2"/>
      <c r="C2" s="2"/>
      <c r="D2" s="2"/>
      <c r="E2" s="2"/>
      <c r="F2" s="2"/>
      <c r="G2" s="2"/>
      <c r="H2" s="2"/>
    </row>
    <row r="3" spans="1:9" ht="15">
      <c r="A3" s="9" t="s">
        <v>28</v>
      </c>
      <c r="B3" s="14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2" t="s">
        <v>297</v>
      </c>
    </row>
    <row r="4" spans="1:9" ht="15">
      <c r="A4" s="10">
        <v>1</v>
      </c>
      <c r="B4" s="9" t="s">
        <v>32</v>
      </c>
      <c r="C4" s="15">
        <f t="shared" ref="C4:H4" si="0">SUM(C5:C8)</f>
        <v>21062</v>
      </c>
      <c r="D4" s="15">
        <f t="shared" si="0"/>
        <v>69935</v>
      </c>
      <c r="E4" s="15">
        <f t="shared" si="0"/>
        <v>16919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24">
        <f>SUM(C4:H4)</f>
        <v>107916</v>
      </c>
    </row>
    <row r="5" spans="1:9" ht="15">
      <c r="A5" s="10">
        <v>2</v>
      </c>
      <c r="B5" s="9" t="s">
        <v>9</v>
      </c>
      <c r="C5" s="15">
        <f>底表1!F5*(1+'收入-10% 4_1'!$B$2)</f>
        <v>21062</v>
      </c>
      <c r="D5" s="15">
        <f>底表1!H5*(1+'收入-10% 4_1'!$B$2)</f>
        <v>69935</v>
      </c>
      <c r="E5" s="15">
        <f>底表1!J5*(1+'收入-10% 4_1'!$B$2)</f>
        <v>16919</v>
      </c>
      <c r="F5" s="15">
        <f>底表1!L5*(1+'收入-10% 4_1'!$B$2)</f>
        <v>0</v>
      </c>
      <c r="G5" s="15">
        <f>底表1!N5*(1+'收入-10% 4_1'!$B$2)</f>
        <v>0</v>
      </c>
      <c r="H5" s="15">
        <f>底表1!P5*(1+'收入-10% 4_1'!$B$2)</f>
        <v>0</v>
      </c>
      <c r="I5" s="24">
        <f t="shared" ref="I5:I19" si="1">SUM(C5:H5)</f>
        <v>107916</v>
      </c>
    </row>
    <row r="6" spans="1:9" ht="15">
      <c r="A6" s="10">
        <v>3</v>
      </c>
      <c r="B6" s="9" t="s">
        <v>29</v>
      </c>
      <c r="C6" s="15">
        <f>'收入-10% 4_2'!C4</f>
        <v>0</v>
      </c>
      <c r="D6" s="15">
        <f>'收入-10% 4_2'!D4</f>
        <v>0</v>
      </c>
      <c r="E6" s="15">
        <f>'收入-10% 4_2'!E4</f>
        <v>0</v>
      </c>
      <c r="F6" s="15">
        <f>'收入-10% 4_2'!F4</f>
        <v>0</v>
      </c>
      <c r="G6" s="15">
        <f>'收入-10% 4_2'!G4</f>
        <v>0</v>
      </c>
      <c r="H6" s="15">
        <f>'收入-10% 4_2'!H4</f>
        <v>0</v>
      </c>
      <c r="I6" s="24">
        <f t="shared" si="1"/>
        <v>0</v>
      </c>
    </row>
    <row r="7" spans="1:9" ht="15">
      <c r="A7" s="10">
        <v>4</v>
      </c>
      <c r="B7" s="9" t="s">
        <v>33</v>
      </c>
      <c r="C7" s="15">
        <f>主表3!C7</f>
        <v>0</v>
      </c>
      <c r="D7" s="15">
        <f>主表3!D7</f>
        <v>0</v>
      </c>
      <c r="E7" s="15">
        <f>主表3!E7</f>
        <v>0</v>
      </c>
      <c r="F7" s="15">
        <f>主表3!F7</f>
        <v>0</v>
      </c>
      <c r="G7" s="15">
        <f>主表3!G7</f>
        <v>0</v>
      </c>
      <c r="H7" s="15">
        <f>主表3!H7</f>
        <v>0</v>
      </c>
      <c r="I7" s="24">
        <f t="shared" si="1"/>
        <v>0</v>
      </c>
    </row>
    <row r="8" spans="1:9" ht="15">
      <c r="A8" s="10">
        <v>5</v>
      </c>
      <c r="B8" s="11" t="s">
        <v>3</v>
      </c>
      <c r="C8" s="15"/>
      <c r="D8" s="15"/>
      <c r="E8" s="15"/>
      <c r="F8" s="15"/>
      <c r="G8" s="15"/>
      <c r="H8" s="15"/>
      <c r="I8" s="24">
        <f t="shared" si="1"/>
        <v>0</v>
      </c>
    </row>
    <row r="9" spans="1:9" ht="15">
      <c r="A9" s="10">
        <v>6</v>
      </c>
      <c r="B9" s="9" t="s">
        <v>34</v>
      </c>
      <c r="C9" s="15">
        <f t="shared" ref="C9:H9" si="2">SUM(C10:C15)</f>
        <v>62498</v>
      </c>
      <c r="D9" s="15">
        <f t="shared" si="2"/>
        <v>28901</v>
      </c>
      <c r="E9" s="15">
        <f t="shared" si="2"/>
        <v>13162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24">
        <f t="shared" si="1"/>
        <v>104561</v>
      </c>
    </row>
    <row r="10" spans="1:9" ht="15">
      <c r="A10" s="10">
        <v>7</v>
      </c>
      <c r="B10" s="9" t="s">
        <v>35</v>
      </c>
      <c r="C10" s="15">
        <f>主表2!D38</f>
        <v>61445</v>
      </c>
      <c r="D10" s="15">
        <f>主表2!E38</f>
        <v>25282</v>
      </c>
      <c r="E10" s="15">
        <f>主表2!F38</f>
        <v>12549</v>
      </c>
      <c r="F10" s="15">
        <f>主表2!G38</f>
        <v>0</v>
      </c>
      <c r="G10" s="15">
        <f>主表2!H38</f>
        <v>0</v>
      </c>
      <c r="H10" s="15">
        <f>主表2!I38</f>
        <v>0</v>
      </c>
      <c r="I10" s="24">
        <f t="shared" si="1"/>
        <v>99276</v>
      </c>
    </row>
    <row r="11" spans="1:9" ht="15">
      <c r="A11" s="10">
        <v>8</v>
      </c>
      <c r="B11" s="9" t="s">
        <v>36</v>
      </c>
      <c r="C11" s="15">
        <f>底表3!C13</f>
        <v>0</v>
      </c>
      <c r="D11" s="15">
        <f>底表3!D13</f>
        <v>0</v>
      </c>
      <c r="E11" s="15">
        <f>底表3!E13</f>
        <v>0</v>
      </c>
      <c r="F11" s="15">
        <f>底表3!F13</f>
        <v>0</v>
      </c>
      <c r="G11" s="15">
        <f>底表3!G13</f>
        <v>0</v>
      </c>
      <c r="H11" s="15">
        <f>底表3!H13</f>
        <v>0</v>
      </c>
      <c r="I11" s="24">
        <f t="shared" si="1"/>
        <v>0</v>
      </c>
    </row>
    <row r="12" spans="1:9" ht="15">
      <c r="A12" s="10">
        <v>9</v>
      </c>
      <c r="B12" s="9" t="s">
        <v>240</v>
      </c>
      <c r="C12" s="15">
        <f>'收入-10% 4_1'!C6+'收入-10% 4_2'!C6</f>
        <v>632</v>
      </c>
      <c r="D12" s="15">
        <f>'收入-10% 4_1'!D6+'收入-10% 4_2'!D6</f>
        <v>2098</v>
      </c>
      <c r="E12" s="15">
        <f>'收入-10% 4_1'!E6+'收入-10% 4_2'!E6</f>
        <v>0</v>
      </c>
      <c r="F12" s="15">
        <f>'收入-10% 4_1'!F6+'收入-10% 4_2'!F6</f>
        <v>0</v>
      </c>
      <c r="G12" s="15">
        <f>'收入-10% 4_1'!G6+'收入-10% 4_2'!G6</f>
        <v>0</v>
      </c>
      <c r="H12" s="15">
        <f>'收入-10% 4_1'!H6+'收入-10% 4_2'!H6</f>
        <v>0</v>
      </c>
      <c r="I12" s="24">
        <f t="shared" si="1"/>
        <v>2730</v>
      </c>
    </row>
    <row r="13" spans="1:9" ht="15">
      <c r="A13" s="10">
        <v>10</v>
      </c>
      <c r="B13" s="9" t="s">
        <v>39</v>
      </c>
      <c r="C13" s="15">
        <f>'收入-10% 4_1'!C8</f>
        <v>421</v>
      </c>
      <c r="D13" s="15">
        <f>'收入-10% 4_1'!D8</f>
        <v>1399</v>
      </c>
      <c r="E13" s="15">
        <f>'收入-10% 4_1'!E8</f>
        <v>338</v>
      </c>
      <c r="F13" s="15">
        <f>'收入-10% 4_1'!F8</f>
        <v>0</v>
      </c>
      <c r="G13" s="15">
        <f>'收入-10% 4_1'!G8</f>
        <v>0</v>
      </c>
      <c r="H13" s="15">
        <f>'收入-10% 4_1'!H8</f>
        <v>0</v>
      </c>
      <c r="I13" s="24">
        <f t="shared" si="1"/>
        <v>2158</v>
      </c>
    </row>
    <row r="14" spans="1:9" ht="15">
      <c r="A14" s="10">
        <v>11</v>
      </c>
      <c r="B14" s="9" t="s">
        <v>30</v>
      </c>
      <c r="C14" s="15">
        <f>'收入-10% 4_1'!C13+'收入-10% 4_2'!C8</f>
        <v>0</v>
      </c>
      <c r="D14" s="15">
        <f>'收入-10% 4_1'!D13+'收入-10% 4_2'!D8</f>
        <v>122</v>
      </c>
      <c r="E14" s="15">
        <f>'收入-10% 4_1'!E13+'收入-10% 4_2'!E8</f>
        <v>275</v>
      </c>
      <c r="F14" s="15">
        <f>'收入-10% 4_1'!F13+'收入-10% 4_2'!F8</f>
        <v>0</v>
      </c>
      <c r="G14" s="15">
        <f>'收入-10% 4_1'!G13+'收入-10% 4_2'!G8</f>
        <v>0</v>
      </c>
      <c r="H14" s="15">
        <f>'收入-10% 4_1'!H13+'收入-10% 4_2'!H8</f>
        <v>0</v>
      </c>
      <c r="I14" s="24">
        <f t="shared" si="1"/>
        <v>397</v>
      </c>
    </row>
    <row r="15" spans="1:9" ht="15">
      <c r="A15" s="10">
        <v>12</v>
      </c>
      <c r="B15" s="11"/>
      <c r="C15" s="15"/>
      <c r="D15" s="15"/>
      <c r="E15" s="15"/>
      <c r="F15" s="15"/>
      <c r="G15" s="15"/>
      <c r="H15" s="15"/>
      <c r="I15" s="24">
        <f t="shared" si="1"/>
        <v>0</v>
      </c>
    </row>
    <row r="16" spans="1:9" ht="15">
      <c r="A16" s="10">
        <v>13</v>
      </c>
      <c r="B16" s="9" t="s">
        <v>40</v>
      </c>
      <c r="C16" s="15">
        <f t="shared" ref="C16:H16" si="3">C4-C9</f>
        <v>-41436</v>
      </c>
      <c r="D16" s="15">
        <f t="shared" si="3"/>
        <v>41034</v>
      </c>
      <c r="E16" s="15">
        <f t="shared" si="3"/>
        <v>3757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24">
        <f t="shared" si="1"/>
        <v>3355</v>
      </c>
    </row>
    <row r="17" spans="1:9" ht="15">
      <c r="A17" s="10">
        <v>14</v>
      </c>
      <c r="B17" s="9" t="s">
        <v>41</v>
      </c>
      <c r="C17" s="15">
        <f>C16</f>
        <v>-41436</v>
      </c>
      <c r="D17" s="15">
        <f>C17+D16</f>
        <v>-402</v>
      </c>
      <c r="E17" s="15">
        <f>D17+E16</f>
        <v>3355</v>
      </c>
      <c r="F17" s="15"/>
      <c r="G17" s="15"/>
      <c r="H17" s="15"/>
      <c r="I17" s="24">
        <f t="shared" si="1"/>
        <v>-38483</v>
      </c>
    </row>
    <row r="18" spans="1:9" ht="15">
      <c r="A18" s="10">
        <v>15</v>
      </c>
      <c r="B18" s="9" t="s">
        <v>235</v>
      </c>
      <c r="C18" s="15">
        <f>C16/(1+$C$21)^1</f>
        <v>-36996</v>
      </c>
      <c r="D18" s="15">
        <f>D16/(1+$C$21)^2</f>
        <v>32712</v>
      </c>
      <c r="E18" s="15">
        <f>E16/(1+$C$21)^3</f>
        <v>2674</v>
      </c>
      <c r="F18" s="15">
        <f>F16/(1+$C$21)^4</f>
        <v>0</v>
      </c>
      <c r="G18" s="15">
        <f>G16/(1+$C$21)^5</f>
        <v>0</v>
      </c>
      <c r="H18" s="15">
        <f>H16/(1+$C$21)^6</f>
        <v>0</v>
      </c>
      <c r="I18" s="24">
        <f t="shared" si="1"/>
        <v>-1610</v>
      </c>
    </row>
    <row r="19" spans="1:9" ht="15">
      <c r="A19" s="10">
        <v>16</v>
      </c>
      <c r="B19" s="9" t="s">
        <v>42</v>
      </c>
      <c r="C19" s="15">
        <f>C18</f>
        <v>-36996</v>
      </c>
      <c r="D19" s="15">
        <f>C19+D18</f>
        <v>-4284</v>
      </c>
      <c r="E19" s="15">
        <f>D19+E18</f>
        <v>-1610</v>
      </c>
      <c r="F19" s="15"/>
      <c r="G19" s="15">
        <f>F19+G18</f>
        <v>0</v>
      </c>
      <c r="H19" s="15">
        <f>G19+H18</f>
        <v>0</v>
      </c>
      <c r="I19" s="24">
        <f t="shared" si="1"/>
        <v>-42890</v>
      </c>
    </row>
    <row r="20" spans="1:9" ht="15">
      <c r="A20" s="18"/>
      <c r="B20" s="18"/>
      <c r="C20" s="18"/>
      <c r="D20" s="18"/>
      <c r="E20" s="18"/>
      <c r="F20" s="18"/>
      <c r="G20" s="18"/>
      <c r="H20" s="18"/>
      <c r="I20" s="25"/>
    </row>
    <row r="21" spans="1:9" ht="15">
      <c r="A21" s="18" t="s">
        <v>410</v>
      </c>
      <c r="B21" s="18"/>
      <c r="C21" s="20">
        <f>基础数据!C10</f>
        <v>0.12</v>
      </c>
      <c r="D21" s="18" t="s">
        <v>412</v>
      </c>
      <c r="E21" s="18"/>
      <c r="F21" s="18"/>
      <c r="G21" s="28">
        <f>NPV(C21,C16:H16)</f>
        <v>-1610</v>
      </c>
      <c r="H21" s="25" t="s">
        <v>353</v>
      </c>
      <c r="I21" s="25"/>
    </row>
    <row r="22" spans="1:9" ht="15">
      <c r="A22" s="18" t="s">
        <v>411</v>
      </c>
      <c r="B22" s="18"/>
      <c r="C22" s="21">
        <f>IRR(C16:H16,0.2)</f>
        <v>7.4700000000000003E-2</v>
      </c>
      <c r="D22" s="18" t="s">
        <v>413</v>
      </c>
      <c r="E22" s="18"/>
      <c r="F22" s="18"/>
      <c r="G22" s="26">
        <f>IF(D19&gt;=0,2-D19/(D19-C19),IF(E19&gt;=0,3-E19/(E19-D19),IF(F19&gt;=0,4-F19/(F19-E19),IF(G19&gt;=0,5-G19/(G19-F19),IF(H19&gt;=0,6-H19/(H19-G19),"超出")))))</f>
        <v>4</v>
      </c>
      <c r="H22" s="25" t="s">
        <v>354</v>
      </c>
      <c r="I22" s="25"/>
    </row>
  </sheetData>
  <customSheetViews>
    <customSheetView guid="{33FE80C0-0EDF-11D4-8B3D-001060002050}" showRuler="0" topLeftCell="A8">
      <selection activeCell="G23" sqref="G23"/>
      <pageMargins left="0.75" right="0.75" top="1" bottom="1" header="0.5" footer="0.5"/>
      <headerFooter alignWithMargins="0"/>
    </customSheetView>
    <customSheetView guid="{62777320-11E7-11D4-8B3D-00E098726125}" showRuler="0" topLeftCell="A8">
      <selection activeCell="G23" sqref="G23"/>
      <pageMargins left="0.75" right="0.75" top="1" bottom="1" header="0.5" footer="0.5"/>
      <headerFooter alignWithMargins="0"/>
    </customSheetView>
  </customSheetViews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20"/>
  <sheetViews>
    <sheetView workbookViewId="0" xr3:uid="{94BC7849-1D55-59FD-A4A3-F33B65D9F6CB}">
      <selection activeCell="C8" sqref="C8"/>
    </sheetView>
  </sheetViews>
  <sheetFormatPr defaultRowHeight="14.25"/>
  <cols>
    <col min="1" max="1" width="5.875" customWidth="1"/>
    <col min="2" max="2" width="22.875" customWidth="1"/>
  </cols>
  <sheetData>
    <row r="1" spans="1:15" ht="18">
      <c r="A1" s="936" t="s">
        <v>184</v>
      </c>
      <c r="B1" s="937"/>
      <c r="C1" s="937"/>
      <c r="D1" s="937"/>
      <c r="E1" s="937"/>
      <c r="F1" s="937"/>
      <c r="G1" s="937"/>
      <c r="H1" s="937"/>
      <c r="I1" s="937"/>
    </row>
    <row r="2" spans="1:15" ht="15">
      <c r="A2" s="22"/>
      <c r="B2" s="19">
        <f>主表7!B7</f>
        <v>0.05</v>
      </c>
      <c r="C2" s="18"/>
      <c r="D2" s="18"/>
      <c r="E2" s="18"/>
      <c r="F2" s="18"/>
      <c r="G2" s="18"/>
      <c r="H2" s="938" t="s">
        <v>27</v>
      </c>
      <c r="I2" s="939"/>
    </row>
    <row r="3" spans="1:15" ht="15">
      <c r="A3" s="9" t="s">
        <v>28</v>
      </c>
      <c r="B3" s="14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4" t="s">
        <v>233</v>
      </c>
    </row>
    <row r="4" spans="1:15" ht="15">
      <c r="A4" s="10">
        <v>1</v>
      </c>
      <c r="B4" s="9" t="s">
        <v>9</v>
      </c>
      <c r="C4" s="15">
        <f>'主表4-1'!C4</f>
        <v>23402</v>
      </c>
      <c r="D4" s="15">
        <f>'主表4-1'!D4</f>
        <v>77705</v>
      </c>
      <c r="E4" s="15">
        <f>'主表4-1'!E4</f>
        <v>18799</v>
      </c>
      <c r="F4" s="15">
        <f>'主表4-1'!F4</f>
        <v>0</v>
      </c>
      <c r="G4" s="15">
        <f>'主表4-1'!G4</f>
        <v>0</v>
      </c>
      <c r="H4" s="15">
        <f>'主表4-1'!H4</f>
        <v>0</v>
      </c>
      <c r="I4" s="15">
        <f t="shared" ref="I4:I20" si="0">SUM(C4:H4)</f>
        <v>119906</v>
      </c>
    </row>
    <row r="5" spans="1:15" ht="15">
      <c r="A5" s="10">
        <v>2</v>
      </c>
      <c r="B5" s="9" t="s">
        <v>519</v>
      </c>
      <c r="C5" s="15">
        <f>C4/$I$4*主表2!$K$36*(1+$B$2)</f>
        <v>19302</v>
      </c>
      <c r="D5" s="15">
        <f>D4/$I$4*主表2!$K$36*(1+$B$2)</f>
        <v>64090</v>
      </c>
      <c r="E5" s="15">
        <f>E4/$I$4*主表2!$K$36*(1+$B$2)</f>
        <v>15505</v>
      </c>
      <c r="F5" s="15">
        <f>F4/$I$4*主表2!$K$36*(1+$B$2)</f>
        <v>0</v>
      </c>
      <c r="G5" s="15">
        <f>G4/$I$4*主表2!$K$36*(1+$B$2)</f>
        <v>0</v>
      </c>
      <c r="H5" s="15">
        <f>H4/$I$4*主表2!$K$36*(1+$B$2)</f>
        <v>0</v>
      </c>
      <c r="I5" s="15">
        <f t="shared" si="0"/>
        <v>98897</v>
      </c>
    </row>
    <row r="6" spans="1:15" ht="15">
      <c r="A6" s="10">
        <v>3</v>
      </c>
      <c r="B6" s="9" t="s">
        <v>240</v>
      </c>
      <c r="C6" s="15">
        <f>底表1!F12</f>
        <v>702</v>
      </c>
      <c r="D6" s="15">
        <f>底表1!H12</f>
        <v>2331</v>
      </c>
      <c r="E6" s="15">
        <f>底表1!J12</f>
        <v>0</v>
      </c>
      <c r="F6" s="15">
        <f>底表1!L12</f>
        <v>0</v>
      </c>
      <c r="G6" s="15">
        <f>底表1!N12</f>
        <v>0</v>
      </c>
      <c r="H6" s="15">
        <f>底表1!P12</f>
        <v>0</v>
      </c>
      <c r="I6" s="15">
        <f t="shared" si="0"/>
        <v>3033</v>
      </c>
    </row>
    <row r="7" spans="1:15" ht="15">
      <c r="A7" s="10">
        <v>4</v>
      </c>
      <c r="B7" s="9" t="s">
        <v>38</v>
      </c>
      <c r="C7" s="15"/>
      <c r="D7" s="15"/>
      <c r="E7" s="15"/>
      <c r="F7" s="15"/>
      <c r="G7" s="15"/>
      <c r="H7" s="15"/>
      <c r="I7" s="15">
        <f t="shared" si="0"/>
        <v>0</v>
      </c>
    </row>
    <row r="8" spans="1:15" ht="15">
      <c r="A8" s="10">
        <v>5</v>
      </c>
      <c r="B8" s="9" t="s">
        <v>39</v>
      </c>
      <c r="C8" s="15">
        <f>ROUND(C4*2%,0)</f>
        <v>468</v>
      </c>
      <c r="D8" s="15">
        <f>ROUND(D4*2%,0)</f>
        <v>1554</v>
      </c>
      <c r="E8" s="15">
        <f>ROUND(E4*2%,0)</f>
        <v>376</v>
      </c>
      <c r="F8" s="15">
        <f>F4/$I$4*$I$8</f>
        <v>0</v>
      </c>
      <c r="G8" s="15">
        <f>G4/$I$4*$I$8</f>
        <v>0</v>
      </c>
      <c r="H8" s="15">
        <f>H4/$I$4*$I$8</f>
        <v>0</v>
      </c>
      <c r="I8" s="15">
        <f>IF(I4/(I5+I6+I7+I9+I10+I11)-1&gt;2,((I4-3*(I5+I6+I7+I9+I10+I11))*60%+(I5+I6+I7+I9+I10+I11)*(50%+0.5*40%+0.5*30%)),IF(AND(I4/(I5+I6+I7+I9+I10+I11)-1&gt;1,I4/(I5+I6+I7+I9+I10+I11)-1&lt;=2),((I4-2*(I5+I6+I7+I9+I10+I11))*50%+(I5+I6+I7+I9+I10+I11)*(0.5*40%+0.5*30%)),IF(AND(I4/(I5+I6+I7+I9+I10+I11)-1&gt;0.5,I4/(I5+I6+I7+I9+I10+I11)-1&lt;=1),((I4-1.5*(I5+I6+I7+I9+I10+I11))*40%+(I5+I6+I7+I9+I10+I11)*0.5*30%),IF(AND(I4/(I5+I6+I7+I9+I10+I11)-1&gt;=0,I4/(I5+I6+I7+I9+I10+I11)-1&lt;=0.2,基础数据!C28="是"),0,IF(AND(I4/(I5+I6+I7+I9+I10+I11)-1&gt;=0,I4/(I5+I6+I7+I9+I10+I11)-1&lt;=0.5),((I4-1*(I5+I6+I7+I9+I10+I11))*30%))))))</f>
        <v>0</v>
      </c>
    </row>
    <row r="9" spans="1:15" ht="15">
      <c r="A9" s="10">
        <v>6</v>
      </c>
      <c r="B9" s="9" t="s">
        <v>313</v>
      </c>
      <c r="C9" s="15">
        <f>主表2!D31</f>
        <v>468</v>
      </c>
      <c r="D9" s="15">
        <f>主表2!E31</f>
        <v>1554</v>
      </c>
      <c r="E9" s="15">
        <f>主表2!F31</f>
        <v>376</v>
      </c>
      <c r="F9" s="15">
        <f>主表2!G31</f>
        <v>0</v>
      </c>
      <c r="G9" s="15">
        <f>主表2!H31</f>
        <v>0</v>
      </c>
      <c r="H9" s="15">
        <f>主表2!I31</f>
        <v>0</v>
      </c>
      <c r="I9" s="15">
        <f>SUM(C9:H9)</f>
        <v>2398</v>
      </c>
    </row>
    <row r="10" spans="1:15" ht="15">
      <c r="A10" s="10">
        <v>7</v>
      </c>
      <c r="B10" s="9" t="s">
        <v>480</v>
      </c>
      <c r="C10" s="15">
        <f>主表2!D32</f>
        <v>1694</v>
      </c>
      <c r="D10" s="15">
        <f>主表2!E32</f>
        <v>659</v>
      </c>
      <c r="E10" s="15">
        <f>主表2!F32</f>
        <v>338</v>
      </c>
      <c r="F10" s="15">
        <f>主表2!G32</f>
        <v>0</v>
      </c>
      <c r="G10" s="15">
        <f>主表2!H32</f>
        <v>0</v>
      </c>
      <c r="H10" s="15">
        <f>主表2!I32</f>
        <v>0</v>
      </c>
      <c r="I10" s="15">
        <f>SUM(C10:H10)</f>
        <v>2691</v>
      </c>
    </row>
    <row r="11" spans="1:15" ht="15">
      <c r="A11" s="10">
        <v>8</v>
      </c>
      <c r="B11" s="9" t="s">
        <v>234</v>
      </c>
      <c r="C11" s="15">
        <f>主表2!D33</f>
        <v>1081</v>
      </c>
      <c r="D11" s="15">
        <f>主表2!E33</f>
        <v>1081</v>
      </c>
      <c r="E11" s="15">
        <f>主表2!F33</f>
        <v>0</v>
      </c>
      <c r="F11" s="15">
        <f>主表2!G33</f>
        <v>0</v>
      </c>
      <c r="G11" s="15">
        <f>主表2!H33</f>
        <v>0</v>
      </c>
      <c r="H11" s="15">
        <f>主表2!I33</f>
        <v>0</v>
      </c>
      <c r="I11" s="15">
        <f>SUM(C11:H11)</f>
        <v>2162</v>
      </c>
    </row>
    <row r="12" spans="1:15" ht="15">
      <c r="A12" s="10">
        <v>9</v>
      </c>
      <c r="B12" s="17" t="s">
        <v>520</v>
      </c>
      <c r="C12" s="15">
        <f t="shared" ref="C12:H12" si="1">C4-C5-C6-C7-C8-C9-C10-C11</f>
        <v>-313</v>
      </c>
      <c r="D12" s="15">
        <f t="shared" si="1"/>
        <v>6436</v>
      </c>
      <c r="E12" s="15">
        <f t="shared" si="1"/>
        <v>2204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0"/>
        <v>8327</v>
      </c>
      <c r="J12" s="31">
        <f>C12</f>
        <v>-313</v>
      </c>
      <c r="K12" s="31">
        <f>D12+C12</f>
        <v>6123</v>
      </c>
      <c r="L12" s="31">
        <f>E12+D12+C12</f>
        <v>8327</v>
      </c>
      <c r="M12" s="31">
        <f>F12+E12+D12+C12</f>
        <v>8327</v>
      </c>
      <c r="N12" s="31">
        <f>G12+F12+E12+D12+C12</f>
        <v>8327</v>
      </c>
      <c r="O12" s="31">
        <f>H12+G12+F12+E12+D12+C12</f>
        <v>8327</v>
      </c>
    </row>
    <row r="13" spans="1:15" ht="15">
      <c r="A13" s="10">
        <v>10</v>
      </c>
      <c r="B13" s="9" t="s">
        <v>241</v>
      </c>
      <c r="C13" s="29">
        <f>IF(J12&lt;=0,0,IF(J12&gt;0,C12*基础数据!$C$19))</f>
        <v>0</v>
      </c>
      <c r="D13" s="29">
        <f>IF(D12&lt;=0,0,IF(AND(J12&lt;0,K12&gt;0),K12*基础数据!$C$19,IF(K12&lt;0,0,IF(AND(J12&gt;0,K12&gt;0),D12*基础数据!$C$19))))</f>
        <v>1531</v>
      </c>
      <c r="E13" s="29">
        <f>IF(E12&lt;=0,0,IF(AND(K12&lt;0,L12&gt;0),L12*基础数据!$C$19,IF(L12&lt;0,0,IF(AND(K12&gt;0,L12&gt;0),E12*基础数据!$C$19))))</f>
        <v>551</v>
      </c>
      <c r="F13" s="29">
        <f>IF(F12&lt;=0,0,IF(AND(L12&lt;0,M12&gt;0),M12*基础数据!$C$19,IF(M12&lt;0,0,IF(AND(L12&gt;0,M12&gt;0),F12*基础数据!$C$19))))</f>
        <v>0</v>
      </c>
      <c r="G13" s="29">
        <f>IF(G12&lt;=0,0,IF(AND(M12&lt;0,N12&gt;0),N12*基础数据!$C$19,IF(N12&lt;0,0,IF(AND(M12&gt;0,N12&gt;0),G12*基础数据!$C$19))))</f>
        <v>0</v>
      </c>
      <c r="H13" s="29">
        <f>IF(H12&lt;=0,0,IF(AND(N12&lt;0,O12&gt;0),O12*基础数据!$C$19,IF(O12&lt;0,0,IF(AND(N12&gt;0,O12&gt;0),H12*基础数据!$C$19))))</f>
        <v>0</v>
      </c>
      <c r="I13" s="15">
        <f t="shared" si="0"/>
        <v>2082</v>
      </c>
    </row>
    <row r="14" spans="1:15" ht="15">
      <c r="A14" s="10">
        <v>11</v>
      </c>
      <c r="B14" s="9" t="s">
        <v>111</v>
      </c>
      <c r="C14" s="15">
        <f t="shared" ref="C14:H14" si="2">C12-C13</f>
        <v>-313</v>
      </c>
      <c r="D14" s="15">
        <f t="shared" si="2"/>
        <v>4905</v>
      </c>
      <c r="E14" s="15">
        <f t="shared" si="2"/>
        <v>1653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0"/>
        <v>6245</v>
      </c>
    </row>
    <row r="15" spans="1:15" ht="15">
      <c r="A15" s="10">
        <v>12</v>
      </c>
      <c r="B15" s="11" t="s">
        <v>112</v>
      </c>
      <c r="C15" s="15"/>
      <c r="D15" s="15">
        <f>C20</f>
        <v>-313</v>
      </c>
      <c r="E15" s="15">
        <f>D20</f>
        <v>3856</v>
      </c>
      <c r="F15" s="15"/>
      <c r="G15" s="15"/>
      <c r="H15" s="15"/>
      <c r="I15" s="15">
        <f t="shared" si="0"/>
        <v>3543</v>
      </c>
    </row>
    <row r="16" spans="1:15" ht="15">
      <c r="A16" s="10">
        <v>13</v>
      </c>
      <c r="B16" s="9" t="s">
        <v>113</v>
      </c>
      <c r="C16" s="15">
        <f>C15+C14</f>
        <v>-313</v>
      </c>
      <c r="D16" s="15">
        <f>D15+D14</f>
        <v>4592</v>
      </c>
      <c r="E16" s="15">
        <f>E15+E14</f>
        <v>5509</v>
      </c>
      <c r="F16" s="15"/>
      <c r="G16" s="15"/>
      <c r="H16" s="15"/>
      <c r="I16" s="15">
        <f t="shared" si="0"/>
        <v>9788</v>
      </c>
    </row>
    <row r="17" spans="1:9" ht="15">
      <c r="A17" s="10">
        <v>14</v>
      </c>
      <c r="B17" s="11" t="s">
        <v>238</v>
      </c>
      <c r="C17" s="15">
        <f>IF(C14&lt;0,0,C14*基础数据!$C$29)</f>
        <v>0</v>
      </c>
      <c r="D17" s="15">
        <f>IF(D14&lt;0,0,D14*基础数据!$C$29)</f>
        <v>736</v>
      </c>
      <c r="E17" s="15">
        <f>IF(E14&lt;0,0,E14*基础数据!$C$29)</f>
        <v>248</v>
      </c>
      <c r="F17" s="15">
        <f>IF(F14&lt;0,0,F14*基础数据!$C$29)</f>
        <v>0</v>
      </c>
      <c r="G17" s="15">
        <f>IF(G14&lt;0,0,G14*基础数据!$C$29)</f>
        <v>0</v>
      </c>
      <c r="H17" s="15">
        <f>IF(H14&lt;0,0,H14*基础数据!$C$29)</f>
        <v>0</v>
      </c>
      <c r="I17" s="15">
        <f t="shared" si="0"/>
        <v>984</v>
      </c>
    </row>
    <row r="18" spans="1:9" ht="15">
      <c r="A18" s="10">
        <v>15</v>
      </c>
      <c r="B18" s="11" t="s">
        <v>295</v>
      </c>
      <c r="C18" s="15">
        <f>IF(C14&lt;0,0,C14*基础数据!$C$30)</f>
        <v>0</v>
      </c>
      <c r="D18" s="15">
        <f>IF(D14&lt;0,0,D14*基础数据!$C$30)</f>
        <v>245</v>
      </c>
      <c r="E18" s="15">
        <f>IF(E14&lt;0,0,E14*基础数据!$C$30)</f>
        <v>83</v>
      </c>
      <c r="F18" s="15">
        <f>IF(F14&lt;0,0,F14*基础数据!$C$30)</f>
        <v>0</v>
      </c>
      <c r="G18" s="15">
        <f>IF(G14&lt;0,0,G14*基础数据!$C$30)</f>
        <v>0</v>
      </c>
      <c r="H18" s="15">
        <f>IF(H14&lt;0,0,H14*基础数据!$C$30)</f>
        <v>0</v>
      </c>
      <c r="I18" s="15">
        <f t="shared" si="0"/>
        <v>328</v>
      </c>
    </row>
    <row r="19" spans="1:9" ht="15">
      <c r="A19" s="10">
        <v>16</v>
      </c>
      <c r="B19" s="11" t="s">
        <v>239</v>
      </c>
      <c r="C19" s="15">
        <f>'主表4-1'!C19</f>
        <v>0</v>
      </c>
      <c r="D19" s="15">
        <f>'主表4-1'!D19</f>
        <v>0</v>
      </c>
      <c r="E19" s="15">
        <f>'主表4-1'!E19</f>
        <v>0</v>
      </c>
      <c r="F19" s="15">
        <f>'主表4-1'!F19</f>
        <v>0</v>
      </c>
      <c r="G19" s="15">
        <f>'主表4-1'!G19</f>
        <v>0</v>
      </c>
      <c r="H19" s="15">
        <f>'主表4-1'!H19</f>
        <v>0</v>
      </c>
      <c r="I19" s="15">
        <f t="shared" si="0"/>
        <v>0</v>
      </c>
    </row>
    <row r="20" spans="1:9" ht="15">
      <c r="A20" s="10">
        <v>17</v>
      </c>
      <c r="B20" s="9" t="s">
        <v>116</v>
      </c>
      <c r="C20" s="15">
        <f t="shared" ref="C20:H20" si="3">C16-C17-C19</f>
        <v>-313</v>
      </c>
      <c r="D20" s="15">
        <f t="shared" si="3"/>
        <v>3856</v>
      </c>
      <c r="E20" s="15">
        <f t="shared" si="3"/>
        <v>5261</v>
      </c>
      <c r="F20" s="15">
        <f t="shared" si="3"/>
        <v>0</v>
      </c>
      <c r="G20" s="15">
        <f t="shared" si="3"/>
        <v>0</v>
      </c>
      <c r="H20" s="15">
        <f t="shared" si="3"/>
        <v>0</v>
      </c>
      <c r="I20" s="15">
        <f t="shared" si="0"/>
        <v>8804</v>
      </c>
    </row>
  </sheetData>
  <customSheetViews>
    <customSheetView guid="{33FE80C0-0EDF-11D4-8B3D-001060002050}" showRuler="0">
      <selection activeCell="C15" sqref="C15:H15"/>
      <pageMargins left="0.75" right="0.75" top="1" bottom="1" header="0.5" footer="0.5"/>
      <headerFooter alignWithMargins="0"/>
    </customSheetView>
    <customSheetView guid="{62777320-11E7-11D4-8B3D-00E098726125}" showRuler="0">
      <selection activeCell="C15" sqref="C15:H15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3"/>
  <sheetViews>
    <sheetView workbookViewId="0" xr3:uid="{F4A53677-9E12-59C4-BAB1-211CDE2C826E}">
      <selection activeCell="C22" sqref="C22"/>
    </sheetView>
  </sheetViews>
  <sheetFormatPr defaultRowHeight="14.25"/>
  <cols>
    <col min="1" max="1" width="5.25" customWidth="1"/>
    <col min="2" max="2" width="17.125" bestFit="1" customWidth="1"/>
    <col min="3" max="3" width="9.125" bestFit="1" customWidth="1"/>
  </cols>
  <sheetData>
    <row r="1" spans="1:9" ht="18">
      <c r="A1" s="936" t="s">
        <v>31</v>
      </c>
      <c r="B1" s="937"/>
      <c r="C1" s="937"/>
      <c r="D1" s="937"/>
      <c r="E1" s="937"/>
      <c r="F1" s="937"/>
      <c r="G1" s="937"/>
      <c r="H1" s="2"/>
    </row>
    <row r="2" spans="1:9" ht="15">
      <c r="A2" s="5"/>
      <c r="B2" s="2"/>
      <c r="C2" s="2"/>
      <c r="D2" s="2"/>
      <c r="E2" s="2"/>
      <c r="F2" s="2"/>
      <c r="G2" s="2"/>
      <c r="H2" s="2"/>
    </row>
    <row r="3" spans="1:9" ht="15">
      <c r="A3" s="9" t="s">
        <v>28</v>
      </c>
      <c r="B3" s="14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2" t="s">
        <v>297</v>
      </c>
    </row>
    <row r="4" spans="1:9" ht="15">
      <c r="A4" s="10">
        <v>1</v>
      </c>
      <c r="B4" s="9" t="s">
        <v>32</v>
      </c>
      <c r="C4" s="15">
        <f t="shared" ref="C4:H4" si="0">SUM(C5:C8)</f>
        <v>23402</v>
      </c>
      <c r="D4" s="15">
        <f t="shared" si="0"/>
        <v>77705</v>
      </c>
      <c r="E4" s="15">
        <f t="shared" si="0"/>
        <v>18799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24">
        <f>SUM(C4:H4)</f>
        <v>119906</v>
      </c>
    </row>
    <row r="5" spans="1:9" ht="15">
      <c r="A5" s="10">
        <v>2</v>
      </c>
      <c r="B5" s="9" t="s">
        <v>9</v>
      </c>
      <c r="C5" s="15">
        <f>底表1!F5</f>
        <v>23402</v>
      </c>
      <c r="D5" s="15">
        <f>底表1!H5</f>
        <v>77705</v>
      </c>
      <c r="E5" s="15">
        <f>底表1!J5</f>
        <v>18799</v>
      </c>
      <c r="F5" s="15">
        <f>底表1!L5</f>
        <v>0</v>
      </c>
      <c r="G5" s="15">
        <f>底表1!N5</f>
        <v>0</v>
      </c>
      <c r="H5" s="15">
        <f>底表1!P5</f>
        <v>0</v>
      </c>
      <c r="I5" s="24">
        <f t="shared" ref="I5:I19" si="1">SUM(C5:H5)</f>
        <v>119906</v>
      </c>
    </row>
    <row r="6" spans="1:9" ht="15">
      <c r="A6" s="10">
        <v>3</v>
      </c>
      <c r="B6" s="9" t="s">
        <v>29</v>
      </c>
      <c r="C6" s="15">
        <f>主表4_2!C4</f>
        <v>0</v>
      </c>
      <c r="D6" s="15">
        <f>主表4_2!D4</f>
        <v>0</v>
      </c>
      <c r="E6" s="15">
        <f>主表4_2!E4</f>
        <v>0</v>
      </c>
      <c r="F6" s="15">
        <f>主表4_2!F4</f>
        <v>0</v>
      </c>
      <c r="G6" s="15">
        <f>主表4_2!G4</f>
        <v>0</v>
      </c>
      <c r="H6" s="15">
        <f>主表4_2!H4</f>
        <v>0</v>
      </c>
      <c r="I6" s="24">
        <f t="shared" si="1"/>
        <v>0</v>
      </c>
    </row>
    <row r="7" spans="1:9" ht="15">
      <c r="A7" s="10">
        <v>4</v>
      </c>
      <c r="B7" s="9" t="s">
        <v>33</v>
      </c>
      <c r="C7" s="15">
        <f>主表3!C7</f>
        <v>0</v>
      </c>
      <c r="D7" s="15">
        <f>主表3!D7</f>
        <v>0</v>
      </c>
      <c r="E7" s="15">
        <f>主表3!E7</f>
        <v>0</v>
      </c>
      <c r="F7" s="15">
        <f>主表3!F7</f>
        <v>0</v>
      </c>
      <c r="G7" s="15">
        <f>主表3!G7</f>
        <v>0</v>
      </c>
      <c r="H7" s="15">
        <f>主表3!H7</f>
        <v>0</v>
      </c>
      <c r="I7" s="24">
        <f t="shared" si="1"/>
        <v>0</v>
      </c>
    </row>
    <row r="8" spans="1:9" ht="15">
      <c r="A8" s="10">
        <v>5</v>
      </c>
      <c r="B8" s="11" t="s">
        <v>3</v>
      </c>
      <c r="C8" s="15"/>
      <c r="D8" s="15"/>
      <c r="E8" s="15"/>
      <c r="F8" s="15"/>
      <c r="G8" s="15"/>
      <c r="H8" s="15"/>
      <c r="I8" s="24">
        <f t="shared" si="1"/>
        <v>0</v>
      </c>
    </row>
    <row r="9" spans="1:9" ht="15">
      <c r="A9" s="10">
        <v>6</v>
      </c>
      <c r="B9" s="9" t="s">
        <v>34</v>
      </c>
      <c r="C9" s="15">
        <f t="shared" ref="C9:H9" si="2">SUM(C10:C15)</f>
        <v>65687</v>
      </c>
      <c r="D9" s="15">
        <f t="shared" si="2"/>
        <v>31962</v>
      </c>
      <c r="E9" s="15">
        <f t="shared" si="2"/>
        <v>14103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24">
        <f t="shared" si="1"/>
        <v>111752</v>
      </c>
    </row>
    <row r="10" spans="1:9" ht="15">
      <c r="A10" s="10">
        <v>7</v>
      </c>
      <c r="B10" s="9" t="s">
        <v>35</v>
      </c>
      <c r="C10" s="15">
        <f>主表2!D38*(1+'成本+5% 4_1'!$B$2)</f>
        <v>64517</v>
      </c>
      <c r="D10" s="15">
        <f>主表2!E38*(1+'成本+5% 4_1'!$B$2)</f>
        <v>26546</v>
      </c>
      <c r="E10" s="15">
        <f>主表2!F38*(1+'成本+5% 4_1'!$B$2)</f>
        <v>13176</v>
      </c>
      <c r="F10" s="15">
        <f>主表2!G38*(1+'成本+5% 4_1'!$B$2)</f>
        <v>0</v>
      </c>
      <c r="G10" s="15">
        <f>主表2!H38*(1+'成本+5% 4_1'!$B$2)</f>
        <v>0</v>
      </c>
      <c r="H10" s="15">
        <f>主表2!I38*(1+'成本+5% 4_1'!$B$2)</f>
        <v>0</v>
      </c>
      <c r="I10" s="24">
        <f t="shared" si="1"/>
        <v>104239</v>
      </c>
    </row>
    <row r="11" spans="1:9" ht="15">
      <c r="A11" s="10">
        <v>8</v>
      </c>
      <c r="B11" s="9" t="s">
        <v>36</v>
      </c>
      <c r="C11" s="15">
        <f>'成本+5% 4_2'!C5</f>
        <v>0</v>
      </c>
      <c r="D11" s="15">
        <f>'成本+5% 4_2'!D5</f>
        <v>0</v>
      </c>
      <c r="E11" s="15">
        <f>'成本+5% 4_2'!E5</f>
        <v>0</v>
      </c>
      <c r="F11" s="15">
        <f>'成本+5% 4_2'!F5</f>
        <v>0</v>
      </c>
      <c r="G11" s="15">
        <f>'成本+5% 4_2'!G5</f>
        <v>0</v>
      </c>
      <c r="H11" s="15">
        <f>'成本+5% 4_2'!H5</f>
        <v>0</v>
      </c>
      <c r="I11" s="24">
        <f t="shared" si="1"/>
        <v>0</v>
      </c>
    </row>
    <row r="12" spans="1:9" ht="15">
      <c r="A12" s="10">
        <v>9</v>
      </c>
      <c r="B12" s="9" t="s">
        <v>240</v>
      </c>
      <c r="C12" s="15">
        <f>'主表4-1'!C6+主表4_2!C6</f>
        <v>702</v>
      </c>
      <c r="D12" s="15">
        <f>'主表4-1'!D6+主表4_2!D6</f>
        <v>2331</v>
      </c>
      <c r="E12" s="15">
        <f>'主表4-1'!E6+主表4_2!E6</f>
        <v>0</v>
      </c>
      <c r="F12" s="15">
        <f>'主表4-1'!F6+主表4_2!F6</f>
        <v>0</v>
      </c>
      <c r="G12" s="15">
        <f>'主表4-1'!G6+主表4_2!G6</f>
        <v>0</v>
      </c>
      <c r="H12" s="15">
        <f>'主表4-1'!H6+主表4_2!H6</f>
        <v>0</v>
      </c>
      <c r="I12" s="24">
        <f t="shared" si="1"/>
        <v>3033</v>
      </c>
    </row>
    <row r="13" spans="1:9" ht="15">
      <c r="A13" s="10">
        <v>10</v>
      </c>
      <c r="B13" s="9" t="s">
        <v>39</v>
      </c>
      <c r="C13" s="15">
        <f>'成本+5% 4_1'!C8</f>
        <v>468</v>
      </c>
      <c r="D13" s="15">
        <f>'成本+5% 4_1'!D8</f>
        <v>1554</v>
      </c>
      <c r="E13" s="15">
        <f>'成本+5% 4_1'!E8</f>
        <v>376</v>
      </c>
      <c r="F13" s="15">
        <f>'成本+5% 4_1'!F8</f>
        <v>0</v>
      </c>
      <c r="G13" s="15">
        <f>'成本+5% 4_1'!G8</f>
        <v>0</v>
      </c>
      <c r="H13" s="15">
        <f>'成本+5% 4_1'!H8</f>
        <v>0</v>
      </c>
      <c r="I13" s="24">
        <f t="shared" si="1"/>
        <v>2398</v>
      </c>
    </row>
    <row r="14" spans="1:9" ht="15">
      <c r="A14" s="10">
        <v>11</v>
      </c>
      <c r="B14" s="9" t="s">
        <v>30</v>
      </c>
      <c r="C14" s="15">
        <f>'成本+5% 4_1'!C13+'成本+5% 4_2'!C8</f>
        <v>0</v>
      </c>
      <c r="D14" s="15">
        <f>'成本+5% 4_1'!D13+'成本+5% 4_2'!D8</f>
        <v>1531</v>
      </c>
      <c r="E14" s="15">
        <f>'成本+5% 4_1'!E13+'成本+5% 4_2'!E8</f>
        <v>551</v>
      </c>
      <c r="F14" s="15">
        <f>'成本+5% 4_1'!F13+'成本+5% 4_2'!F8</f>
        <v>0</v>
      </c>
      <c r="G14" s="15">
        <f>'成本+5% 4_1'!G13+'成本+5% 4_2'!G8</f>
        <v>0</v>
      </c>
      <c r="H14" s="15">
        <f>'成本+5% 4_1'!H13+'成本+5% 4_2'!H8</f>
        <v>0</v>
      </c>
      <c r="I14" s="24">
        <f t="shared" si="1"/>
        <v>2082</v>
      </c>
    </row>
    <row r="15" spans="1:9" ht="15">
      <c r="A15" s="10">
        <v>12</v>
      </c>
      <c r="B15" s="11"/>
      <c r="C15" s="15"/>
      <c r="D15" s="15"/>
      <c r="E15" s="15"/>
      <c r="F15" s="15"/>
      <c r="G15" s="15"/>
      <c r="H15" s="15"/>
      <c r="I15" s="24">
        <f t="shared" si="1"/>
        <v>0</v>
      </c>
    </row>
    <row r="16" spans="1:9" ht="15">
      <c r="A16" s="10">
        <v>13</v>
      </c>
      <c r="B16" s="9" t="s">
        <v>40</v>
      </c>
      <c r="C16" s="15">
        <f t="shared" ref="C16:H16" si="3">C4-C9</f>
        <v>-42285</v>
      </c>
      <c r="D16" s="15">
        <f t="shared" si="3"/>
        <v>45743</v>
      </c>
      <c r="E16" s="15">
        <f t="shared" si="3"/>
        <v>4696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24">
        <f t="shared" si="1"/>
        <v>8154</v>
      </c>
    </row>
    <row r="17" spans="1:9" ht="15">
      <c r="A17" s="10">
        <v>14</v>
      </c>
      <c r="B17" s="9" t="s">
        <v>41</v>
      </c>
      <c r="C17" s="15">
        <f>C16</f>
        <v>-42285</v>
      </c>
      <c r="D17" s="15">
        <f>C17+D16</f>
        <v>3458</v>
      </c>
      <c r="E17" s="15">
        <f>D17+E16</f>
        <v>8154</v>
      </c>
      <c r="F17" s="15"/>
      <c r="G17" s="15"/>
      <c r="H17" s="15"/>
      <c r="I17" s="24">
        <f t="shared" si="1"/>
        <v>-30673</v>
      </c>
    </row>
    <row r="18" spans="1:9" ht="15">
      <c r="A18" s="10">
        <v>15</v>
      </c>
      <c r="B18" s="9" t="s">
        <v>235</v>
      </c>
      <c r="C18" s="15">
        <f>C16/(1+$C$21)^1</f>
        <v>-37754</v>
      </c>
      <c r="D18" s="15">
        <f>D16/(1+$C$21)^2</f>
        <v>36466</v>
      </c>
      <c r="E18" s="15">
        <f>E16/(1+$C$21)^3</f>
        <v>3343</v>
      </c>
      <c r="F18" s="15">
        <f>F16/(1+$C$21)^4</f>
        <v>0</v>
      </c>
      <c r="G18" s="15">
        <f>G16/(1+$C$21)^5</f>
        <v>0</v>
      </c>
      <c r="H18" s="15">
        <f>H16/(1+$C$21)^6</f>
        <v>0</v>
      </c>
      <c r="I18" s="24">
        <f t="shared" si="1"/>
        <v>2055</v>
      </c>
    </row>
    <row r="19" spans="1:9" ht="15">
      <c r="A19" s="10">
        <v>16</v>
      </c>
      <c r="B19" s="9" t="s">
        <v>42</v>
      </c>
      <c r="C19" s="15">
        <f>C18</f>
        <v>-37754</v>
      </c>
      <c r="D19" s="15">
        <f>C19+D18</f>
        <v>-1288</v>
      </c>
      <c r="E19" s="15">
        <f>D19+E18</f>
        <v>2055</v>
      </c>
      <c r="F19" s="15"/>
      <c r="G19" s="15"/>
      <c r="H19" s="15"/>
      <c r="I19" s="24">
        <f t="shared" si="1"/>
        <v>-36987</v>
      </c>
    </row>
    <row r="20" spans="1:9" ht="15">
      <c r="A20" s="18"/>
      <c r="B20" s="18"/>
      <c r="C20" s="18"/>
      <c r="D20" s="18"/>
      <c r="E20" s="18"/>
      <c r="F20" s="18"/>
      <c r="G20" s="18"/>
      <c r="H20" s="18"/>
      <c r="I20" s="25"/>
    </row>
    <row r="21" spans="1:9" ht="15">
      <c r="A21" s="18" t="s">
        <v>410</v>
      </c>
      <c r="B21" s="18"/>
      <c r="C21" s="20">
        <f>基础数据!C10</f>
        <v>0.12</v>
      </c>
      <c r="D21" s="18" t="s">
        <v>412</v>
      </c>
      <c r="E21" s="18"/>
      <c r="F21" s="18"/>
      <c r="G21" s="28">
        <f>NPV(C21,C16:H16)</f>
        <v>2054</v>
      </c>
      <c r="H21" s="25" t="s">
        <v>353</v>
      </c>
      <c r="I21" s="25"/>
    </row>
    <row r="22" spans="1:9" ht="15">
      <c r="A22" s="18" t="s">
        <v>411</v>
      </c>
      <c r="B22" s="18"/>
      <c r="C22" s="21">
        <f>IRR(C16:H16,0.2)</f>
        <v>0.1762</v>
      </c>
      <c r="D22" s="18" t="s">
        <v>413</v>
      </c>
      <c r="E22" s="18"/>
      <c r="F22" s="18"/>
      <c r="G22" s="26">
        <f>IF(D19&gt;=0,2-D19/(D19-C19),IF(E19&gt;=0,3-E19/(E19-D19),IF(F19&gt;=0,4-F19/(F19-E19),IF(G19&gt;=0,5-G19/(G19-F19),IF(H19&gt;=0,6-H19/(H19-G19),"超出")))))</f>
        <v>2.39</v>
      </c>
      <c r="H22" s="25" t="s">
        <v>354</v>
      </c>
      <c r="I22" s="25"/>
    </row>
    <row r="23" spans="1:9">
      <c r="H23" s="27"/>
    </row>
  </sheetData>
  <customSheetViews>
    <customSheetView guid="{33FE80C0-0EDF-11D4-8B3D-001060002050}" showRuler="0" topLeftCell="A8">
      <selection activeCell="C23" sqref="C23"/>
      <pageMargins left="0.75" right="0.75" top="1" bottom="1" header="0.5" footer="0.5"/>
      <headerFooter alignWithMargins="0"/>
    </customSheetView>
    <customSheetView guid="{62777320-11E7-11D4-8B3D-00E098726125}" showRuler="0" topLeftCell="A8">
      <selection activeCell="C23" sqref="C23"/>
      <pageMargins left="0.75" right="0.75" top="1" bottom="1" header="0.5" footer="0.5"/>
      <headerFooter alignWithMargins="0"/>
    </customSheetView>
  </customSheetViews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0"/>
  <sheetViews>
    <sheetView workbookViewId="0" xr3:uid="{23B2C380-326F-580B-8990-D38B2516F165}">
      <selection activeCell="C8" sqref="C8"/>
    </sheetView>
  </sheetViews>
  <sheetFormatPr defaultRowHeight="14.25"/>
  <cols>
    <col min="1" max="1" width="5" customWidth="1"/>
    <col min="2" max="2" width="23.25" customWidth="1"/>
    <col min="3" max="3" width="9.125" bestFit="1" customWidth="1"/>
  </cols>
  <sheetData>
    <row r="1" spans="1:15" ht="18">
      <c r="A1" s="936" t="s">
        <v>184</v>
      </c>
      <c r="B1" s="937"/>
      <c r="C1" s="937"/>
      <c r="D1" s="937"/>
      <c r="E1" s="937"/>
      <c r="F1" s="937"/>
      <c r="G1" s="937"/>
      <c r="H1" s="937"/>
      <c r="I1" s="937"/>
    </row>
    <row r="2" spans="1:15" ht="15">
      <c r="A2" s="22"/>
      <c r="B2" s="19">
        <f>主表7!B8</f>
        <v>0.1</v>
      </c>
      <c r="C2" s="18"/>
      <c r="D2" s="18"/>
      <c r="E2" s="18"/>
      <c r="F2" s="18"/>
      <c r="G2" s="18"/>
      <c r="H2" s="938" t="s">
        <v>27</v>
      </c>
      <c r="I2" s="939"/>
    </row>
    <row r="3" spans="1:15" ht="15">
      <c r="A3" s="9" t="s">
        <v>28</v>
      </c>
      <c r="B3" s="14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4" t="s">
        <v>233</v>
      </c>
    </row>
    <row r="4" spans="1:15" ht="15">
      <c r="A4" s="10">
        <v>1</v>
      </c>
      <c r="B4" s="9" t="s">
        <v>9</v>
      </c>
      <c r="C4" s="15">
        <f>'主表4-1'!C4</f>
        <v>23402</v>
      </c>
      <c r="D4" s="15">
        <f>'主表4-1'!D4</f>
        <v>77705</v>
      </c>
      <c r="E4" s="15">
        <f>'主表4-1'!E4</f>
        <v>18799</v>
      </c>
      <c r="F4" s="15">
        <f>'主表4-1'!F4</f>
        <v>0</v>
      </c>
      <c r="G4" s="15">
        <f>'主表4-1'!G4</f>
        <v>0</v>
      </c>
      <c r="H4" s="15">
        <f>'主表4-1'!H4</f>
        <v>0</v>
      </c>
      <c r="I4" s="15">
        <f t="shared" ref="I4:I20" si="0">SUM(C4:H4)</f>
        <v>119906</v>
      </c>
    </row>
    <row r="5" spans="1:15" ht="15">
      <c r="A5" s="10">
        <v>2</v>
      </c>
      <c r="B5" s="9" t="s">
        <v>519</v>
      </c>
      <c r="C5" s="15">
        <f>C4/$I$4*主表2!$K$36*(1+$B$2)</f>
        <v>20221</v>
      </c>
      <c r="D5" s="15">
        <f>D4/$I$4*主表2!$K$36*(1+$B$2)</f>
        <v>67142</v>
      </c>
      <c r="E5" s="15">
        <f>E4/$I$4*主表2!$K$36*(1+$B$2)</f>
        <v>16243</v>
      </c>
      <c r="F5" s="15">
        <f>F4/$I$4*主表2!$K$36*(1+$B$2)</f>
        <v>0</v>
      </c>
      <c r="G5" s="15">
        <f>G4/$I$4*主表2!$K$36*(1+$B$2)</f>
        <v>0</v>
      </c>
      <c r="H5" s="15">
        <f>H4/$I$4*主表2!$K$36*(1+$B$2)</f>
        <v>0</v>
      </c>
      <c r="I5" s="15">
        <f t="shared" si="0"/>
        <v>103606</v>
      </c>
    </row>
    <row r="6" spans="1:15" ht="15">
      <c r="A6" s="10">
        <v>3</v>
      </c>
      <c r="B6" s="9" t="s">
        <v>240</v>
      </c>
      <c r="C6" s="15">
        <f>底表1!F12</f>
        <v>702</v>
      </c>
      <c r="D6" s="15">
        <f>底表1!H12</f>
        <v>2331</v>
      </c>
      <c r="E6" s="15">
        <f>底表1!J12</f>
        <v>0</v>
      </c>
      <c r="F6" s="15">
        <f>底表1!L12</f>
        <v>0</v>
      </c>
      <c r="G6" s="15">
        <f>底表1!N12</f>
        <v>0</v>
      </c>
      <c r="H6" s="15">
        <f>底表1!P12</f>
        <v>0</v>
      </c>
      <c r="I6" s="15">
        <f t="shared" si="0"/>
        <v>3033</v>
      </c>
    </row>
    <row r="7" spans="1:15" ht="15">
      <c r="A7" s="10">
        <v>4</v>
      </c>
      <c r="B7" s="9" t="s">
        <v>38</v>
      </c>
      <c r="C7" s="15"/>
      <c r="D7" s="15"/>
      <c r="E7" s="15"/>
      <c r="F7" s="15"/>
      <c r="G7" s="15"/>
      <c r="H7" s="15"/>
      <c r="I7" s="15">
        <f t="shared" si="0"/>
        <v>0</v>
      </c>
    </row>
    <row r="8" spans="1:15" ht="15">
      <c r="A8" s="10">
        <v>5</v>
      </c>
      <c r="B8" s="9" t="s">
        <v>39</v>
      </c>
      <c r="C8" s="15">
        <f>ROUND(C4*2%,0)</f>
        <v>468</v>
      </c>
      <c r="D8" s="15">
        <f>ROUND(D4*2%,0)</f>
        <v>1554</v>
      </c>
      <c r="E8" s="15">
        <f>ROUND(E4*2%,0)</f>
        <v>376</v>
      </c>
      <c r="F8" s="15">
        <f>F4/$I$4*$I$8</f>
        <v>0</v>
      </c>
      <c r="G8" s="15">
        <f>G4/$I$4*$I$8</f>
        <v>0</v>
      </c>
      <c r="H8" s="15">
        <f>H4/$I$4*$I$8</f>
        <v>0</v>
      </c>
      <c r="I8" s="15">
        <f>IF(I4/(I5+I6+I7+I9+I10+I11)-1&gt;2,((I4-3*(I5+I6+I7+I9+I10+I11))*60%+(I5+I6+I7+I9+I10+I11)*(50%+0.5*40%+0.5*30%)),IF(AND(I4/(I5+I6+I7+I9+I10+I11)-1&gt;1,I4/(I5+I6+I7+I9+I10+I11)-1&lt;=2),((I4-2*(I5+I6+I7+I9+I10+I11))*50%+(I5+I6+I7+I9+I10+I11)*(0.5*40%+0.5*30%)),IF(AND(I4/(I5+I6+I7+I9+I10+I11)-1&gt;0.5,I4/(I5+I6+I7+I9+I10+I11)-1&lt;=1),((I4-1.5*(I5+I6+I7+I9+I10+I11))*40%+(I5+I6+I7+I9+I10+I11)*0.5*30%),IF(AND(I4/(I5+I6+I7+I9+I10+I11)-1&gt;=0,I4/(I5+I6+I7+I9+I10+I11)-1&lt;=0.2,基础数据!C28="是"),0,IF(AND(I4/(I5+I6+I7+I9+I10+I11)-1&gt;=0,I4/(I5+I6+I7+I9+I10+I11)-1&lt;=0.5),((I4-1*(I5+I6+I7+I9+I10+I11))*30%))))))</f>
        <v>0</v>
      </c>
    </row>
    <row r="9" spans="1:15" ht="15">
      <c r="A9" s="10">
        <v>6</v>
      </c>
      <c r="B9" s="9" t="s">
        <v>313</v>
      </c>
      <c r="C9" s="15">
        <f>主表2!D31</f>
        <v>468</v>
      </c>
      <c r="D9" s="15">
        <f>主表2!E31</f>
        <v>1554</v>
      </c>
      <c r="E9" s="15">
        <f>主表2!F31</f>
        <v>376</v>
      </c>
      <c r="F9" s="15">
        <f>主表2!G31</f>
        <v>0</v>
      </c>
      <c r="G9" s="15">
        <f>主表2!H31</f>
        <v>0</v>
      </c>
      <c r="H9" s="15">
        <f>主表2!I31</f>
        <v>0</v>
      </c>
      <c r="I9" s="15">
        <f>SUM(C9:H9)</f>
        <v>2398</v>
      </c>
    </row>
    <row r="10" spans="1:15" ht="15">
      <c r="A10" s="10">
        <v>7</v>
      </c>
      <c r="B10" s="9" t="s">
        <v>480</v>
      </c>
      <c r="C10" s="15">
        <f>主表2!D32</f>
        <v>1694</v>
      </c>
      <c r="D10" s="15">
        <f>主表2!E32</f>
        <v>659</v>
      </c>
      <c r="E10" s="15">
        <f>主表2!F32</f>
        <v>338</v>
      </c>
      <c r="F10" s="15">
        <f>主表2!G32</f>
        <v>0</v>
      </c>
      <c r="G10" s="15">
        <f>主表2!H32</f>
        <v>0</v>
      </c>
      <c r="H10" s="15">
        <f>主表2!I32</f>
        <v>0</v>
      </c>
      <c r="I10" s="15">
        <f>SUM(C10:H10)</f>
        <v>2691</v>
      </c>
    </row>
    <row r="11" spans="1:15" ht="15">
      <c r="A11" s="10">
        <v>8</v>
      </c>
      <c r="B11" s="9" t="s">
        <v>234</v>
      </c>
      <c r="C11" s="15">
        <f>主表2!D33</f>
        <v>1081</v>
      </c>
      <c r="D11" s="15">
        <f>主表2!E33</f>
        <v>1081</v>
      </c>
      <c r="E11" s="15">
        <f>主表2!F33</f>
        <v>0</v>
      </c>
      <c r="F11" s="15">
        <f>主表2!G33</f>
        <v>0</v>
      </c>
      <c r="G11" s="15">
        <f>主表2!H33</f>
        <v>0</v>
      </c>
      <c r="H11" s="15">
        <f>主表2!I33</f>
        <v>0</v>
      </c>
      <c r="I11" s="15">
        <f>SUM(C11:H11)</f>
        <v>2162</v>
      </c>
    </row>
    <row r="12" spans="1:15" ht="15">
      <c r="A12" s="10">
        <v>9</v>
      </c>
      <c r="B12" s="17" t="s">
        <v>520</v>
      </c>
      <c r="C12" s="15">
        <f t="shared" ref="C12:H12" si="1">C4-C5-C6-C7-C8-C9-C10-C11</f>
        <v>-1232</v>
      </c>
      <c r="D12" s="15">
        <f t="shared" si="1"/>
        <v>3384</v>
      </c>
      <c r="E12" s="15">
        <f t="shared" si="1"/>
        <v>1466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0"/>
        <v>3618</v>
      </c>
      <c r="J12" s="31">
        <f>C12</f>
        <v>-1232</v>
      </c>
      <c r="K12" s="31">
        <f>D12+C12</f>
        <v>2152</v>
      </c>
      <c r="L12" s="31">
        <f>E12+D12+C12</f>
        <v>3618</v>
      </c>
      <c r="M12" s="31">
        <f>F12+E12+D12+C12</f>
        <v>3618</v>
      </c>
      <c r="N12" s="31">
        <f>G12+F12+E12+D12+C12</f>
        <v>3618</v>
      </c>
      <c r="O12" s="31">
        <f>H12+G12+F12+E12+D12+C12</f>
        <v>3618</v>
      </c>
    </row>
    <row r="13" spans="1:15" ht="15">
      <c r="A13" s="10">
        <v>10</v>
      </c>
      <c r="B13" s="9" t="s">
        <v>241</v>
      </c>
      <c r="C13" s="29">
        <f>IF(J12&lt;=0,0,IF(J12&gt;0,C12*基础数据!$C$19))</f>
        <v>0</v>
      </c>
      <c r="D13" s="29">
        <f>IF(D12&lt;=0,0,IF(AND(J12&lt;0,K12&gt;0),K12*基础数据!$C$19,IF(K12&lt;0,0,IF(AND(J12&gt;0,K12&gt;0),D12*基础数据!$C$19))))</f>
        <v>538</v>
      </c>
      <c r="E13" s="29">
        <f>IF(E12&lt;=0,0,IF(AND(K12&lt;0,L12&gt;0),L12*基础数据!$C$19,IF(L12&lt;0,0,IF(AND(K12&gt;0,L12&gt;0),E12*基础数据!$C$19))))</f>
        <v>367</v>
      </c>
      <c r="F13" s="29">
        <f>IF(F12&lt;=0,0,IF(AND(L12&lt;0,M12&gt;0),M12*基础数据!$C$19,IF(M12&lt;0,0,IF(AND(L12&gt;0,M12&gt;0),F12*基础数据!$C$19))))</f>
        <v>0</v>
      </c>
      <c r="G13" s="29">
        <f>IF(G12&lt;=0,0,IF(AND(M12&lt;0,N12&gt;0),N12*基础数据!$C$19,IF(N12&lt;0,0,IF(AND(M12&gt;0,N12&gt;0),G12*基础数据!$C$19))))</f>
        <v>0</v>
      </c>
      <c r="H13" s="29">
        <f>IF(H12&lt;=0,0,IF(AND(N12&lt;0,O12&gt;0),O12*基础数据!$C$19,IF(O12&lt;0,0,IF(AND(N12&gt;0,O12&gt;0),H12*基础数据!$C$19))))</f>
        <v>0</v>
      </c>
      <c r="I13" s="15">
        <f t="shared" si="0"/>
        <v>905</v>
      </c>
    </row>
    <row r="14" spans="1:15" ht="15">
      <c r="A14" s="10">
        <v>11</v>
      </c>
      <c r="B14" s="9" t="s">
        <v>111</v>
      </c>
      <c r="C14" s="15">
        <f t="shared" ref="C14:H14" si="2">C12-C13</f>
        <v>-1232</v>
      </c>
      <c r="D14" s="15">
        <f t="shared" si="2"/>
        <v>2846</v>
      </c>
      <c r="E14" s="15">
        <f t="shared" si="2"/>
        <v>1099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0"/>
        <v>2713</v>
      </c>
    </row>
    <row r="15" spans="1:15" ht="15">
      <c r="A15" s="10">
        <v>12</v>
      </c>
      <c r="B15" s="11" t="s">
        <v>112</v>
      </c>
      <c r="C15" s="15"/>
      <c r="D15" s="15">
        <f>C20</f>
        <v>-1232</v>
      </c>
      <c r="E15" s="15">
        <f>D20</f>
        <v>1187</v>
      </c>
      <c r="F15" s="15"/>
      <c r="G15" s="15"/>
      <c r="H15" s="15"/>
      <c r="I15" s="15">
        <f t="shared" si="0"/>
        <v>-45</v>
      </c>
    </row>
    <row r="16" spans="1:15" ht="15">
      <c r="A16" s="10">
        <v>13</v>
      </c>
      <c r="B16" s="9" t="s">
        <v>113</v>
      </c>
      <c r="C16" s="15">
        <f>C15+C14</f>
        <v>-1232</v>
      </c>
      <c r="D16" s="15">
        <f>D15+D14</f>
        <v>1614</v>
      </c>
      <c r="E16" s="15">
        <f>E15+E14</f>
        <v>2286</v>
      </c>
      <c r="F16" s="15"/>
      <c r="G16" s="15"/>
      <c r="H16" s="15"/>
      <c r="I16" s="15">
        <f t="shared" si="0"/>
        <v>2668</v>
      </c>
    </row>
    <row r="17" spans="1:9" ht="15">
      <c r="A17" s="10">
        <v>14</v>
      </c>
      <c r="B17" s="11" t="s">
        <v>238</v>
      </c>
      <c r="C17" s="15">
        <f>IF(C14&lt;0,0,C14*基础数据!$C$29)</f>
        <v>0</v>
      </c>
      <c r="D17" s="15">
        <f>IF(D14&lt;0,0,D14*基础数据!$C$29)</f>
        <v>427</v>
      </c>
      <c r="E17" s="15">
        <f>IF(E14&lt;0,0,E14*基础数据!$C$29)</f>
        <v>165</v>
      </c>
      <c r="F17" s="15">
        <f>IF(F14&lt;0,0,F14*基础数据!$C$29)</f>
        <v>0</v>
      </c>
      <c r="G17" s="15">
        <f>IF(G14&lt;0,0,G14*基础数据!$C$29)</f>
        <v>0</v>
      </c>
      <c r="H17" s="15">
        <f>IF(H14&lt;0,0,H14*基础数据!$C$29)</f>
        <v>0</v>
      </c>
      <c r="I17" s="15">
        <f t="shared" si="0"/>
        <v>592</v>
      </c>
    </row>
    <row r="18" spans="1:9" ht="15">
      <c r="A18" s="10">
        <v>15</v>
      </c>
      <c r="B18" s="11" t="s">
        <v>295</v>
      </c>
      <c r="C18" s="15">
        <f>IF(C14&lt;0,0,C14*基础数据!$C$30)</f>
        <v>0</v>
      </c>
      <c r="D18" s="15">
        <f>IF(D14&lt;0,0,D14*基础数据!$C$30)</f>
        <v>142</v>
      </c>
      <c r="E18" s="15">
        <f>IF(E14&lt;0,0,E14*基础数据!$C$30)</f>
        <v>55</v>
      </c>
      <c r="F18" s="15">
        <f>IF(F14&lt;0,0,F14*基础数据!$C$30)</f>
        <v>0</v>
      </c>
      <c r="G18" s="15">
        <f>IF(G14&lt;0,0,G14*基础数据!$C$30)</f>
        <v>0</v>
      </c>
      <c r="H18" s="15">
        <f>IF(H14&lt;0,0,H14*基础数据!$C$30)</f>
        <v>0</v>
      </c>
      <c r="I18" s="15">
        <f t="shared" si="0"/>
        <v>197</v>
      </c>
    </row>
    <row r="19" spans="1:9" ht="15">
      <c r="A19" s="10">
        <v>16</v>
      </c>
      <c r="B19" s="11" t="s">
        <v>239</v>
      </c>
      <c r="C19" s="15">
        <f>'主表4-1'!C19</f>
        <v>0</v>
      </c>
      <c r="D19" s="15">
        <f>'主表4-1'!D19</f>
        <v>0</v>
      </c>
      <c r="E19" s="15">
        <f>'主表4-1'!E19</f>
        <v>0</v>
      </c>
      <c r="F19" s="15">
        <f>'主表4-1'!F19</f>
        <v>0</v>
      </c>
      <c r="G19" s="15">
        <f>'主表4-1'!G19</f>
        <v>0</v>
      </c>
      <c r="H19" s="15">
        <f>'主表4-1'!H19</f>
        <v>0</v>
      </c>
      <c r="I19" s="15">
        <f t="shared" si="0"/>
        <v>0</v>
      </c>
    </row>
    <row r="20" spans="1:9" ht="15">
      <c r="A20" s="10">
        <v>17</v>
      </c>
      <c r="B20" s="9" t="s">
        <v>116</v>
      </c>
      <c r="C20" s="15">
        <f t="shared" ref="C20:H20" si="3">C16-C17-C19</f>
        <v>-1232</v>
      </c>
      <c r="D20" s="15">
        <f t="shared" si="3"/>
        <v>1187</v>
      </c>
      <c r="E20" s="15">
        <f t="shared" si="3"/>
        <v>2121</v>
      </c>
      <c r="F20" s="15">
        <f t="shared" si="3"/>
        <v>0</v>
      </c>
      <c r="G20" s="15">
        <f t="shared" si="3"/>
        <v>0</v>
      </c>
      <c r="H20" s="15">
        <f t="shared" si="3"/>
        <v>0</v>
      </c>
      <c r="I20" s="15">
        <f t="shared" si="0"/>
        <v>2076</v>
      </c>
    </row>
  </sheetData>
  <customSheetViews>
    <customSheetView guid="{33FE80C0-0EDF-11D4-8B3D-001060002050}" showRuler="0">
      <selection activeCell="C15" sqref="C15:H15"/>
      <pageMargins left="0.75" right="0.75" top="1" bottom="1" header="0.5" footer="0.5"/>
      <headerFooter alignWithMargins="0"/>
    </customSheetView>
    <customSheetView guid="{62777320-11E7-11D4-8B3D-00E098726125}" showRuler="0">
      <selection activeCell="C15" sqref="C15:H15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2"/>
  <sheetViews>
    <sheetView workbookViewId="0" xr3:uid="{EE242A16-C6B8-5192-B120-522BC795EE76}">
      <selection activeCell="I19" sqref="I19"/>
    </sheetView>
  </sheetViews>
  <sheetFormatPr defaultRowHeight="14.25"/>
  <cols>
    <col min="1" max="1" width="4.5" customWidth="1"/>
    <col min="2" max="2" width="19.375" customWidth="1"/>
    <col min="3" max="3" width="10.625" customWidth="1"/>
  </cols>
  <sheetData>
    <row r="1" spans="1:9" ht="18">
      <c r="A1" s="936" t="s">
        <v>31</v>
      </c>
      <c r="B1" s="937"/>
      <c r="C1" s="937"/>
      <c r="D1" s="937"/>
      <c r="E1" s="937"/>
      <c r="F1" s="937"/>
      <c r="G1" s="937"/>
      <c r="H1" s="2"/>
    </row>
    <row r="2" spans="1:9" ht="15">
      <c r="A2" s="5"/>
      <c r="B2" s="2"/>
      <c r="C2" s="2"/>
      <c r="D2" s="2"/>
      <c r="E2" s="2"/>
      <c r="F2" s="2"/>
      <c r="G2" s="2"/>
      <c r="H2" s="2"/>
    </row>
    <row r="3" spans="1:9" ht="15">
      <c r="A3" s="9" t="s">
        <v>28</v>
      </c>
      <c r="B3" s="14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2" t="s">
        <v>297</v>
      </c>
    </row>
    <row r="4" spans="1:9" ht="15">
      <c r="A4" s="10">
        <v>1</v>
      </c>
      <c r="B4" s="9" t="s">
        <v>32</v>
      </c>
      <c r="C4" s="15">
        <f t="shared" ref="C4:H4" si="0">SUM(C5:C8)</f>
        <v>23402</v>
      </c>
      <c r="D4" s="15">
        <f t="shared" si="0"/>
        <v>77705</v>
      </c>
      <c r="E4" s="15">
        <f>SUM(E5:E8)</f>
        <v>18799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24">
        <f>SUM(C4:H4)</f>
        <v>119906</v>
      </c>
    </row>
    <row r="5" spans="1:9" ht="15">
      <c r="A5" s="10">
        <v>2</v>
      </c>
      <c r="B5" s="9" t="s">
        <v>9</v>
      </c>
      <c r="C5" s="15">
        <f>底表1!F5</f>
        <v>23402</v>
      </c>
      <c r="D5" s="15">
        <f>底表1!H5</f>
        <v>77705</v>
      </c>
      <c r="E5" s="15">
        <f>底表1!J5</f>
        <v>18799</v>
      </c>
      <c r="F5" s="15">
        <f>底表1!L5</f>
        <v>0</v>
      </c>
      <c r="G5" s="15">
        <f>底表1!N5</f>
        <v>0</v>
      </c>
      <c r="H5" s="15">
        <f>底表1!P5</f>
        <v>0</v>
      </c>
      <c r="I5" s="24">
        <f t="shared" ref="I5:I19" si="1">SUM(C5:H5)</f>
        <v>119906</v>
      </c>
    </row>
    <row r="6" spans="1:9" ht="15">
      <c r="A6" s="10">
        <v>3</v>
      </c>
      <c r="B6" s="9" t="s">
        <v>29</v>
      </c>
      <c r="C6" s="15">
        <f>主表4_2!C4</f>
        <v>0</v>
      </c>
      <c r="D6" s="15">
        <f>主表4_2!D4</f>
        <v>0</v>
      </c>
      <c r="E6" s="15">
        <f>主表4_2!E4</f>
        <v>0</v>
      </c>
      <c r="F6" s="15">
        <f>主表4_2!F4</f>
        <v>0</v>
      </c>
      <c r="G6" s="15">
        <f>主表4_2!G4</f>
        <v>0</v>
      </c>
      <c r="H6" s="15">
        <f>主表4_2!H4</f>
        <v>0</v>
      </c>
      <c r="I6" s="24">
        <f t="shared" si="1"/>
        <v>0</v>
      </c>
    </row>
    <row r="7" spans="1:9" ht="15">
      <c r="A7" s="10">
        <v>4</v>
      </c>
      <c r="B7" s="9" t="s">
        <v>33</v>
      </c>
      <c r="C7" s="15">
        <f>主表3!C7</f>
        <v>0</v>
      </c>
      <c r="D7" s="15">
        <f>主表3!D7</f>
        <v>0</v>
      </c>
      <c r="E7" s="15">
        <f>主表3!E7</f>
        <v>0</v>
      </c>
      <c r="F7" s="15">
        <f>主表3!F7</f>
        <v>0</v>
      </c>
      <c r="G7" s="15">
        <f>主表3!G7</f>
        <v>0</v>
      </c>
      <c r="H7" s="15">
        <f>主表3!H7</f>
        <v>0</v>
      </c>
      <c r="I7" s="24">
        <f t="shared" si="1"/>
        <v>0</v>
      </c>
    </row>
    <row r="8" spans="1:9" ht="15">
      <c r="A8" s="10">
        <v>5</v>
      </c>
      <c r="B8" s="11" t="s">
        <v>3</v>
      </c>
      <c r="C8" s="15"/>
      <c r="D8" s="15"/>
      <c r="E8" s="15"/>
      <c r="F8" s="15"/>
      <c r="G8" s="15"/>
      <c r="H8" s="15"/>
      <c r="I8" s="24">
        <f t="shared" si="1"/>
        <v>0</v>
      </c>
    </row>
    <row r="9" spans="1:9" ht="15">
      <c r="A9" s="10">
        <v>6</v>
      </c>
      <c r="B9" s="9" t="s">
        <v>34</v>
      </c>
      <c r="C9" s="15">
        <f t="shared" ref="C9:H9" si="2">SUM(C10:C15)</f>
        <v>68760</v>
      </c>
      <c r="D9" s="15">
        <f t="shared" si="2"/>
        <v>32233</v>
      </c>
      <c r="E9" s="15">
        <f t="shared" si="2"/>
        <v>14547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24">
        <f t="shared" si="1"/>
        <v>115540</v>
      </c>
    </row>
    <row r="10" spans="1:9" ht="15">
      <c r="A10" s="10">
        <v>7</v>
      </c>
      <c r="B10" s="9" t="s">
        <v>35</v>
      </c>
      <c r="C10" s="15">
        <f>主表2!D38*(1+'成本+10% 4_1'!$B$2)</f>
        <v>67590</v>
      </c>
      <c r="D10" s="15">
        <f>主表2!E38*(1+'成本+10% 4_1'!$B$2)</f>
        <v>27810</v>
      </c>
      <c r="E10" s="15">
        <f>主表2!F38*(1+'成本+10% 4_1'!$B$2)</f>
        <v>13804</v>
      </c>
      <c r="F10" s="15">
        <f>主表2!G38*(1+'成本+10% 4_1'!$B$2)</f>
        <v>0</v>
      </c>
      <c r="G10" s="15">
        <f>主表2!H38*(1+'成本+10% 4_1'!$B$2)</f>
        <v>0</v>
      </c>
      <c r="H10" s="15">
        <f>主表2!I38*(1+'成本+10% 4_1'!$B$2)</f>
        <v>0</v>
      </c>
      <c r="I10" s="24">
        <f t="shared" si="1"/>
        <v>109204</v>
      </c>
    </row>
    <row r="11" spans="1:9" ht="15">
      <c r="A11" s="10">
        <v>8</v>
      </c>
      <c r="B11" s="9" t="s">
        <v>36</v>
      </c>
      <c r="C11" s="15">
        <f>'成本+10% 4_2'!C5</f>
        <v>0</v>
      </c>
      <c r="D11" s="15">
        <f>'成本+10% 4_2'!D5</f>
        <v>0</v>
      </c>
      <c r="E11" s="15">
        <f>'成本+10% 4_2'!E5</f>
        <v>0</v>
      </c>
      <c r="F11" s="15">
        <f>'成本+10% 4_2'!F5</f>
        <v>0</v>
      </c>
      <c r="G11" s="15">
        <f>'成本+10% 4_2'!G5</f>
        <v>0</v>
      </c>
      <c r="H11" s="15">
        <f>'成本+10% 4_2'!H5</f>
        <v>0</v>
      </c>
      <c r="I11" s="24">
        <f t="shared" si="1"/>
        <v>0</v>
      </c>
    </row>
    <row r="12" spans="1:9" ht="15">
      <c r="A12" s="10">
        <v>9</v>
      </c>
      <c r="B12" s="9" t="s">
        <v>240</v>
      </c>
      <c r="C12" s="15">
        <f>'主表4-1'!C6+主表4_2!C6</f>
        <v>702</v>
      </c>
      <c r="D12" s="15">
        <f>'主表4-1'!D6+主表4_2!D6</f>
        <v>2331</v>
      </c>
      <c r="E12" s="15">
        <f>'主表4-1'!E6+主表4_2!E6</f>
        <v>0</v>
      </c>
      <c r="F12" s="15">
        <f>'主表4-1'!F6+主表4_2!F6</f>
        <v>0</v>
      </c>
      <c r="G12" s="15">
        <f>'主表4-1'!G6+主表4_2!G6</f>
        <v>0</v>
      </c>
      <c r="H12" s="15">
        <f>'主表4-1'!H6+主表4_2!H6</f>
        <v>0</v>
      </c>
      <c r="I12" s="24">
        <f t="shared" si="1"/>
        <v>3033</v>
      </c>
    </row>
    <row r="13" spans="1:9" ht="15">
      <c r="A13" s="10">
        <v>10</v>
      </c>
      <c r="B13" s="9" t="s">
        <v>39</v>
      </c>
      <c r="C13" s="15">
        <f>'成本+10% 4_1'!C8</f>
        <v>468</v>
      </c>
      <c r="D13" s="15">
        <f>'成本+10% 4_1'!D8</f>
        <v>1554</v>
      </c>
      <c r="E13" s="15">
        <f>'成本+10% 4_1'!E8</f>
        <v>376</v>
      </c>
      <c r="F13" s="15">
        <f>'成本+10% 4_1'!F8</f>
        <v>0</v>
      </c>
      <c r="G13" s="15">
        <f>'成本+10% 4_1'!G8</f>
        <v>0</v>
      </c>
      <c r="H13" s="15">
        <f>'成本+10% 4_1'!H8</f>
        <v>0</v>
      </c>
      <c r="I13" s="24">
        <f t="shared" si="1"/>
        <v>2398</v>
      </c>
    </row>
    <row r="14" spans="1:9" ht="15">
      <c r="A14" s="10">
        <v>11</v>
      </c>
      <c r="B14" s="9" t="s">
        <v>30</v>
      </c>
      <c r="C14" s="15">
        <f>'成本+10% 4_1'!C13+'成本+10% 4_2'!C8</f>
        <v>0</v>
      </c>
      <c r="D14" s="15">
        <f>'成本+10% 4_1'!D13+'成本+10% 4_2'!D8</f>
        <v>538</v>
      </c>
      <c r="E14" s="15">
        <f>'成本+10% 4_1'!E13+'成本+10% 4_2'!E8</f>
        <v>367</v>
      </c>
      <c r="F14" s="15">
        <f>'成本+10% 4_1'!F13+'成本+10% 4_2'!F8</f>
        <v>0</v>
      </c>
      <c r="G14" s="15">
        <f>'成本+10% 4_1'!G13+'成本+10% 4_2'!G8</f>
        <v>0</v>
      </c>
      <c r="H14" s="15">
        <f>'成本+10% 4_1'!H13+'成本+10% 4_2'!H8</f>
        <v>0</v>
      </c>
      <c r="I14" s="24">
        <f t="shared" si="1"/>
        <v>905</v>
      </c>
    </row>
    <row r="15" spans="1:9" ht="15">
      <c r="A15" s="10">
        <v>12</v>
      </c>
      <c r="B15" s="11"/>
      <c r="C15" s="15"/>
      <c r="D15" s="15"/>
      <c r="E15" s="15"/>
      <c r="F15" s="15"/>
      <c r="G15" s="15"/>
      <c r="H15" s="15"/>
      <c r="I15" s="24">
        <f t="shared" si="1"/>
        <v>0</v>
      </c>
    </row>
    <row r="16" spans="1:9" ht="15">
      <c r="A16" s="10">
        <v>13</v>
      </c>
      <c r="B16" s="9" t="s">
        <v>40</v>
      </c>
      <c r="C16" s="15">
        <f t="shared" ref="C16:H16" si="3">C4-C9</f>
        <v>-45358</v>
      </c>
      <c r="D16" s="15">
        <f t="shared" si="3"/>
        <v>45472</v>
      </c>
      <c r="E16" s="15">
        <f t="shared" si="3"/>
        <v>4252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24">
        <f t="shared" si="1"/>
        <v>4366</v>
      </c>
    </row>
    <row r="17" spans="1:9" ht="15">
      <c r="A17" s="10">
        <v>14</v>
      </c>
      <c r="B17" s="9" t="s">
        <v>41</v>
      </c>
      <c r="C17" s="15">
        <f>C16</f>
        <v>-45358</v>
      </c>
      <c r="D17" s="15">
        <f>C17+D16</f>
        <v>114</v>
      </c>
      <c r="E17" s="15">
        <f>D17+E16</f>
        <v>4366</v>
      </c>
      <c r="F17" s="15"/>
      <c r="G17" s="15"/>
      <c r="H17" s="15"/>
      <c r="I17" s="24">
        <f t="shared" si="1"/>
        <v>-40878</v>
      </c>
    </row>
    <row r="18" spans="1:9" ht="15">
      <c r="A18" s="10">
        <v>15</v>
      </c>
      <c r="B18" s="9" t="s">
        <v>235</v>
      </c>
      <c r="C18" s="15">
        <f>C16/(1+$C$21)^1</f>
        <v>-40498</v>
      </c>
      <c r="D18" s="15">
        <f>D16/(1+$C$21)^2</f>
        <v>36250</v>
      </c>
      <c r="E18" s="15">
        <f>E16/(1+$C$21)^3</f>
        <v>3026</v>
      </c>
      <c r="F18" s="15">
        <f>F16/(1+$C$21)^4</f>
        <v>0</v>
      </c>
      <c r="G18" s="15">
        <f>G16/(1+$C$21)^5</f>
        <v>0</v>
      </c>
      <c r="H18" s="15">
        <f>H16/(1+$C$21)^6</f>
        <v>0</v>
      </c>
      <c r="I18" s="24">
        <f t="shared" si="1"/>
        <v>-1222</v>
      </c>
    </row>
    <row r="19" spans="1:9" ht="15">
      <c r="A19" s="10">
        <v>16</v>
      </c>
      <c r="B19" s="9" t="s">
        <v>42</v>
      </c>
      <c r="C19" s="15">
        <f>C18</f>
        <v>-40498</v>
      </c>
      <c r="D19" s="15">
        <f>C19+D18</f>
        <v>-4248</v>
      </c>
      <c r="E19" s="15">
        <f>D19+E18</f>
        <v>-1222</v>
      </c>
      <c r="F19" s="15"/>
      <c r="G19" s="15"/>
      <c r="H19" s="15"/>
      <c r="I19" s="24">
        <f t="shared" si="1"/>
        <v>-45968</v>
      </c>
    </row>
    <row r="20" spans="1:9" ht="15">
      <c r="A20" s="18"/>
      <c r="B20" s="18"/>
      <c r="C20" s="18"/>
      <c r="D20" s="18"/>
      <c r="E20" s="18"/>
      <c r="F20" s="18"/>
      <c r="G20" s="18"/>
      <c r="H20" s="18"/>
      <c r="I20" s="25"/>
    </row>
    <row r="21" spans="1:9" ht="15">
      <c r="A21" s="18" t="s">
        <v>410</v>
      </c>
      <c r="B21" s="18"/>
      <c r="C21" s="20">
        <f>基础数据!C10</f>
        <v>0.12</v>
      </c>
      <c r="D21" s="18" t="s">
        <v>412</v>
      </c>
      <c r="E21" s="18"/>
      <c r="F21" s="18"/>
      <c r="G21" s="28">
        <f>NPV(C21,C16:H16)</f>
        <v>-1222</v>
      </c>
      <c r="H21" s="25" t="s">
        <v>353</v>
      </c>
      <c r="I21" s="25"/>
    </row>
    <row r="22" spans="1:9" ht="15">
      <c r="A22" s="18" t="s">
        <v>411</v>
      </c>
      <c r="B22" s="18"/>
      <c r="C22" s="21">
        <f>IRR(C16:H16,0.2)</f>
        <v>8.8599999999999998E-2</v>
      </c>
      <c r="D22" s="18" t="s">
        <v>413</v>
      </c>
      <c r="E22" s="18"/>
      <c r="F22" s="18"/>
      <c r="G22" s="26">
        <f>IF(D19&gt;=0,2-D19/(D19-C19),IF(E19&gt;=0,3-E19/(E19-D19),IF(F19&gt;=0,4-F19/(F19-E19),IF(G19&gt;=0,5-G19/(G19-F19),IF(H19&gt;=0,6-H19/(H19-G19),"超出")))))</f>
        <v>4</v>
      </c>
      <c r="H22" s="25" t="s">
        <v>354</v>
      </c>
      <c r="I22" s="25"/>
    </row>
  </sheetData>
  <customSheetViews>
    <customSheetView guid="{33FE80C0-0EDF-11D4-8B3D-001060002050}" showRuler="0" topLeftCell="A9">
      <selection activeCell="G23" sqref="G23"/>
      <pageMargins left="0.75" right="0.75" top="1" bottom="1" header="0.5" footer="0.5"/>
      <headerFooter alignWithMargins="0"/>
    </customSheetView>
    <customSheetView guid="{62777320-11E7-11D4-8B3D-00E098726125}" showRuler="0" topLeftCell="A9">
      <selection activeCell="G23" sqref="G23"/>
      <pageMargins left="0.75" right="0.75" top="1" bottom="1" header="0.5" footer="0.5"/>
      <headerFooter alignWithMargins="0"/>
    </customSheetView>
  </customSheetViews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zoomScale="115" zoomScaleNormal="100" zoomScaleSheetLayoutView="115" workbookViewId="0" xr3:uid="{842E5F09-E766-5B8D-85AF-A39847EA96FD}">
      <selection activeCell="C11" sqref="C11"/>
    </sheetView>
  </sheetViews>
  <sheetFormatPr defaultRowHeight="12"/>
  <cols>
    <col min="1" max="1" width="4.625" style="34" customWidth="1"/>
    <col min="2" max="2" width="23" style="34" customWidth="1"/>
    <col min="3" max="3" width="16.5" style="39" customWidth="1"/>
    <col min="4" max="4" width="24" style="34" customWidth="1"/>
    <col min="5" max="16384" width="9" style="34"/>
  </cols>
  <sheetData>
    <row r="1" spans="1:7" ht="17.25" customHeight="1">
      <c r="A1" s="745" t="s">
        <v>443</v>
      </c>
      <c r="B1" s="745"/>
      <c r="C1" s="745"/>
      <c r="D1" s="745"/>
    </row>
    <row r="2" spans="1:7" ht="12.75">
      <c r="A2" s="635" t="s">
        <v>314</v>
      </c>
      <c r="B2" s="635" t="s">
        <v>1020</v>
      </c>
      <c r="C2" s="617" t="s">
        <v>1021</v>
      </c>
      <c r="D2" s="635" t="s">
        <v>1022</v>
      </c>
    </row>
    <row r="3" spans="1:7" ht="12.75">
      <c r="A3" s="635">
        <v>1</v>
      </c>
      <c r="B3" s="636" t="s">
        <v>429</v>
      </c>
      <c r="C3" s="746" t="s">
        <v>942</v>
      </c>
      <c r="D3" s="747"/>
    </row>
    <row r="4" spans="1:7" ht="62.25" customHeight="1">
      <c r="A4" s="635">
        <v>2</v>
      </c>
      <c r="B4" s="636" t="s">
        <v>776</v>
      </c>
      <c r="C4" s="748" t="s">
        <v>943</v>
      </c>
      <c r="D4" s="749"/>
    </row>
    <row r="5" spans="1:7" ht="12.75">
      <c r="A5" s="635">
        <v>3</v>
      </c>
      <c r="B5" s="636" t="s">
        <v>319</v>
      </c>
      <c r="C5" s="616">
        <v>2018</v>
      </c>
      <c r="D5" s="617"/>
    </row>
    <row r="6" spans="1:7" ht="12.75">
      <c r="A6" s="635">
        <v>4</v>
      </c>
      <c r="B6" s="637" t="s">
        <v>1027</v>
      </c>
      <c r="C6" s="618">
        <v>2</v>
      </c>
      <c r="D6" s="617"/>
    </row>
    <row r="7" spans="1:7" ht="12.75">
      <c r="A7" s="635">
        <v>5</v>
      </c>
      <c r="B7" s="637" t="s">
        <v>1028</v>
      </c>
      <c r="C7" s="619"/>
      <c r="D7" s="617"/>
    </row>
    <row r="8" spans="1:7" ht="12.75">
      <c r="A8" s="635">
        <v>6</v>
      </c>
      <c r="B8" s="637" t="s">
        <v>316</v>
      </c>
      <c r="C8" s="619"/>
      <c r="D8" s="617"/>
    </row>
    <row r="9" spans="1:7" ht="12.75">
      <c r="A9" s="635">
        <v>7</v>
      </c>
      <c r="B9" s="637" t="s">
        <v>1029</v>
      </c>
      <c r="C9" s="661">
        <v>0.115</v>
      </c>
      <c r="D9" s="620">
        <v>6.1499999999999999E-2</v>
      </c>
      <c r="E9" s="470"/>
      <c r="F9" s="36"/>
      <c r="G9" s="36"/>
    </row>
    <row r="10" spans="1:7" ht="14.25">
      <c r="A10" s="635">
        <v>8</v>
      </c>
      <c r="B10" s="636" t="s">
        <v>1030</v>
      </c>
      <c r="C10" s="621">
        <v>0.12</v>
      </c>
      <c r="D10" s="622">
        <v>0.08</v>
      </c>
    </row>
    <row r="11" spans="1:7" ht="12.75">
      <c r="A11" s="635">
        <v>9</v>
      </c>
      <c r="B11" s="637" t="s">
        <v>317</v>
      </c>
      <c r="C11" s="623" t="s">
        <v>827</v>
      </c>
      <c r="D11" s="624" t="s">
        <v>1017</v>
      </c>
    </row>
    <row r="12" spans="1:7" ht="12.75">
      <c r="A12" s="635">
        <v>10</v>
      </c>
      <c r="B12" s="637" t="s">
        <v>318</v>
      </c>
      <c r="C12" s="619"/>
      <c r="D12" s="624" t="s">
        <v>686</v>
      </c>
    </row>
    <row r="13" spans="1:7" ht="12.75">
      <c r="A13" s="635">
        <v>11</v>
      </c>
      <c r="B13" s="637" t="s">
        <v>315</v>
      </c>
      <c r="C13" s="622"/>
      <c r="D13" s="617"/>
    </row>
    <row r="14" spans="1:7" ht="12.75">
      <c r="A14" s="635">
        <v>12</v>
      </c>
      <c r="B14" s="637" t="s">
        <v>1023</v>
      </c>
      <c r="C14" s="625"/>
      <c r="D14" s="617"/>
    </row>
    <row r="15" spans="1:7" ht="12.75">
      <c r="A15" s="635">
        <v>13</v>
      </c>
      <c r="B15" s="637" t="s">
        <v>1031</v>
      </c>
      <c r="C15" s="626">
        <v>0.05</v>
      </c>
      <c r="D15" s="622">
        <v>0.05</v>
      </c>
    </row>
    <row r="16" spans="1:7" ht="12.75">
      <c r="A16" s="635">
        <v>14</v>
      </c>
      <c r="B16" s="637" t="s">
        <v>1024</v>
      </c>
      <c r="C16" s="626">
        <v>0.03</v>
      </c>
      <c r="D16" s="622">
        <v>0.03</v>
      </c>
    </row>
    <row r="17" spans="1:4" ht="12.75">
      <c r="A17" s="635">
        <v>15</v>
      </c>
      <c r="B17" s="637" t="s">
        <v>883</v>
      </c>
      <c r="C17" s="626">
        <v>0.02</v>
      </c>
      <c r="D17" s="622">
        <v>0.02</v>
      </c>
    </row>
    <row r="18" spans="1:4" ht="12.75">
      <c r="A18" s="635">
        <v>16</v>
      </c>
      <c r="B18" s="637" t="s">
        <v>1025</v>
      </c>
      <c r="C18" s="627">
        <v>0.05</v>
      </c>
      <c r="D18" s="628">
        <v>7.0000000000000007E-2</v>
      </c>
    </row>
    <row r="19" spans="1:4" ht="12.75">
      <c r="A19" s="635">
        <v>17</v>
      </c>
      <c r="B19" s="637" t="s">
        <v>1026</v>
      </c>
      <c r="C19" s="626">
        <v>0.25</v>
      </c>
      <c r="D19" s="622">
        <v>0.33</v>
      </c>
    </row>
    <row r="20" spans="1:4" ht="12.75">
      <c r="A20" s="635">
        <v>18</v>
      </c>
      <c r="B20" s="634" t="s">
        <v>1032</v>
      </c>
      <c r="C20" s="629"/>
      <c r="D20" s="617" t="s">
        <v>293</v>
      </c>
    </row>
    <row r="21" spans="1:4" ht="12.75">
      <c r="A21" s="635">
        <v>19</v>
      </c>
      <c r="B21" s="637" t="s">
        <v>1033</v>
      </c>
      <c r="C21" s="630"/>
      <c r="D21" s="617"/>
    </row>
    <row r="22" spans="1:4" ht="12.75">
      <c r="A22" s="635">
        <v>20</v>
      </c>
      <c r="B22" s="638" t="s">
        <v>441</v>
      </c>
      <c r="C22" s="631">
        <f>面积表!B46</f>
        <v>198997</v>
      </c>
      <c r="D22" s="617"/>
    </row>
    <row r="23" spans="1:4" ht="12.75">
      <c r="A23" s="635">
        <v>21</v>
      </c>
      <c r="B23" s="636" t="s">
        <v>1034</v>
      </c>
      <c r="C23" s="622">
        <f>面积表!E47/面积表!B46</f>
        <v>0.73</v>
      </c>
      <c r="D23" s="617"/>
    </row>
    <row r="24" spans="1:4" ht="12.75">
      <c r="A24" s="635">
        <v>22</v>
      </c>
      <c r="B24" s="636" t="s">
        <v>442</v>
      </c>
      <c r="C24" s="632">
        <f>面积表!B40</f>
        <v>82074</v>
      </c>
      <c r="D24" s="617"/>
    </row>
    <row r="25" spans="1:4" ht="12.75">
      <c r="A25" s="635">
        <v>23</v>
      </c>
      <c r="B25" s="637" t="s">
        <v>1035</v>
      </c>
      <c r="C25" s="622"/>
      <c r="D25" s="617"/>
    </row>
    <row r="26" spans="1:4" ht="12.75">
      <c r="A26" s="635">
        <v>24</v>
      </c>
      <c r="B26" s="637" t="s">
        <v>1036</v>
      </c>
      <c r="C26" s="629"/>
      <c r="D26" s="617"/>
    </row>
    <row r="27" spans="1:4" ht="12.75">
      <c r="A27" s="635">
        <v>25</v>
      </c>
      <c r="B27" s="637" t="s">
        <v>1037</v>
      </c>
      <c r="C27" s="629"/>
      <c r="D27" s="617" t="s">
        <v>294</v>
      </c>
    </row>
    <row r="28" spans="1:4" ht="12.75">
      <c r="A28" s="635">
        <v>26</v>
      </c>
      <c r="B28" s="637" t="s">
        <v>348</v>
      </c>
      <c r="C28" s="695" t="s">
        <v>1053</v>
      </c>
      <c r="D28" s="617" t="s">
        <v>320</v>
      </c>
    </row>
    <row r="29" spans="1:4" ht="12.75">
      <c r="A29" s="635">
        <v>27</v>
      </c>
      <c r="B29" s="634" t="s">
        <v>350</v>
      </c>
      <c r="C29" s="633">
        <v>0.15</v>
      </c>
      <c r="D29" s="634" t="s">
        <v>1018</v>
      </c>
    </row>
    <row r="30" spans="1:4" ht="12.75">
      <c r="A30" s="635">
        <v>28</v>
      </c>
      <c r="B30" s="634" t="s">
        <v>351</v>
      </c>
      <c r="C30" s="633">
        <v>0.05</v>
      </c>
      <c r="D30" s="634" t="s">
        <v>1019</v>
      </c>
    </row>
    <row r="35" spans="3:3">
      <c r="C35" s="351"/>
    </row>
  </sheetData>
  <customSheetViews>
    <customSheetView guid="{33FE80C0-0EDF-11D4-8B3D-001060002050}" showPageBreaks="1" showRuler="0" topLeftCell="A20">
      <selection activeCell="C32" sqref="C32"/>
      <pageMargins left="0.75" right="0.75" top="1" bottom="1" header="0.5" footer="0.5"/>
      <pageSetup paperSize="9" orientation="portrait" horizontalDpi="360" verticalDpi="360" copies="0" r:id="rId1"/>
      <headerFooter alignWithMargins="0"/>
    </customSheetView>
    <customSheetView guid="{62777320-11E7-11D4-8B3D-00E098726125}" showRuler="0" topLeftCell="A20">
      <selection activeCell="C32" sqref="C32"/>
      <pageMargins left="0.75" right="0.75" top="1" bottom="1" header="0.5" footer="0.5"/>
      <pageSetup paperSize="9" orientation="portrait" horizontalDpi="360" verticalDpi="360" copies="0" r:id="rId2"/>
      <headerFooter alignWithMargins="0"/>
    </customSheetView>
  </customSheetViews>
  <mergeCells count="3">
    <mergeCell ref="A1:D1"/>
    <mergeCell ref="C3:D3"/>
    <mergeCell ref="C4:D4"/>
  </mergeCells>
  <phoneticPr fontId="7" type="noConversion"/>
  <pageMargins left="0.75" right="0.75" top="1" bottom="1" header="0.5" footer="0.5"/>
  <pageSetup paperSize="9" orientation="portrait" horizontalDpi="360" verticalDpi="360" r:id="rId3"/>
  <headerFooter alignWithMargins="0"/>
  <legacy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zoomScale="75" workbookViewId="0" xr3:uid="{7075697D-051A-5480-9A35-AA80E904E1A1}">
      <selection activeCell="H34" sqref="H34"/>
    </sheetView>
  </sheetViews>
  <sheetFormatPr defaultRowHeight="14.25"/>
  <cols>
    <col min="1" max="1" width="4.625" style="2" customWidth="1"/>
    <col min="2" max="2" width="26.25" style="2" customWidth="1"/>
    <col min="3" max="7" width="9.625" style="2" customWidth="1"/>
    <col min="8" max="16384" width="9" style="2"/>
  </cols>
  <sheetData>
    <row r="1" spans="1:10" ht="24" customHeight="1">
      <c r="A1" s="936" t="s">
        <v>31</v>
      </c>
      <c r="B1" s="937"/>
      <c r="C1" s="937"/>
      <c r="D1" s="937"/>
      <c r="E1" s="937"/>
      <c r="F1" s="937"/>
      <c r="G1" s="937"/>
    </row>
    <row r="2" spans="1:10" ht="23.25" customHeight="1">
      <c r="A2" s="4"/>
    </row>
    <row r="3" spans="1:10" ht="24" customHeight="1">
      <c r="A3" s="17" t="s">
        <v>28</v>
      </c>
      <c r="B3" s="23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0" t="str">
        <f>CONCATENATE(TEXT(基础数据!C5+6,"@"),"年")</f>
        <v>2024年</v>
      </c>
      <c r="J3" s="12" t="s">
        <v>297</v>
      </c>
    </row>
    <row r="4" spans="1:10" ht="24" customHeight="1">
      <c r="A4" s="10">
        <v>1</v>
      </c>
      <c r="B4" s="17" t="s">
        <v>32</v>
      </c>
      <c r="C4" s="15">
        <f t="shared" ref="C4:I4" si="0">SUM(C5:C8)</f>
        <v>0</v>
      </c>
      <c r="D4" s="15">
        <f t="shared" si="0"/>
        <v>23402</v>
      </c>
      <c r="E4" s="15">
        <f t="shared" si="0"/>
        <v>77705</v>
      </c>
      <c r="F4" s="15">
        <f t="shared" si="0"/>
        <v>18799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6">
        <f t="shared" ref="J4:J10" si="1">SUM(C4:I4)</f>
        <v>119906</v>
      </c>
    </row>
    <row r="5" spans="1:10" ht="24" customHeight="1">
      <c r="A5" s="10">
        <v>2</v>
      </c>
      <c r="B5" s="17" t="s">
        <v>9</v>
      </c>
      <c r="C5" s="15"/>
      <c r="D5" s="15">
        <f>主表3!C5</f>
        <v>23402</v>
      </c>
      <c r="E5" s="15">
        <f>主表3!D5</f>
        <v>77705</v>
      </c>
      <c r="F5" s="15">
        <f>主表3!E5</f>
        <v>18799</v>
      </c>
      <c r="G5" s="15">
        <f>主表3!F5</f>
        <v>0</v>
      </c>
      <c r="H5" s="15">
        <f>主表3!G5</f>
        <v>0</v>
      </c>
      <c r="I5" s="15">
        <f>主表3!H5</f>
        <v>0</v>
      </c>
      <c r="J5" s="16">
        <f t="shared" si="1"/>
        <v>119906</v>
      </c>
    </row>
    <row r="6" spans="1:10" ht="24" customHeight="1">
      <c r="A6" s="10">
        <v>3</v>
      </c>
      <c r="B6" s="17" t="s">
        <v>29</v>
      </c>
      <c r="C6" s="15"/>
      <c r="D6" s="15">
        <f>主表3!C6</f>
        <v>0</v>
      </c>
      <c r="E6" s="15">
        <f>主表3!D6</f>
        <v>0</v>
      </c>
      <c r="F6" s="15">
        <f>主表3!E6</f>
        <v>0</v>
      </c>
      <c r="G6" s="15">
        <f>主表3!F6</f>
        <v>0</v>
      </c>
      <c r="H6" s="15">
        <f>主表3!G6</f>
        <v>0</v>
      </c>
      <c r="I6" s="15">
        <f>主表3!H6</f>
        <v>0</v>
      </c>
      <c r="J6" s="16">
        <f t="shared" si="1"/>
        <v>0</v>
      </c>
    </row>
    <row r="7" spans="1:10" ht="24" customHeight="1">
      <c r="A7" s="10">
        <v>4</v>
      </c>
      <c r="B7" s="17" t="s">
        <v>33</v>
      </c>
      <c r="C7" s="15"/>
      <c r="D7" s="15">
        <f>主表3!C7</f>
        <v>0</v>
      </c>
      <c r="E7" s="15">
        <f>主表3!D7</f>
        <v>0</v>
      </c>
      <c r="F7" s="15">
        <f>主表3!E7</f>
        <v>0</v>
      </c>
      <c r="G7" s="15">
        <f>主表3!F7</f>
        <v>0</v>
      </c>
      <c r="H7" s="15">
        <f>主表3!G7</f>
        <v>0</v>
      </c>
      <c r="I7" s="15">
        <f>主表3!H7</f>
        <v>0</v>
      </c>
      <c r="J7" s="16">
        <f t="shared" si="1"/>
        <v>0</v>
      </c>
    </row>
    <row r="8" spans="1:10" ht="24" customHeight="1">
      <c r="A8" s="10">
        <v>5</v>
      </c>
      <c r="B8" s="11" t="s">
        <v>3</v>
      </c>
      <c r="C8" s="15"/>
      <c r="D8" s="15"/>
      <c r="E8" s="15"/>
      <c r="F8" s="15"/>
      <c r="G8" s="15"/>
      <c r="H8" s="15"/>
      <c r="I8" s="15"/>
      <c r="J8" s="16">
        <f t="shared" si="1"/>
        <v>0</v>
      </c>
    </row>
    <row r="9" spans="1:10" ht="24" customHeight="1">
      <c r="A9" s="10">
        <v>6</v>
      </c>
      <c r="B9" s="17" t="s">
        <v>34</v>
      </c>
      <c r="C9" s="15">
        <f t="shared" ref="C9:I9" si="2">SUM(C10:C15)</f>
        <v>61445</v>
      </c>
      <c r="D9" s="15">
        <f t="shared" si="2"/>
        <v>26452</v>
      </c>
      <c r="E9" s="15">
        <f t="shared" si="2"/>
        <v>18779</v>
      </c>
      <c r="F9" s="15">
        <f t="shared" si="2"/>
        <v>1290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6">
        <f t="shared" si="1"/>
        <v>107966</v>
      </c>
    </row>
    <row r="10" spans="1:10" ht="24" customHeight="1">
      <c r="A10" s="10">
        <v>7</v>
      </c>
      <c r="B10" s="17" t="s">
        <v>35</v>
      </c>
      <c r="C10" s="15">
        <f>主表2!D38</f>
        <v>61445</v>
      </c>
      <c r="D10" s="15">
        <f>主表2!E38</f>
        <v>25282</v>
      </c>
      <c r="E10" s="15">
        <f>主表2!F38</f>
        <v>12549</v>
      </c>
      <c r="F10" s="15">
        <f>主表2!G38</f>
        <v>0</v>
      </c>
      <c r="G10" s="15">
        <f>主表2!H38</f>
        <v>0</v>
      </c>
      <c r="H10" s="15">
        <f>主表2!I38</f>
        <v>0</v>
      </c>
      <c r="I10" s="15"/>
      <c r="J10" s="16">
        <f t="shared" si="1"/>
        <v>99276</v>
      </c>
    </row>
    <row r="11" spans="1:10" ht="24" customHeight="1">
      <c r="A11" s="10">
        <v>8</v>
      </c>
      <c r="B11" s="17" t="s">
        <v>36</v>
      </c>
      <c r="C11" s="15"/>
      <c r="D11" s="15">
        <f>底表3!C13</f>
        <v>0</v>
      </c>
      <c r="E11" s="15">
        <f>底表3!D13</f>
        <v>0</v>
      </c>
      <c r="F11" s="15">
        <f>底表3!E13</f>
        <v>0</v>
      </c>
      <c r="G11" s="15">
        <f>底表3!F13</f>
        <v>0</v>
      </c>
      <c r="H11" s="15">
        <f>底表3!G13</f>
        <v>0</v>
      </c>
      <c r="I11" s="15">
        <f>底表3!H13</f>
        <v>0</v>
      </c>
      <c r="J11" s="16">
        <f>SUM(D11:I11)</f>
        <v>0</v>
      </c>
    </row>
    <row r="12" spans="1:10" ht="24" customHeight="1">
      <c r="A12" s="10">
        <v>9</v>
      </c>
      <c r="B12" s="17" t="s">
        <v>240</v>
      </c>
      <c r="C12" s="15"/>
      <c r="D12" s="15">
        <f>'主表4-1'!C6+主表4_2!C6</f>
        <v>702</v>
      </c>
      <c r="E12" s="15">
        <f>'主表4-1'!D6+主表4_2!D6</f>
        <v>2331</v>
      </c>
      <c r="F12" s="15">
        <f>'主表4-1'!E6+主表4_2!E6</f>
        <v>0</v>
      </c>
      <c r="G12" s="15">
        <f>'主表4-1'!F6+主表4_2!F6</f>
        <v>0</v>
      </c>
      <c r="H12" s="15">
        <f>'主表4-1'!G6+主表4_2!G6</f>
        <v>0</v>
      </c>
      <c r="I12" s="15">
        <f>'主表4-1'!H6+主表4_2!H6</f>
        <v>0</v>
      </c>
      <c r="J12" s="16">
        <f t="shared" ref="J12:J18" si="3">SUM(D12:I12)</f>
        <v>3033</v>
      </c>
    </row>
    <row r="13" spans="1:10" ht="24" customHeight="1">
      <c r="A13" s="10">
        <v>10</v>
      </c>
      <c r="B13" s="30" t="s">
        <v>39</v>
      </c>
      <c r="C13" s="15">
        <f>'延后一年4-1'!C8</f>
        <v>0</v>
      </c>
      <c r="D13" s="15">
        <f>'延后一年4-1'!D8</f>
        <v>468</v>
      </c>
      <c r="E13" s="15">
        <f>'延后一年4-1'!E8</f>
        <v>1554</v>
      </c>
      <c r="F13" s="15">
        <f>'延后一年4-1'!F8</f>
        <v>376</v>
      </c>
      <c r="G13" s="15">
        <f>'延后一年4-1'!G8</f>
        <v>0</v>
      </c>
      <c r="H13" s="15">
        <f>'延后一年4-1'!H8</f>
        <v>0</v>
      </c>
      <c r="I13" s="15">
        <f>'延后一年4-1'!I8</f>
        <v>0</v>
      </c>
      <c r="J13" s="16">
        <f t="shared" si="3"/>
        <v>2398</v>
      </c>
    </row>
    <row r="14" spans="1:10" ht="24" customHeight="1">
      <c r="A14" s="10">
        <v>11</v>
      </c>
      <c r="B14" s="30" t="s">
        <v>30</v>
      </c>
      <c r="C14" s="15">
        <f>'延后一年4-1'!C13</f>
        <v>0</v>
      </c>
      <c r="D14" s="15">
        <f>'延后一年4-1'!D13+主表4_2!C8</f>
        <v>0</v>
      </c>
      <c r="E14" s="15">
        <f>'延后一年4-1'!E13+主表4_2!D8</f>
        <v>2345</v>
      </c>
      <c r="F14" s="15">
        <f>'延后一年4-1'!F13+主表4_2!E8</f>
        <v>914</v>
      </c>
      <c r="G14" s="15">
        <f>'延后一年4-1'!G13+主表4_2!F8</f>
        <v>0</v>
      </c>
      <c r="H14" s="15">
        <f>'延后一年4-1'!H13+主表4_2!G8</f>
        <v>0</v>
      </c>
      <c r="I14" s="15">
        <f>'延后一年4-1'!I13+主表4_2!H8</f>
        <v>0</v>
      </c>
      <c r="J14" s="16">
        <f t="shared" si="3"/>
        <v>3259</v>
      </c>
    </row>
    <row r="15" spans="1:10" ht="24" customHeight="1">
      <c r="A15" s="10">
        <v>12</v>
      </c>
      <c r="B15" s="11"/>
      <c r="C15" s="15"/>
      <c r="D15" s="15"/>
      <c r="E15" s="15"/>
      <c r="F15" s="15"/>
      <c r="G15" s="15"/>
      <c r="H15" s="15"/>
      <c r="I15" s="15"/>
      <c r="J15" s="16">
        <f t="shared" si="3"/>
        <v>0</v>
      </c>
    </row>
    <row r="16" spans="1:10" ht="24" customHeight="1">
      <c r="A16" s="10">
        <v>13</v>
      </c>
      <c r="B16" s="17" t="s">
        <v>40</v>
      </c>
      <c r="C16" s="15">
        <f t="shared" ref="C16:H16" si="4">C4-C9</f>
        <v>-61445</v>
      </c>
      <c r="D16" s="15">
        <f t="shared" si="4"/>
        <v>-3050</v>
      </c>
      <c r="E16" s="15">
        <f t="shared" si="4"/>
        <v>58926</v>
      </c>
      <c r="F16" s="15">
        <f t="shared" si="4"/>
        <v>17509</v>
      </c>
      <c r="G16" s="15">
        <f t="shared" si="4"/>
        <v>0</v>
      </c>
      <c r="H16" s="15">
        <f t="shared" si="4"/>
        <v>0</v>
      </c>
      <c r="I16" s="15">
        <f>I4-I9</f>
        <v>0</v>
      </c>
      <c r="J16" s="16">
        <f t="shared" si="3"/>
        <v>73385</v>
      </c>
    </row>
    <row r="17" spans="1:10" ht="24" customHeight="1">
      <c r="A17" s="10">
        <v>14</v>
      </c>
      <c r="B17" s="17" t="s">
        <v>41</v>
      </c>
      <c r="C17" s="15">
        <f>C16</f>
        <v>-61445</v>
      </c>
      <c r="D17" s="15">
        <f t="shared" ref="D17:I17" si="5">C17+D16</f>
        <v>-64495</v>
      </c>
      <c r="E17" s="15">
        <f t="shared" si="5"/>
        <v>-5569</v>
      </c>
      <c r="F17" s="15">
        <f t="shared" si="5"/>
        <v>11940</v>
      </c>
      <c r="G17" s="15">
        <f t="shared" si="5"/>
        <v>11940</v>
      </c>
      <c r="H17" s="15">
        <f t="shared" si="5"/>
        <v>11940</v>
      </c>
      <c r="I17" s="15">
        <f t="shared" si="5"/>
        <v>11940</v>
      </c>
      <c r="J17" s="16">
        <f t="shared" si="3"/>
        <v>-22304</v>
      </c>
    </row>
    <row r="18" spans="1:10" ht="24" customHeight="1">
      <c r="A18" s="10">
        <v>15</v>
      </c>
      <c r="B18" s="17" t="s">
        <v>235</v>
      </c>
      <c r="C18" s="15">
        <f>C16/(1+$C$21)^1</f>
        <v>-56894</v>
      </c>
      <c r="D18" s="15">
        <f>D16/(1+$C$21)^2</f>
        <v>-2615</v>
      </c>
      <c r="E18" s="15">
        <f>E16/(1+$C$21)^3</f>
        <v>46777</v>
      </c>
      <c r="F18" s="15">
        <f>F16/(1+$C$21)^4</f>
        <v>12870</v>
      </c>
      <c r="G18" s="15">
        <f>G16/(1+$C$21)^5</f>
        <v>0</v>
      </c>
      <c r="H18" s="15">
        <f>H16/(1+$C$21)^6</f>
        <v>0</v>
      </c>
      <c r="I18" s="15">
        <f>I16/(1+$C$21)^7</f>
        <v>0</v>
      </c>
      <c r="J18" s="16">
        <f t="shared" si="3"/>
        <v>57032</v>
      </c>
    </row>
    <row r="19" spans="1:10" ht="24" customHeight="1">
      <c r="A19" s="10">
        <v>16</v>
      </c>
      <c r="B19" s="17" t="s">
        <v>42</v>
      </c>
      <c r="C19" s="15">
        <f>C18</f>
        <v>-56894</v>
      </c>
      <c r="D19" s="15">
        <f t="shared" ref="D19:I19" si="6">C19+D18</f>
        <v>-59509</v>
      </c>
      <c r="E19" s="15">
        <f t="shared" si="6"/>
        <v>-12732</v>
      </c>
      <c r="F19" s="15">
        <f t="shared" si="6"/>
        <v>138</v>
      </c>
      <c r="G19" s="15">
        <f t="shared" si="6"/>
        <v>138</v>
      </c>
      <c r="H19" s="15">
        <f t="shared" si="6"/>
        <v>138</v>
      </c>
      <c r="I19" s="15">
        <f t="shared" si="6"/>
        <v>138</v>
      </c>
      <c r="J19" s="16">
        <f>SUM(D19:I19)</f>
        <v>-71689</v>
      </c>
    </row>
    <row r="20" spans="1:10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5">
      <c r="A21" s="18" t="s">
        <v>410</v>
      </c>
      <c r="B21" s="18"/>
      <c r="C21" s="20">
        <v>0.08</v>
      </c>
      <c r="D21" s="18" t="s">
        <v>412</v>
      </c>
      <c r="E21" s="18"/>
      <c r="F21" s="18"/>
      <c r="G21" s="28">
        <f>NPV(C21,C16:I16)</f>
        <v>139</v>
      </c>
      <c r="H21" s="25" t="s">
        <v>353</v>
      </c>
      <c r="I21" s="18"/>
      <c r="J21" s="18"/>
    </row>
    <row r="22" spans="1:10" ht="15">
      <c r="A22" s="18" t="s">
        <v>411</v>
      </c>
      <c r="B22" s="18"/>
      <c r="C22" s="21">
        <f>IRR(C16:I16,0.2)</f>
        <v>8.1199999999999994E-2</v>
      </c>
      <c r="D22" s="18" t="s">
        <v>413</v>
      </c>
      <c r="E22" s="18"/>
      <c r="F22" s="18"/>
      <c r="G22" s="26">
        <f>IF(D19&gt;=0,2-D19/(D19-C19),IF(E19&gt;=0,3-E19/(E19-D19),IF(F19&gt;=0,4-F19/(F19-E19),IF(G19&gt;=0,5-G19/(G19-F19),IF(H19&gt;=0,6-H19/(H19-G19),IF(I19&gt;=0,7-I19/(I19-H19),"超出"))))))</f>
        <v>3.99</v>
      </c>
      <c r="H22" s="25" t="s">
        <v>354</v>
      </c>
      <c r="I22" s="18"/>
      <c r="J22" s="18"/>
    </row>
  </sheetData>
  <customSheetViews>
    <customSheetView guid="{33FE80C0-0EDF-11D4-8B3D-001060002050}" scale="75" showRuler="0" topLeftCell="A10">
      <selection activeCell="G22" sqref="G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1"/>
      <headerFooter alignWithMargins="0"/>
    </customSheetView>
    <customSheetView guid="{62777320-11E7-11D4-8B3D-00E098726125}" scale="75" showRuler="0" topLeftCell="A10">
      <selection activeCell="G22" sqref="G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2"/>
      <headerFooter alignWithMargins="0"/>
    </customSheetView>
  </customSheetViews>
  <mergeCells count="1">
    <mergeCell ref="A1:G1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20"/>
  <sheetViews>
    <sheetView workbookViewId="0" xr3:uid="{C7A11F4D-6E51-5B1A-9CF2-8FFD2B06F078}">
      <selection activeCell="J8" sqref="J8"/>
    </sheetView>
  </sheetViews>
  <sheetFormatPr defaultRowHeight="14.25"/>
  <cols>
    <col min="1" max="1" width="5" customWidth="1"/>
    <col min="2" max="2" width="23.875" customWidth="1"/>
    <col min="3" max="3" width="9.125" bestFit="1" customWidth="1"/>
  </cols>
  <sheetData>
    <row r="1" spans="1:16" ht="18">
      <c r="A1" s="936" t="s">
        <v>184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6" ht="15">
      <c r="A2" s="32"/>
      <c r="B2" s="19"/>
      <c r="C2" s="18"/>
      <c r="D2" s="18"/>
      <c r="E2" s="18"/>
      <c r="F2" s="18"/>
      <c r="G2" s="18"/>
      <c r="H2" s="940" t="s">
        <v>27</v>
      </c>
      <c r="I2" s="940"/>
      <c r="J2" s="939"/>
    </row>
    <row r="3" spans="1:16" ht="15">
      <c r="A3" s="17" t="s">
        <v>28</v>
      </c>
      <c r="B3" s="23" t="s">
        <v>53</v>
      </c>
      <c r="C3" s="10" t="str">
        <f>主表2!D3</f>
        <v>2018年</v>
      </c>
      <c r="D3" s="10" t="str">
        <f>主表2!E3</f>
        <v>2019年</v>
      </c>
      <c r="E3" s="10" t="str">
        <f>主表2!F3</f>
        <v>2020年</v>
      </c>
      <c r="F3" s="10" t="str">
        <f>主表2!G3</f>
        <v>2021年</v>
      </c>
      <c r="G3" s="10" t="str">
        <f>主表2!H3</f>
        <v>2022年</v>
      </c>
      <c r="H3" s="10" t="str">
        <f>主表2!I3</f>
        <v>2023年</v>
      </c>
      <c r="I3" s="10" t="s">
        <v>696</v>
      </c>
      <c r="J3" s="23" t="s">
        <v>233</v>
      </c>
    </row>
    <row r="4" spans="1:16" ht="15">
      <c r="A4" s="10">
        <v>1</v>
      </c>
      <c r="B4" s="17" t="s">
        <v>9</v>
      </c>
      <c r="C4" s="33"/>
      <c r="D4" s="33">
        <f>'主表4-1'!C4</f>
        <v>23402</v>
      </c>
      <c r="E4" s="33">
        <f>'主表4-1'!D4</f>
        <v>77705</v>
      </c>
      <c r="F4" s="33">
        <f>'主表4-1'!E4</f>
        <v>18799</v>
      </c>
      <c r="G4" s="33">
        <f>'主表4-1'!F4</f>
        <v>0</v>
      </c>
      <c r="H4" s="33">
        <f>'主表4-1'!G4</f>
        <v>0</v>
      </c>
      <c r="I4" s="33">
        <f>'主表4-1'!H4</f>
        <v>0</v>
      </c>
      <c r="J4" s="15">
        <f>SUM(C4:I4)</f>
        <v>119906</v>
      </c>
    </row>
    <row r="5" spans="1:16" ht="15">
      <c r="A5" s="10">
        <v>2</v>
      </c>
      <c r="B5" s="17" t="s">
        <v>519</v>
      </c>
      <c r="C5" s="15">
        <f>C4/$J$4*主表2!$K$36</f>
        <v>0</v>
      </c>
      <c r="D5" s="15">
        <f>D4/$J$4*主表2!$K$36</f>
        <v>18382</v>
      </c>
      <c r="E5" s="15">
        <f>E4/$J$4*主表2!$K$36</f>
        <v>61038</v>
      </c>
      <c r="F5" s="15">
        <f>F4/$J$4*主表2!$K$36</f>
        <v>14767</v>
      </c>
      <c r="G5" s="15">
        <f>G4/$J$4*主表2!$K$36</f>
        <v>0</v>
      </c>
      <c r="H5" s="15">
        <f>H4/$J$4*主表2!$K$36</f>
        <v>0</v>
      </c>
      <c r="I5" s="15">
        <f>I4/$J$4*主表2!$K$36</f>
        <v>0</v>
      </c>
      <c r="J5" s="15">
        <f>J4/$J$4*主表2!$K$13*(1+$B$2)</f>
        <v>101438</v>
      </c>
    </row>
    <row r="6" spans="1:16" ht="15">
      <c r="A6" s="10">
        <v>3</v>
      </c>
      <c r="B6" s="17" t="s">
        <v>240</v>
      </c>
      <c r="C6" s="15"/>
      <c r="D6" s="15">
        <f>底表1!F12</f>
        <v>702</v>
      </c>
      <c r="E6" s="15">
        <f>底表1!H12</f>
        <v>2331</v>
      </c>
      <c r="F6" s="15">
        <f>底表1!J12</f>
        <v>0</v>
      </c>
      <c r="G6" s="15">
        <f>底表1!L12</f>
        <v>0</v>
      </c>
      <c r="H6" s="15">
        <f>底表1!N12</f>
        <v>0</v>
      </c>
      <c r="I6" s="15">
        <f>底表1!P12</f>
        <v>0</v>
      </c>
      <c r="J6" s="15">
        <f>SUM(C6:H6)</f>
        <v>3033</v>
      </c>
    </row>
    <row r="7" spans="1:16" ht="15">
      <c r="A7" s="10">
        <v>4</v>
      </c>
      <c r="B7" s="17" t="s">
        <v>38</v>
      </c>
      <c r="C7" s="15"/>
      <c r="D7" s="15"/>
      <c r="E7" s="15"/>
      <c r="F7" s="15"/>
      <c r="G7" s="15"/>
      <c r="H7" s="15"/>
      <c r="I7" s="15"/>
      <c r="J7" s="15">
        <f>SUM(C7:H7)</f>
        <v>0</v>
      </c>
    </row>
    <row r="8" spans="1:16" ht="15">
      <c r="A8" s="10">
        <v>5</v>
      </c>
      <c r="B8" s="17" t="s">
        <v>39</v>
      </c>
      <c r="C8" s="15">
        <f t="shared" ref="C8:I8" si="0">C4/$J$4*$J$8</f>
        <v>0</v>
      </c>
      <c r="D8" s="15">
        <f>ROUND(D4*2%,0)</f>
        <v>468</v>
      </c>
      <c r="E8" s="15">
        <f>ROUND(E4*2%,0)</f>
        <v>1554</v>
      </c>
      <c r="F8" s="15">
        <f>ROUND(F4*2%,0)</f>
        <v>376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>IF(J4/(J5+J6+J7+J9+J10+J11)-1&gt;2,((J4-3*(J5+J6+J7+J9+J10+J11))*60%+(J5+J6+J7+J9+J10+J11)*(50%+0.5*40%+0.5*30%)),IF(AND(J4/(J5+J6+J7+J9+J10+J11)-1&gt;1,J4/(J5+J6+J7+J9+J10+J11)-1&lt;=2),((J4-2*(J5+J6+J7+J9+J10+J11))*50%+(J5+J6+J7+J9+J10+J11)*(0.5*40%+0.5*30%)),IF(AND(J4/(J5+J6+J7+J9+J10+J11)-1&gt;0.5,J4/(J5+J6+J7+J9+J10+J11)-1&lt;=1),((J4-1.5*(J5+J6+J7+J9+J10+J11))*40%+(J5+J6+J7+J9+J10+J11)*0.5*30%),IF(AND(J4/(J5+J6+J7+J9+J10+J11)-1&gt;=0,J4/(J5+J6+J7+J9+J10+J11)-1&lt;=0.2,基础数据!C28="是"),0,IF(AND(J4/(J5+J6+J7+J9+J10+J11)-1&gt;=0,J4/(J5+J6+J7+J9+J10+J11)-1&lt;=0.5),((J4-1*(J5+J6+J7+J9+J10+J11))*30%))))))</f>
        <v>0</v>
      </c>
    </row>
    <row r="9" spans="1:16" ht="15">
      <c r="A9" s="10">
        <v>6</v>
      </c>
      <c r="B9" s="17" t="s">
        <v>313</v>
      </c>
      <c r="C9" s="15">
        <f>主表2!D31</f>
        <v>468</v>
      </c>
      <c r="D9" s="15">
        <f>主表2!E31</f>
        <v>1554</v>
      </c>
      <c r="E9" s="15">
        <f>主表2!F31</f>
        <v>376</v>
      </c>
      <c r="F9" s="15">
        <f>主表2!G31</f>
        <v>0</v>
      </c>
      <c r="G9" s="15">
        <f>主表2!H31</f>
        <v>0</v>
      </c>
      <c r="H9" s="15">
        <f>主表2!I31</f>
        <v>0</v>
      </c>
      <c r="I9" s="15">
        <f>0</f>
        <v>0</v>
      </c>
      <c r="J9" s="15">
        <f t="shared" ref="J9:J20" si="1">SUM(C9:H9)</f>
        <v>2398</v>
      </c>
    </row>
    <row r="10" spans="1:16" ht="15">
      <c r="A10" s="10">
        <v>7</v>
      </c>
      <c r="B10" s="17" t="s">
        <v>480</v>
      </c>
      <c r="C10" s="15">
        <f>主表2!D32</f>
        <v>1694</v>
      </c>
      <c r="D10" s="15">
        <f>主表2!E32</f>
        <v>659</v>
      </c>
      <c r="E10" s="15">
        <f>主表2!F32</f>
        <v>338</v>
      </c>
      <c r="F10" s="15">
        <f>主表2!G32</f>
        <v>0</v>
      </c>
      <c r="G10" s="15">
        <f>主表2!H32</f>
        <v>0</v>
      </c>
      <c r="H10" s="15">
        <f>主表2!I32</f>
        <v>0</v>
      </c>
      <c r="I10" s="15">
        <f>0</f>
        <v>0</v>
      </c>
      <c r="J10" s="15">
        <f t="shared" si="1"/>
        <v>2691</v>
      </c>
    </row>
    <row r="11" spans="1:16" ht="15">
      <c r="A11" s="10">
        <v>8</v>
      </c>
      <c r="B11" s="17" t="s">
        <v>234</v>
      </c>
      <c r="C11" s="15">
        <f>主表2!D33</f>
        <v>1081</v>
      </c>
      <c r="D11" s="15">
        <f>主表2!E33</f>
        <v>1081</v>
      </c>
      <c r="E11" s="15">
        <f>主表2!F33</f>
        <v>0</v>
      </c>
      <c r="F11" s="15">
        <f>主表2!G33</f>
        <v>0</v>
      </c>
      <c r="G11" s="15">
        <f>主表2!H33</f>
        <v>0</v>
      </c>
      <c r="H11" s="15">
        <f>主表2!I33</f>
        <v>0</v>
      </c>
      <c r="I11" s="15">
        <f>0</f>
        <v>0</v>
      </c>
      <c r="J11" s="15">
        <f t="shared" si="1"/>
        <v>2162</v>
      </c>
    </row>
    <row r="12" spans="1:16" ht="15">
      <c r="A12" s="10">
        <v>9</v>
      </c>
      <c r="B12" s="17" t="s">
        <v>520</v>
      </c>
      <c r="C12" s="15">
        <f t="shared" ref="C12:I12" si="2">C4-C5-C6-C7-C8-C9-C10-C11</f>
        <v>-3243</v>
      </c>
      <c r="D12" s="15">
        <f t="shared" si="2"/>
        <v>556</v>
      </c>
      <c r="E12" s="15">
        <f t="shared" si="2"/>
        <v>12068</v>
      </c>
      <c r="F12" s="15">
        <f t="shared" si="2"/>
        <v>3656</v>
      </c>
      <c r="G12" s="15">
        <f t="shared" si="2"/>
        <v>0</v>
      </c>
      <c r="H12" s="15">
        <f t="shared" si="2"/>
        <v>0</v>
      </c>
      <c r="I12" s="15">
        <f t="shared" si="2"/>
        <v>0</v>
      </c>
      <c r="J12" s="15">
        <f t="shared" si="1"/>
        <v>13037</v>
      </c>
      <c r="K12" s="31">
        <f>C12</f>
        <v>-3243</v>
      </c>
      <c r="L12" s="31">
        <f>D12+C12</f>
        <v>-2687</v>
      </c>
      <c r="M12" s="31">
        <f>E12+D12+C12</f>
        <v>9381</v>
      </c>
      <c r="N12" s="31">
        <f>F12+E12+D12+C12</f>
        <v>13037</v>
      </c>
      <c r="O12" s="31">
        <f>G12+F12+E12+D12+C12</f>
        <v>13037</v>
      </c>
      <c r="P12" s="31">
        <f>H12+G12+F12+E12+D12+C12</f>
        <v>13037</v>
      </c>
    </row>
    <row r="13" spans="1:16" ht="15">
      <c r="A13" s="10">
        <v>10</v>
      </c>
      <c r="B13" s="17" t="s">
        <v>241</v>
      </c>
      <c r="C13" s="29">
        <f>IF(C12&lt;=0,0,IF(C12&gt;0,C12*基础数据!$C$19))</f>
        <v>0</v>
      </c>
      <c r="D13" s="29">
        <f>IF(D12&lt;=0,0,IF(AND(K12&lt;0,L12&gt;0),L12*基础数据!$C$19,IF(L12&lt;0,0,IF(AND(L12&gt;0,K12&gt;0),D12*基础数据!$C$19))))</f>
        <v>0</v>
      </c>
      <c r="E13" s="29">
        <f>IF(E12&lt;=0,0,IF(AND(L12&lt;0,M12&gt;0),M12*基础数据!$C$19,IF(M12&lt;0,0,IF(AND(M12&gt;0,L12&gt;0),E12*基础数据!$C$19))))</f>
        <v>2345</v>
      </c>
      <c r="F13" s="29">
        <f>IF(F12&lt;=0,0,IF(AND(M12&lt;0,N12&gt;0),N12*基础数据!$C$19,IF(N12&lt;0,0,IF(AND(N12&gt;0,M12&gt;0),F12*基础数据!$C$19))))</f>
        <v>914</v>
      </c>
      <c r="G13" s="29">
        <f>IF(G12&lt;=0,0,IF(AND(N12&lt;0,O12&gt;0),O12*基础数据!$C$19,IF(O12&lt;0,0,IF(AND(O12&gt;0,N12&gt;0),G12*基础数据!$C$19))))</f>
        <v>0</v>
      </c>
      <c r="H13" s="29">
        <f>IF(H12&lt;=0,0,IF(AND(O12&lt;0,P12&gt;0),P12*基础数据!$C$19,IF(P12&lt;0,0,IF(AND(P12&gt;0,O12&gt;0),H12*基础数据!$C$19))))</f>
        <v>0</v>
      </c>
      <c r="I13" s="29">
        <f>I12*基础数据!C19</f>
        <v>0</v>
      </c>
      <c r="J13" s="15">
        <f t="shared" si="1"/>
        <v>3259</v>
      </c>
    </row>
    <row r="14" spans="1:16" ht="15">
      <c r="A14" s="10">
        <v>11</v>
      </c>
      <c r="B14" s="17" t="s">
        <v>111</v>
      </c>
      <c r="C14" s="15">
        <f t="shared" ref="C14:I14" si="3">C12-C13</f>
        <v>-3243</v>
      </c>
      <c r="D14" s="15">
        <f t="shared" si="3"/>
        <v>556</v>
      </c>
      <c r="E14" s="15">
        <f t="shared" si="3"/>
        <v>9723</v>
      </c>
      <c r="F14" s="15">
        <f t="shared" si="3"/>
        <v>2742</v>
      </c>
      <c r="G14" s="15">
        <f t="shared" si="3"/>
        <v>0</v>
      </c>
      <c r="H14" s="15">
        <f t="shared" si="3"/>
        <v>0</v>
      </c>
      <c r="I14" s="15">
        <f t="shared" si="3"/>
        <v>0</v>
      </c>
      <c r="J14" s="15">
        <f t="shared" si="1"/>
        <v>9778</v>
      </c>
    </row>
    <row r="15" spans="1:16" ht="15">
      <c r="A15" s="10">
        <v>12</v>
      </c>
      <c r="B15" s="11" t="s">
        <v>112</v>
      </c>
      <c r="C15" s="15"/>
      <c r="D15" s="15">
        <f>C20</f>
        <v>-3243</v>
      </c>
      <c r="E15" s="15">
        <f>D20</f>
        <v>-2770</v>
      </c>
      <c r="F15" s="15">
        <f>E20</f>
        <v>5495</v>
      </c>
      <c r="G15" s="15"/>
      <c r="H15" s="15"/>
      <c r="I15" s="15"/>
      <c r="J15" s="15">
        <f t="shared" si="1"/>
        <v>-518</v>
      </c>
    </row>
    <row r="16" spans="1:16" ht="15">
      <c r="A16" s="10">
        <v>13</v>
      </c>
      <c r="B16" s="17" t="s">
        <v>113</v>
      </c>
      <c r="C16" s="15">
        <f>C15+C14</f>
        <v>-3243</v>
      </c>
      <c r="D16" s="15">
        <f>D15+D14</f>
        <v>-2687</v>
      </c>
      <c r="E16" s="15">
        <f>E15+E14</f>
        <v>6953</v>
      </c>
      <c r="F16" s="15">
        <f>F15+F14</f>
        <v>8237</v>
      </c>
      <c r="G16" s="15"/>
      <c r="H16" s="15"/>
      <c r="I16" s="15"/>
      <c r="J16" s="15">
        <f t="shared" si="1"/>
        <v>9260</v>
      </c>
    </row>
    <row r="17" spans="1:10" ht="15">
      <c r="A17" s="10">
        <v>14</v>
      </c>
      <c r="B17" s="11" t="s">
        <v>238</v>
      </c>
      <c r="C17" s="15">
        <f>IF(C14&lt;0,0,C14*基础数据!$C$29)</f>
        <v>0</v>
      </c>
      <c r="D17" s="15">
        <f>IF(D14&lt;0,0,D14*基础数据!$C$29)</f>
        <v>83</v>
      </c>
      <c r="E17" s="15">
        <f>IF(E14&lt;0,0,E14*基础数据!$C$29)</f>
        <v>1458</v>
      </c>
      <c r="F17" s="15">
        <f>IF(F14&lt;0,0,F14*基础数据!$C$29)</f>
        <v>411</v>
      </c>
      <c r="G17" s="15">
        <f>IF(G14&lt;0,0,G14*基础数据!$C$29)</f>
        <v>0</v>
      </c>
      <c r="H17" s="15">
        <f>IF(H14&lt;0,0,H14*基础数据!$C$29)</f>
        <v>0</v>
      </c>
      <c r="I17" s="15">
        <f>IF(I14&lt;0,0,I14*基础数据!$C$29)</f>
        <v>0</v>
      </c>
      <c r="J17" s="15">
        <f t="shared" si="1"/>
        <v>1952</v>
      </c>
    </row>
    <row r="18" spans="1:10" ht="15">
      <c r="A18" s="10">
        <v>15</v>
      </c>
      <c r="B18" s="11" t="s">
        <v>295</v>
      </c>
      <c r="C18" s="15">
        <f>IF(C14&lt;0,0,C14*基础数据!$C$30)</f>
        <v>0</v>
      </c>
      <c r="D18" s="15">
        <f>IF(D14&lt;0,0,D14*基础数据!$C$30)</f>
        <v>28</v>
      </c>
      <c r="E18" s="15">
        <f>IF(E14&lt;0,0,E14*基础数据!$C$30)</f>
        <v>486</v>
      </c>
      <c r="F18" s="15">
        <f>IF(F14&lt;0,0,F14*基础数据!$C$30)</f>
        <v>137</v>
      </c>
      <c r="G18" s="15">
        <f>IF(G14&lt;0,0,G14*基础数据!$C$30)</f>
        <v>0</v>
      </c>
      <c r="H18" s="15">
        <f>IF(H14&lt;0,0,H14*基础数据!$C$30)</f>
        <v>0</v>
      </c>
      <c r="I18" s="15">
        <f>IF(I14&lt;0,0,I14*基础数据!$C$30)</f>
        <v>0</v>
      </c>
      <c r="J18" s="15">
        <f t="shared" si="1"/>
        <v>651</v>
      </c>
    </row>
    <row r="19" spans="1:10" ht="15">
      <c r="A19" s="10">
        <v>16</v>
      </c>
      <c r="B19" s="11" t="s">
        <v>239</v>
      </c>
      <c r="C19" s="15">
        <f>'主表4-1'!C19</f>
        <v>0</v>
      </c>
      <c r="D19" s="15">
        <f>'主表4-1'!D19</f>
        <v>0</v>
      </c>
      <c r="E19" s="15">
        <f>'主表4-1'!E19</f>
        <v>0</v>
      </c>
      <c r="F19" s="15">
        <f>'主表4-1'!F19</f>
        <v>0</v>
      </c>
      <c r="G19" s="15">
        <f>'主表4-1'!G19</f>
        <v>0</v>
      </c>
      <c r="H19" s="15">
        <f>'主表4-1'!H19</f>
        <v>0</v>
      </c>
      <c r="I19" s="15">
        <f>'主表4-1'!J19</f>
        <v>0</v>
      </c>
      <c r="J19" s="15">
        <f t="shared" si="1"/>
        <v>0</v>
      </c>
    </row>
    <row r="20" spans="1:10" ht="15">
      <c r="A20" s="10">
        <v>17</v>
      </c>
      <c r="B20" s="17" t="s">
        <v>116</v>
      </c>
      <c r="C20" s="15">
        <f t="shared" ref="C20:I20" si="4">C16-C17-C19</f>
        <v>-3243</v>
      </c>
      <c r="D20" s="15">
        <f t="shared" si="4"/>
        <v>-2770</v>
      </c>
      <c r="E20" s="15">
        <f t="shared" si="4"/>
        <v>5495</v>
      </c>
      <c r="F20" s="15">
        <f t="shared" si="4"/>
        <v>7826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1"/>
        <v>7308</v>
      </c>
    </row>
  </sheetData>
  <mergeCells count="2">
    <mergeCell ref="A1:J1"/>
    <mergeCell ref="H2:J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7"/>
  <sheetViews>
    <sheetView zoomScale="75" workbookViewId="0" xr3:uid="{D979DC6D-665A-5B40-B235-9A07D260EAB6}">
      <selection sqref="A1:IV65536"/>
    </sheetView>
  </sheetViews>
  <sheetFormatPr defaultRowHeight="14.25"/>
  <cols>
    <col min="1" max="1" width="4.625" style="40" customWidth="1"/>
    <col min="2" max="2" width="26.25" style="40" customWidth="1"/>
    <col min="3" max="9" width="9.625" style="40" customWidth="1"/>
    <col min="10" max="16384" width="9" style="40"/>
  </cols>
  <sheetData>
    <row r="1" spans="1:9" ht="24" customHeight="1">
      <c r="A1" s="929" t="s">
        <v>183</v>
      </c>
      <c r="B1" s="933"/>
      <c r="C1" s="933"/>
      <c r="D1" s="933"/>
      <c r="E1" s="933"/>
      <c r="F1" s="933"/>
      <c r="G1" s="933"/>
      <c r="H1" s="933"/>
      <c r="I1" s="933"/>
    </row>
    <row r="2" spans="1:9" ht="23.25" customHeight="1">
      <c r="A2" s="159" t="s">
        <v>438</v>
      </c>
      <c r="C2" s="942" t="str">
        <f>基础数据!C4</f>
        <v>安徽省芜湖市芜湖县荆江路以北 芜湖中路以东 世纪大道以西</v>
      </c>
      <c r="D2" s="942"/>
      <c r="E2" s="942"/>
      <c r="F2" s="942"/>
      <c r="G2" s="942"/>
      <c r="H2" s="941" t="s">
        <v>27</v>
      </c>
      <c r="I2" s="942"/>
    </row>
    <row r="3" spans="1:9" ht="24" customHeight="1">
      <c r="A3" s="228" t="s">
        <v>28</v>
      </c>
      <c r="B3" s="229" t="s">
        <v>53</v>
      </c>
      <c r="C3" s="200" t="str">
        <f>主表2!D3</f>
        <v>2018年</v>
      </c>
      <c r="D3" s="200" t="str">
        <f>主表2!E3</f>
        <v>2019年</v>
      </c>
      <c r="E3" s="200" t="str">
        <f>主表2!F3</f>
        <v>2020年</v>
      </c>
      <c r="F3" s="200" t="str">
        <f>主表2!G3</f>
        <v>2021年</v>
      </c>
      <c r="G3" s="200" t="str">
        <f>主表2!H3</f>
        <v>2022年</v>
      </c>
      <c r="H3" s="200" t="str">
        <f>主表2!I3</f>
        <v>2023年</v>
      </c>
      <c r="I3" s="229" t="s">
        <v>233</v>
      </c>
    </row>
    <row r="4" spans="1:9" ht="24" customHeight="1">
      <c r="A4" s="200">
        <v>1</v>
      </c>
      <c r="B4" s="228" t="s">
        <v>29</v>
      </c>
      <c r="C4" s="146">
        <f>底表2!C17</f>
        <v>0</v>
      </c>
      <c r="D4" s="146">
        <f>底表2!D17</f>
        <v>0</v>
      </c>
      <c r="E4" s="146">
        <f>底表2!E17</f>
        <v>0</v>
      </c>
      <c r="F4" s="146">
        <f>底表2!F17</f>
        <v>0</v>
      </c>
      <c r="G4" s="146">
        <f>底表2!G17</f>
        <v>0</v>
      </c>
      <c r="H4" s="146">
        <f>底表2!H17</f>
        <v>0</v>
      </c>
      <c r="I4" s="146">
        <f>SUM(C4:H4)</f>
        <v>0</v>
      </c>
    </row>
    <row r="5" spans="1:9" ht="24" customHeight="1">
      <c r="A5" s="200">
        <v>2</v>
      </c>
      <c r="B5" s="228" t="s">
        <v>236</v>
      </c>
      <c r="C5" s="146">
        <f>底表3!C12</f>
        <v>0</v>
      </c>
      <c r="D5" s="146">
        <f>底表3!D12</f>
        <v>0</v>
      </c>
      <c r="E5" s="146">
        <f>底表3!E12</f>
        <v>0</v>
      </c>
      <c r="F5" s="146">
        <f>底表3!F12</f>
        <v>0</v>
      </c>
      <c r="G5" s="146">
        <f>底表3!G12</f>
        <v>0</v>
      </c>
      <c r="H5" s="146">
        <f>底表3!H12</f>
        <v>0</v>
      </c>
      <c r="I5" s="146">
        <f>SUM(C5:H5)</f>
        <v>0</v>
      </c>
    </row>
    <row r="6" spans="1:9" ht="24" customHeight="1">
      <c r="A6" s="200">
        <v>3</v>
      </c>
      <c r="B6" s="228" t="s">
        <v>37</v>
      </c>
      <c r="C6" s="146">
        <f>底表2!C19</f>
        <v>0</v>
      </c>
      <c r="D6" s="146">
        <f>底表2!D19</f>
        <v>0</v>
      </c>
      <c r="E6" s="146">
        <f>底表2!E19</f>
        <v>0</v>
      </c>
      <c r="F6" s="146">
        <f>底表2!F19</f>
        <v>0</v>
      </c>
      <c r="G6" s="146">
        <f>底表2!G19</f>
        <v>0</v>
      </c>
      <c r="H6" s="146">
        <f>底表2!H19</f>
        <v>0</v>
      </c>
      <c r="I6" s="146">
        <f t="shared" ref="I6:I15" si="0">SUM(C6:H6)</f>
        <v>0</v>
      </c>
    </row>
    <row r="7" spans="1:9" ht="24" customHeight="1">
      <c r="A7" s="200">
        <v>4</v>
      </c>
      <c r="B7" s="228" t="s">
        <v>237</v>
      </c>
      <c r="C7" s="146">
        <f t="shared" ref="C7:H7" si="1">C4-C5-C6</f>
        <v>0</v>
      </c>
      <c r="D7" s="146">
        <f t="shared" si="1"/>
        <v>0</v>
      </c>
      <c r="E7" s="146">
        <f t="shared" si="1"/>
        <v>0</v>
      </c>
      <c r="F7" s="146">
        <f t="shared" si="1"/>
        <v>0</v>
      </c>
      <c r="G7" s="146">
        <f t="shared" si="1"/>
        <v>0</v>
      </c>
      <c r="H7" s="146">
        <f t="shared" si="1"/>
        <v>0</v>
      </c>
      <c r="I7" s="146">
        <f t="shared" si="0"/>
        <v>0</v>
      </c>
    </row>
    <row r="8" spans="1:9" ht="24" customHeight="1">
      <c r="A8" s="200">
        <v>5</v>
      </c>
      <c r="B8" s="228" t="s">
        <v>30</v>
      </c>
      <c r="C8" s="146">
        <f t="shared" ref="C8:H8" si="2">C7*33%</f>
        <v>0</v>
      </c>
      <c r="D8" s="146">
        <f t="shared" si="2"/>
        <v>0</v>
      </c>
      <c r="E8" s="146">
        <f t="shared" si="2"/>
        <v>0</v>
      </c>
      <c r="F8" s="146">
        <f t="shared" si="2"/>
        <v>0</v>
      </c>
      <c r="G8" s="146">
        <f t="shared" si="2"/>
        <v>0</v>
      </c>
      <c r="H8" s="146">
        <f t="shared" si="2"/>
        <v>0</v>
      </c>
      <c r="I8" s="146">
        <f t="shared" si="0"/>
        <v>0</v>
      </c>
    </row>
    <row r="9" spans="1:9" ht="24" customHeight="1">
      <c r="A9" s="200">
        <v>6</v>
      </c>
      <c r="B9" s="228" t="s">
        <v>111</v>
      </c>
      <c r="C9" s="146">
        <f t="shared" ref="C9:H9" si="3">C7-C8</f>
        <v>0</v>
      </c>
      <c r="D9" s="146">
        <f t="shared" si="3"/>
        <v>0</v>
      </c>
      <c r="E9" s="146">
        <f t="shared" si="3"/>
        <v>0</v>
      </c>
      <c r="F9" s="146">
        <f t="shared" si="3"/>
        <v>0</v>
      </c>
      <c r="G9" s="146">
        <f t="shared" si="3"/>
        <v>0</v>
      </c>
      <c r="H9" s="146">
        <f t="shared" si="3"/>
        <v>0</v>
      </c>
      <c r="I9" s="146">
        <f t="shared" si="0"/>
        <v>0</v>
      </c>
    </row>
    <row r="10" spans="1:9" ht="24" customHeight="1">
      <c r="A10" s="200">
        <v>7</v>
      </c>
      <c r="B10" s="146" t="s">
        <v>112</v>
      </c>
      <c r="C10" s="146"/>
      <c r="D10" s="146">
        <f>C15</f>
        <v>0</v>
      </c>
      <c r="E10" s="146">
        <f>D15</f>
        <v>0</v>
      </c>
      <c r="F10" s="146">
        <f>E15</f>
        <v>0</v>
      </c>
      <c r="G10" s="146">
        <f>F15</f>
        <v>0</v>
      </c>
      <c r="H10" s="146">
        <f>G15</f>
        <v>0</v>
      </c>
      <c r="I10" s="146">
        <f t="shared" si="0"/>
        <v>0</v>
      </c>
    </row>
    <row r="11" spans="1:9" ht="24" customHeight="1">
      <c r="A11" s="200">
        <v>8</v>
      </c>
      <c r="B11" s="228" t="s">
        <v>113</v>
      </c>
      <c r="C11" s="146">
        <f t="shared" ref="C11:H11" si="4">C9+C10</f>
        <v>0</v>
      </c>
      <c r="D11" s="146">
        <f t="shared" si="4"/>
        <v>0</v>
      </c>
      <c r="E11" s="146">
        <f t="shared" si="4"/>
        <v>0</v>
      </c>
      <c r="F11" s="146">
        <f t="shared" si="4"/>
        <v>0</v>
      </c>
      <c r="G11" s="146">
        <f t="shared" si="4"/>
        <v>0</v>
      </c>
      <c r="H11" s="146">
        <f t="shared" si="4"/>
        <v>0</v>
      </c>
      <c r="I11" s="146">
        <f t="shared" si="0"/>
        <v>0</v>
      </c>
    </row>
    <row r="12" spans="1:9" ht="24" customHeight="1">
      <c r="A12" s="200">
        <v>9</v>
      </c>
      <c r="B12" s="146" t="s">
        <v>238</v>
      </c>
      <c r="C12" s="146"/>
      <c r="D12" s="146"/>
      <c r="E12" s="146"/>
      <c r="F12" s="146"/>
      <c r="G12" s="146"/>
      <c r="H12" s="146"/>
      <c r="I12" s="146">
        <f t="shared" si="0"/>
        <v>0</v>
      </c>
    </row>
    <row r="13" spans="1:9" ht="24" customHeight="1">
      <c r="A13" s="200">
        <v>10</v>
      </c>
      <c r="B13" s="146" t="s">
        <v>295</v>
      </c>
      <c r="C13" s="146"/>
      <c r="D13" s="146"/>
      <c r="E13" s="146"/>
      <c r="F13" s="146"/>
      <c r="G13" s="146"/>
      <c r="H13" s="146"/>
      <c r="I13" s="146">
        <f t="shared" si="0"/>
        <v>0</v>
      </c>
    </row>
    <row r="14" spans="1:9" ht="24" customHeight="1">
      <c r="A14" s="200">
        <v>11</v>
      </c>
      <c r="B14" s="146" t="s">
        <v>239</v>
      </c>
      <c r="C14" s="146"/>
      <c r="D14" s="146"/>
      <c r="E14" s="146"/>
      <c r="F14" s="146"/>
      <c r="G14" s="146"/>
      <c r="H14" s="146"/>
      <c r="I14" s="146">
        <f t="shared" si="0"/>
        <v>0</v>
      </c>
    </row>
    <row r="15" spans="1:9" ht="24" customHeight="1">
      <c r="A15" s="200">
        <v>12</v>
      </c>
      <c r="B15" s="228" t="s">
        <v>116</v>
      </c>
      <c r="C15" s="146">
        <f t="shared" ref="C15:H15" si="5">C11-C12-C14</f>
        <v>0</v>
      </c>
      <c r="D15" s="146">
        <f t="shared" si="5"/>
        <v>0</v>
      </c>
      <c r="E15" s="146">
        <f t="shared" si="5"/>
        <v>0</v>
      </c>
      <c r="F15" s="146">
        <f t="shared" si="5"/>
        <v>0</v>
      </c>
      <c r="G15" s="146">
        <f t="shared" si="5"/>
        <v>0</v>
      </c>
      <c r="H15" s="146">
        <f t="shared" si="5"/>
        <v>0</v>
      </c>
      <c r="I15" s="146">
        <f t="shared" si="0"/>
        <v>0</v>
      </c>
    </row>
    <row r="17" spans="1:2">
      <c r="A17" s="40" t="s">
        <v>3</v>
      </c>
      <c r="B17" s="40" t="s">
        <v>3</v>
      </c>
    </row>
  </sheetData>
  <sheetProtection password="C79D" sheet="1" objects="1" scenarios="1"/>
  <customSheetViews>
    <customSheetView guid="{33FE80C0-0EDF-11D4-8B3D-001060002050}" scale="75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  <customSheetView guid="{62777320-11E7-11D4-8B3D-00E098726125}" scale="75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2"/>
      <headerFooter alignWithMargins="0"/>
    </customSheetView>
  </customSheetViews>
  <mergeCells count="3">
    <mergeCell ref="H2:I2"/>
    <mergeCell ref="A1:I1"/>
    <mergeCell ref="C2:G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2"/>
  <sheetViews>
    <sheetView topLeftCell="A7" workbookViewId="0" xr3:uid="{CAA03FB3-9A95-5D50-9E3C-B000AFB1AE50}">
      <selection activeCell="J18" sqref="J18"/>
    </sheetView>
  </sheetViews>
  <sheetFormatPr defaultRowHeight="14.25"/>
  <cols>
    <col min="1" max="1" width="6.25" style="111" customWidth="1"/>
    <col min="2" max="2" width="24.75" style="111" customWidth="1"/>
    <col min="3" max="8" width="7.625" style="111" customWidth="1"/>
    <col min="9" max="16384" width="9" style="111"/>
  </cols>
  <sheetData>
    <row r="1" spans="1:8" ht="24" customHeight="1">
      <c r="A1" s="929" t="s">
        <v>54</v>
      </c>
      <c r="B1" s="929"/>
      <c r="C1" s="929"/>
      <c r="D1" s="929"/>
      <c r="E1" s="929"/>
      <c r="F1" s="929"/>
      <c r="G1" s="929"/>
      <c r="H1" s="929"/>
    </row>
    <row r="2" spans="1:8" ht="24" customHeight="1">
      <c r="A2" s="111" t="s">
        <v>437</v>
      </c>
      <c r="C2" s="930" t="str">
        <f>底表1!C2</f>
        <v>安徽省芜湖市芜湖县荆江路以北 芜湖中路以东 世纪大道以西</v>
      </c>
      <c r="D2" s="930"/>
      <c r="E2" s="930"/>
      <c r="F2" s="930"/>
      <c r="G2" s="930"/>
      <c r="H2" s="930"/>
    </row>
    <row r="3" spans="1:8" ht="24" customHeight="1">
      <c r="A3" s="119" t="s">
        <v>28</v>
      </c>
      <c r="B3" s="119" t="s">
        <v>53</v>
      </c>
      <c r="C3" s="200" t="s">
        <v>311</v>
      </c>
      <c r="D3" s="200" t="s">
        <v>298</v>
      </c>
      <c r="E3" s="119" t="s">
        <v>299</v>
      </c>
      <c r="F3" s="200" t="s">
        <v>300</v>
      </c>
      <c r="G3" s="119" t="s">
        <v>301</v>
      </c>
      <c r="H3" s="119" t="s">
        <v>312</v>
      </c>
    </row>
    <row r="4" spans="1:8" ht="24" customHeight="1">
      <c r="A4" s="119">
        <v>1</v>
      </c>
      <c r="B4" s="230" t="s">
        <v>55</v>
      </c>
      <c r="C4" s="231"/>
      <c r="D4" s="231"/>
      <c r="E4" s="231"/>
      <c r="F4" s="231"/>
      <c r="G4" s="231"/>
      <c r="H4" s="231"/>
    </row>
    <row r="5" spans="1:8" ht="24" customHeight="1">
      <c r="A5" s="119">
        <v>2</v>
      </c>
      <c r="B5" s="232" t="s">
        <v>56</v>
      </c>
      <c r="C5" s="231"/>
      <c r="D5" s="231"/>
      <c r="E5" s="231"/>
      <c r="F5" s="231"/>
      <c r="G5" s="231"/>
      <c r="H5" s="231"/>
    </row>
    <row r="6" spans="1:8" ht="24" customHeight="1">
      <c r="A6" s="119">
        <v>3</v>
      </c>
      <c r="B6" s="232" t="s">
        <v>57</v>
      </c>
      <c r="C6" s="233">
        <v>0.8</v>
      </c>
      <c r="D6" s="233"/>
      <c r="E6" s="233"/>
      <c r="F6" s="233"/>
      <c r="G6" s="233"/>
      <c r="H6" s="233"/>
    </row>
    <row r="7" spans="1:8" ht="24" customHeight="1">
      <c r="A7" s="119">
        <v>4</v>
      </c>
      <c r="B7" s="234" t="s">
        <v>514</v>
      </c>
      <c r="C7" s="231">
        <f t="shared" ref="C7:H7" si="0">PRODUCT(C4:C6)/10000</f>
        <v>0</v>
      </c>
      <c r="D7" s="231">
        <f t="shared" si="0"/>
        <v>0</v>
      </c>
      <c r="E7" s="231">
        <f t="shared" si="0"/>
        <v>0</v>
      </c>
      <c r="F7" s="231">
        <f t="shared" si="0"/>
        <v>0</v>
      </c>
      <c r="G7" s="231">
        <f t="shared" si="0"/>
        <v>0</v>
      </c>
      <c r="H7" s="231">
        <f t="shared" si="0"/>
        <v>0</v>
      </c>
    </row>
    <row r="8" spans="1:8" ht="24" customHeight="1">
      <c r="A8" s="119">
        <v>5</v>
      </c>
      <c r="B8" s="232" t="s">
        <v>62</v>
      </c>
      <c r="C8" s="231"/>
      <c r="D8" s="231"/>
      <c r="E8" s="231"/>
      <c r="F8" s="231"/>
      <c r="G8" s="231"/>
      <c r="H8" s="231"/>
    </row>
    <row r="9" spans="1:8" ht="24" customHeight="1">
      <c r="A9" s="119">
        <v>6</v>
      </c>
      <c r="B9" s="232" t="s">
        <v>56</v>
      </c>
      <c r="C9" s="231"/>
      <c r="D9" s="231"/>
      <c r="E9" s="231"/>
      <c r="F9" s="231"/>
      <c r="G9" s="231"/>
      <c r="H9" s="231"/>
    </row>
    <row r="10" spans="1:8" ht="24" customHeight="1">
      <c r="A10" s="119">
        <v>7</v>
      </c>
      <c r="B10" s="232" t="s">
        <v>58</v>
      </c>
      <c r="C10" s="233">
        <v>0.8</v>
      </c>
      <c r="D10" s="233"/>
      <c r="E10" s="233"/>
      <c r="F10" s="233"/>
      <c r="G10" s="233"/>
      <c r="H10" s="233"/>
    </row>
    <row r="11" spans="1:8" ht="24" customHeight="1">
      <c r="A11" s="119">
        <v>8</v>
      </c>
      <c r="B11" s="234" t="s">
        <v>515</v>
      </c>
      <c r="C11" s="231">
        <f t="shared" ref="C11:H11" si="1">PRODUCT(C8:C10)/10000</f>
        <v>0</v>
      </c>
      <c r="D11" s="231">
        <f t="shared" si="1"/>
        <v>0</v>
      </c>
      <c r="E11" s="231">
        <f t="shared" si="1"/>
        <v>0</v>
      </c>
      <c r="F11" s="231">
        <f t="shared" si="1"/>
        <v>0</v>
      </c>
      <c r="G11" s="231">
        <f t="shared" si="1"/>
        <v>0</v>
      </c>
      <c r="H11" s="231">
        <f t="shared" si="1"/>
        <v>0</v>
      </c>
    </row>
    <row r="12" spans="1:8" ht="24" customHeight="1">
      <c r="A12" s="119">
        <v>9</v>
      </c>
      <c r="B12" s="232" t="s">
        <v>63</v>
      </c>
      <c r="C12" s="231"/>
      <c r="D12" s="231"/>
      <c r="E12" s="231"/>
      <c r="F12" s="231"/>
      <c r="G12" s="231"/>
      <c r="H12" s="231"/>
    </row>
    <row r="13" spans="1:8" ht="24" customHeight="1">
      <c r="A13" s="119">
        <v>10</v>
      </c>
      <c r="B13" s="232" t="s">
        <v>64</v>
      </c>
      <c r="C13" s="231"/>
      <c r="D13" s="231"/>
      <c r="E13" s="231"/>
      <c r="F13" s="231"/>
      <c r="G13" s="231"/>
      <c r="H13" s="231"/>
    </row>
    <row r="14" spans="1:8" ht="24" customHeight="1">
      <c r="A14" s="119">
        <v>11</v>
      </c>
      <c r="B14" s="232" t="s">
        <v>58</v>
      </c>
      <c r="C14" s="233">
        <v>0.8</v>
      </c>
      <c r="D14" s="233"/>
      <c r="E14" s="233"/>
      <c r="F14" s="233"/>
      <c r="G14" s="233"/>
      <c r="H14" s="233"/>
    </row>
    <row r="15" spans="1:8" ht="24" customHeight="1">
      <c r="A15" s="119">
        <v>12</v>
      </c>
      <c r="B15" s="234" t="s">
        <v>517</v>
      </c>
      <c r="C15" s="231">
        <f t="shared" ref="C15:H15" si="2">PRODUCT(C12:C14)/10000</f>
        <v>0</v>
      </c>
      <c r="D15" s="231">
        <f t="shared" si="2"/>
        <v>0</v>
      </c>
      <c r="E15" s="231">
        <f t="shared" si="2"/>
        <v>0</v>
      </c>
      <c r="F15" s="231">
        <f t="shared" si="2"/>
        <v>0</v>
      </c>
      <c r="G15" s="231">
        <f t="shared" si="2"/>
        <v>0</v>
      </c>
      <c r="H15" s="231">
        <f t="shared" si="2"/>
        <v>0</v>
      </c>
    </row>
    <row r="16" spans="1:8" ht="24" customHeight="1">
      <c r="A16" s="119">
        <v>13</v>
      </c>
      <c r="B16" s="234" t="s">
        <v>516</v>
      </c>
      <c r="C16" s="231"/>
      <c r="D16" s="231"/>
      <c r="E16" s="231"/>
      <c r="F16" s="231"/>
      <c r="G16" s="231"/>
      <c r="H16" s="231"/>
    </row>
    <row r="17" spans="1:8" ht="24" customHeight="1">
      <c r="A17" s="119">
        <v>14</v>
      </c>
      <c r="B17" s="234" t="s">
        <v>518</v>
      </c>
      <c r="C17" s="231">
        <f t="shared" ref="C17:H17" si="3">C16+C15+C11+C7</f>
        <v>0</v>
      </c>
      <c r="D17" s="231">
        <f t="shared" si="3"/>
        <v>0</v>
      </c>
      <c r="E17" s="231">
        <f t="shared" si="3"/>
        <v>0</v>
      </c>
      <c r="F17" s="231">
        <f t="shared" si="3"/>
        <v>0</v>
      </c>
      <c r="G17" s="231">
        <f t="shared" si="3"/>
        <v>0</v>
      </c>
      <c r="H17" s="231">
        <f t="shared" si="3"/>
        <v>0</v>
      </c>
    </row>
    <row r="18" spans="1:8" ht="24" customHeight="1">
      <c r="A18" s="200" t="s">
        <v>3</v>
      </c>
      <c r="B18" s="146" t="s">
        <v>3</v>
      </c>
      <c r="C18" s="231"/>
      <c r="D18" s="231"/>
      <c r="E18" s="231"/>
      <c r="F18" s="231"/>
      <c r="G18" s="231"/>
      <c r="H18" s="231"/>
    </row>
    <row r="19" spans="1:8" ht="24" customHeight="1">
      <c r="A19" s="200">
        <v>15</v>
      </c>
      <c r="B19" s="230" t="s">
        <v>37</v>
      </c>
      <c r="C19" s="231">
        <f t="shared" ref="C19:H19" si="4">SUM(C20:C22)</f>
        <v>0</v>
      </c>
      <c r="D19" s="231">
        <f t="shared" si="4"/>
        <v>0</v>
      </c>
      <c r="E19" s="231">
        <f t="shared" si="4"/>
        <v>0</v>
      </c>
      <c r="F19" s="231">
        <f t="shared" si="4"/>
        <v>0</v>
      </c>
      <c r="G19" s="231">
        <f t="shared" si="4"/>
        <v>0</v>
      </c>
      <c r="H19" s="231">
        <f t="shared" si="4"/>
        <v>0</v>
      </c>
    </row>
    <row r="20" spans="1:8" ht="24.75" customHeight="1">
      <c r="A20" s="200" t="s">
        <v>3</v>
      </c>
      <c r="B20" s="146" t="s">
        <v>59</v>
      </c>
      <c r="C20" s="222">
        <f t="shared" ref="C20:H20" si="5">C17*5%</f>
        <v>0</v>
      </c>
      <c r="D20" s="231">
        <f t="shared" si="5"/>
        <v>0</v>
      </c>
      <c r="E20" s="231">
        <f t="shared" si="5"/>
        <v>0</v>
      </c>
      <c r="F20" s="231">
        <f t="shared" si="5"/>
        <v>0</v>
      </c>
      <c r="G20" s="231">
        <f t="shared" si="5"/>
        <v>0</v>
      </c>
      <c r="H20" s="231">
        <f t="shared" si="5"/>
        <v>0</v>
      </c>
    </row>
    <row r="21" spans="1:8" ht="24" customHeight="1">
      <c r="A21" s="232"/>
      <c r="B21" s="146" t="s">
        <v>60</v>
      </c>
      <c r="C21" s="231">
        <f t="shared" ref="C21:H21" si="6">C20*7%</f>
        <v>0</v>
      </c>
      <c r="D21" s="231">
        <f t="shared" si="6"/>
        <v>0</v>
      </c>
      <c r="E21" s="231">
        <f t="shared" si="6"/>
        <v>0</v>
      </c>
      <c r="F21" s="231">
        <f t="shared" si="6"/>
        <v>0</v>
      </c>
      <c r="G21" s="231">
        <f t="shared" si="6"/>
        <v>0</v>
      </c>
      <c r="H21" s="231">
        <f t="shared" si="6"/>
        <v>0</v>
      </c>
    </row>
    <row r="22" spans="1:8" ht="24" customHeight="1">
      <c r="A22" s="232"/>
      <c r="B22" s="146" t="s">
        <v>61</v>
      </c>
      <c r="C22" s="231">
        <f t="shared" ref="C22:H22" si="7">C20*3%</f>
        <v>0</v>
      </c>
      <c r="D22" s="231">
        <f t="shared" si="7"/>
        <v>0</v>
      </c>
      <c r="E22" s="231">
        <f t="shared" si="7"/>
        <v>0</v>
      </c>
      <c r="F22" s="231">
        <f t="shared" si="7"/>
        <v>0</v>
      </c>
      <c r="G22" s="231">
        <f t="shared" si="7"/>
        <v>0</v>
      </c>
      <c r="H22" s="231">
        <f t="shared" si="7"/>
        <v>0</v>
      </c>
    </row>
  </sheetData>
  <sheetProtection password="C79D" sheet="1" objects="1" scenarios="1"/>
  <customSheetViews>
    <customSheetView guid="{33FE80C0-0EDF-11D4-8B3D-001060002050}" showRuler="0">
      <selection activeCell="B8" sqref="B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1"/>
      <headerFooter alignWithMargins="0"/>
    </customSheetView>
    <customSheetView guid="{62777320-11E7-11D4-8B3D-00E098726125}" showRuler="0">
      <selection activeCell="B8" sqref="B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2"/>
      <headerFooter alignWithMargins="0"/>
    </customSheetView>
  </customSheetViews>
  <mergeCells count="2">
    <mergeCell ref="A1:H1"/>
    <mergeCell ref="C2:H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3"/>
  <sheetViews>
    <sheetView workbookViewId="0" xr3:uid="{62E455AB-44C1-5DAA-A80F-CFF2989D01C0}">
      <selection sqref="A1:IV65536"/>
    </sheetView>
  </sheetViews>
  <sheetFormatPr defaultRowHeight="14.25"/>
  <cols>
    <col min="1" max="1" width="6.25" style="111" customWidth="1"/>
    <col min="2" max="2" width="24.75" style="111" customWidth="1"/>
    <col min="3" max="8" width="7.625" style="111" customWidth="1"/>
    <col min="9" max="16384" width="9" style="111"/>
  </cols>
  <sheetData>
    <row r="1" spans="1:8" ht="24" customHeight="1">
      <c r="A1" s="931" t="s">
        <v>182</v>
      </c>
      <c r="B1" s="931"/>
      <c r="C1" s="931"/>
      <c r="D1" s="931"/>
      <c r="E1" s="931"/>
      <c r="F1" s="931"/>
      <c r="G1" s="931"/>
      <c r="H1" s="931"/>
    </row>
    <row r="2" spans="1:8" ht="27.95" customHeight="1">
      <c r="A2" s="111" t="s">
        <v>436</v>
      </c>
      <c r="C2" s="930" t="str">
        <f>底表2!C2</f>
        <v>安徽省芜湖市芜湖县荆江路以北 芜湖中路以东 世纪大道以西</v>
      </c>
      <c r="D2" s="930"/>
      <c r="E2" s="930"/>
      <c r="F2" s="930" t="s">
        <v>117</v>
      </c>
      <c r="G2" s="930"/>
      <c r="H2" s="930"/>
    </row>
    <row r="3" spans="1:8" ht="27.95" customHeight="1">
      <c r="A3" s="119" t="s">
        <v>28</v>
      </c>
      <c r="B3" s="119" t="s">
        <v>53</v>
      </c>
      <c r="C3" s="200" t="str">
        <f>主表2!D3</f>
        <v>2018年</v>
      </c>
      <c r="D3" s="200" t="str">
        <f>主表2!E3</f>
        <v>2019年</v>
      </c>
      <c r="E3" s="200" t="str">
        <f>主表2!F3</f>
        <v>2020年</v>
      </c>
      <c r="F3" s="200" t="str">
        <f>主表2!G3</f>
        <v>2021年</v>
      </c>
      <c r="G3" s="200" t="str">
        <f>主表2!H3</f>
        <v>2022年</v>
      </c>
      <c r="H3" s="200" t="str">
        <f>主表2!I3</f>
        <v>2023年</v>
      </c>
    </row>
    <row r="4" spans="1:8" ht="27.95" customHeight="1">
      <c r="A4" s="119">
        <v>1</v>
      </c>
      <c r="B4" s="230" t="s">
        <v>65</v>
      </c>
      <c r="C4" s="232"/>
      <c r="D4" s="232"/>
      <c r="E4" s="232"/>
      <c r="F4" s="232"/>
      <c r="G4" s="232"/>
      <c r="H4" s="232"/>
    </row>
    <row r="5" spans="1:8" ht="27.95" customHeight="1">
      <c r="A5" s="119">
        <v>2</v>
      </c>
      <c r="B5" s="232" t="s">
        <v>66</v>
      </c>
      <c r="C5" s="232"/>
      <c r="D5" s="232"/>
      <c r="E5" s="232"/>
      <c r="F5" s="232"/>
      <c r="G5" s="232"/>
      <c r="H5" s="232"/>
    </row>
    <row r="6" spans="1:8" ht="27.95" customHeight="1">
      <c r="A6" s="119">
        <v>3</v>
      </c>
      <c r="B6" s="232" t="s">
        <v>67</v>
      </c>
      <c r="C6" s="232"/>
      <c r="D6" s="232"/>
      <c r="E6" s="232"/>
      <c r="F6" s="232"/>
      <c r="G6" s="232"/>
      <c r="H6" s="232"/>
    </row>
    <row r="7" spans="1:8" ht="27.95" customHeight="1">
      <c r="A7" s="119">
        <v>4</v>
      </c>
      <c r="B7" s="232" t="s">
        <v>68</v>
      </c>
      <c r="C7" s="232"/>
      <c r="D7" s="232"/>
      <c r="E7" s="232"/>
      <c r="F7" s="232"/>
      <c r="G7" s="232"/>
      <c r="H7" s="232"/>
    </row>
    <row r="8" spans="1:8" ht="27.95" customHeight="1">
      <c r="A8" s="119">
        <v>5</v>
      </c>
      <c r="B8" s="232" t="s">
        <v>69</v>
      </c>
      <c r="C8" s="232"/>
      <c r="D8" s="232"/>
      <c r="E8" s="232"/>
      <c r="F8" s="232"/>
      <c r="G8" s="232"/>
      <c r="H8" s="232"/>
    </row>
    <row r="9" spans="1:8" ht="27.95" customHeight="1">
      <c r="A9" s="119">
        <v>6</v>
      </c>
      <c r="B9" s="232" t="s">
        <v>70</v>
      </c>
      <c r="C9" s="232"/>
      <c r="D9" s="232"/>
      <c r="E9" s="232"/>
      <c r="F9" s="232"/>
      <c r="G9" s="232"/>
      <c r="H9" s="232"/>
    </row>
    <row r="10" spans="1:8" ht="27.95" customHeight="1">
      <c r="A10" s="119">
        <v>7</v>
      </c>
      <c r="B10" s="232" t="s">
        <v>71</v>
      </c>
      <c r="C10" s="232"/>
      <c r="D10" s="232"/>
      <c r="E10" s="232"/>
      <c r="F10" s="232"/>
      <c r="G10" s="232"/>
      <c r="H10" s="232"/>
    </row>
    <row r="11" spans="1:8" ht="27.95" customHeight="1">
      <c r="A11" s="119">
        <v>8</v>
      </c>
      <c r="B11" s="232" t="s">
        <v>26</v>
      </c>
      <c r="C11" s="232"/>
      <c r="D11" s="232"/>
      <c r="E11" s="232"/>
      <c r="F11" s="232"/>
      <c r="G11" s="232"/>
      <c r="H11" s="232"/>
    </row>
    <row r="12" spans="1:8" ht="27.95" customHeight="1">
      <c r="A12" s="119">
        <v>9</v>
      </c>
      <c r="B12" s="232" t="s">
        <v>72</v>
      </c>
      <c r="C12" s="232">
        <f t="shared" ref="C12:H12" si="0">SUM(C4:C11)</f>
        <v>0</v>
      </c>
      <c r="D12" s="232">
        <f t="shared" si="0"/>
        <v>0</v>
      </c>
      <c r="E12" s="232">
        <f t="shared" si="0"/>
        <v>0</v>
      </c>
      <c r="F12" s="232">
        <f t="shared" si="0"/>
        <v>0</v>
      </c>
      <c r="G12" s="232">
        <f t="shared" si="0"/>
        <v>0</v>
      </c>
      <c r="H12" s="232">
        <f t="shared" si="0"/>
        <v>0</v>
      </c>
    </row>
    <row r="13" spans="1:8" ht="27.95" customHeight="1">
      <c r="A13" s="119">
        <v>10</v>
      </c>
      <c r="B13" s="232" t="s">
        <v>222</v>
      </c>
      <c r="C13" s="232">
        <f t="shared" ref="C13:H13" si="1">C12-C4-C10</f>
        <v>0</v>
      </c>
      <c r="D13" s="232">
        <f t="shared" si="1"/>
        <v>0</v>
      </c>
      <c r="E13" s="232">
        <f t="shared" si="1"/>
        <v>0</v>
      </c>
      <c r="F13" s="232">
        <f t="shared" si="1"/>
        <v>0</v>
      </c>
      <c r="G13" s="232">
        <f t="shared" si="1"/>
        <v>0</v>
      </c>
      <c r="H13" s="232">
        <f t="shared" si="1"/>
        <v>0</v>
      </c>
    </row>
  </sheetData>
  <sheetProtection password="C79D" sheet="1" objects="1" scenarios="1"/>
  <customSheetViews>
    <customSheetView guid="{33FE80C0-0EDF-11D4-8B3D-001060002050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1"/>
      <headerFooter alignWithMargins="0"/>
    </customSheetView>
    <customSheetView guid="{62777320-11E7-11D4-8B3D-00E098726125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2"/>
      <headerFooter alignWithMargins="0"/>
    </customSheetView>
  </customSheetViews>
  <mergeCells count="3">
    <mergeCell ref="A1:H1"/>
    <mergeCell ref="F2:H2"/>
    <mergeCell ref="C2:E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29"/>
  <sheetViews>
    <sheetView workbookViewId="0" xr3:uid="{E6B2BAC2-667D-5CCD-8069-8C8F7D962337}">
      <selection sqref="A1:IV65536"/>
    </sheetView>
  </sheetViews>
  <sheetFormatPr defaultRowHeight="14.25"/>
  <cols>
    <col min="1" max="1" width="5" style="111" customWidth="1"/>
    <col min="2" max="2" width="33.25" style="111" customWidth="1"/>
    <col min="3" max="8" width="6.625" style="111" customWidth="1"/>
    <col min="9" max="16384" width="9" style="111"/>
  </cols>
  <sheetData>
    <row r="1" spans="1:8" ht="29.25" customHeight="1">
      <c r="A1" s="944" t="s">
        <v>118</v>
      </c>
      <c r="B1" s="944"/>
      <c r="C1" s="944"/>
      <c r="D1" s="944"/>
      <c r="E1" s="944"/>
      <c r="F1" s="944"/>
      <c r="G1" s="944"/>
      <c r="H1" s="944"/>
    </row>
    <row r="2" spans="1:8" ht="18" customHeight="1">
      <c r="A2" s="111" t="s">
        <v>435</v>
      </c>
      <c r="C2" s="942" t="str">
        <f>底表5!C2</f>
        <v>安徽省芜湖市芜湖县荆江路以北 芜湖中路以东 世纪大道以西</v>
      </c>
      <c r="D2" s="942"/>
      <c r="E2" s="942"/>
      <c r="F2" s="942"/>
      <c r="G2" s="943" t="s">
        <v>169</v>
      </c>
      <c r="H2" s="943"/>
    </row>
    <row r="3" spans="1:8" ht="21.95" customHeight="1">
      <c r="A3" s="119" t="s">
        <v>28</v>
      </c>
      <c r="B3" s="119" t="s">
        <v>119</v>
      </c>
      <c r="C3" s="146" t="s">
        <v>135</v>
      </c>
      <c r="D3" s="146" t="s">
        <v>19</v>
      </c>
      <c r="E3" s="146" t="s">
        <v>19</v>
      </c>
      <c r="F3" s="146" t="s">
        <v>19</v>
      </c>
      <c r="G3" s="146" t="s">
        <v>135</v>
      </c>
      <c r="H3" s="146" t="s">
        <v>135</v>
      </c>
    </row>
    <row r="4" spans="1:8" ht="21.95" customHeight="1">
      <c r="A4" s="200" t="s">
        <v>3</v>
      </c>
      <c r="B4" s="235" t="s">
        <v>134</v>
      </c>
      <c r="C4" s="232"/>
      <c r="D4" s="232"/>
      <c r="E4" s="232"/>
      <c r="F4" s="232"/>
      <c r="G4" s="232"/>
      <c r="H4" s="232"/>
    </row>
    <row r="5" spans="1:8" ht="21.95" customHeight="1">
      <c r="A5" s="200">
        <v>1</v>
      </c>
      <c r="B5" s="146" t="s">
        <v>137</v>
      </c>
      <c r="C5" s="232"/>
      <c r="D5" s="232"/>
      <c r="E5" s="232"/>
      <c r="F5" s="232"/>
      <c r="G5" s="232"/>
      <c r="H5" s="232"/>
    </row>
    <row r="6" spans="1:8" ht="21.95" customHeight="1">
      <c r="A6" s="200">
        <v>2</v>
      </c>
      <c r="B6" s="146" t="s">
        <v>138</v>
      </c>
      <c r="C6" s="232"/>
      <c r="D6" s="232"/>
      <c r="E6" s="232"/>
      <c r="F6" s="232"/>
      <c r="G6" s="232"/>
      <c r="H6" s="232"/>
    </row>
    <row r="7" spans="1:8" ht="22.5" customHeight="1">
      <c r="A7" s="200">
        <v>3</v>
      </c>
      <c r="B7" s="146" t="s">
        <v>120</v>
      </c>
      <c r="C7" s="232"/>
      <c r="D7" s="232"/>
      <c r="E7" s="232"/>
      <c r="F7" s="232"/>
      <c r="G7" s="232"/>
      <c r="H7" s="232"/>
    </row>
    <row r="8" spans="1:8" ht="21.95" customHeight="1">
      <c r="A8" s="236">
        <v>4</v>
      </c>
      <c r="B8" s="237" t="s">
        <v>121</v>
      </c>
      <c r="C8" s="238"/>
      <c r="D8" s="238"/>
      <c r="E8" s="238"/>
      <c r="F8" s="238"/>
      <c r="G8" s="238"/>
      <c r="H8" s="238"/>
    </row>
    <row r="9" spans="1:8" ht="15" customHeight="1">
      <c r="A9" s="236">
        <v>5</v>
      </c>
      <c r="B9" s="166" t="s">
        <v>123</v>
      </c>
      <c r="C9" s="238"/>
      <c r="D9" s="239"/>
      <c r="E9" s="238"/>
      <c r="F9" s="239"/>
      <c r="G9" s="238"/>
      <c r="H9" s="240"/>
    </row>
    <row r="10" spans="1:8" ht="15" customHeight="1">
      <c r="A10" s="241" t="s">
        <v>3</v>
      </c>
      <c r="B10" s="171" t="s">
        <v>122</v>
      </c>
      <c r="C10" s="242"/>
      <c r="D10" s="243"/>
      <c r="E10" s="242"/>
      <c r="F10" s="243"/>
      <c r="G10" s="242"/>
      <c r="H10" s="244"/>
    </row>
    <row r="11" spans="1:8" ht="21.95" customHeight="1">
      <c r="A11" s="241">
        <v>6</v>
      </c>
      <c r="B11" s="245" t="s">
        <v>124</v>
      </c>
      <c r="C11" s="242"/>
      <c r="D11" s="242"/>
      <c r="E11" s="242"/>
      <c r="F11" s="242"/>
      <c r="G11" s="242"/>
      <c r="H11" s="242"/>
    </row>
    <row r="12" spans="1:8" ht="21.95" customHeight="1">
      <c r="A12" s="200">
        <v>7</v>
      </c>
      <c r="B12" s="146" t="s">
        <v>125</v>
      </c>
      <c r="C12" s="232"/>
      <c r="D12" s="232"/>
      <c r="E12" s="232"/>
      <c r="F12" s="232"/>
      <c r="G12" s="232"/>
      <c r="H12" s="232"/>
    </row>
    <row r="13" spans="1:8" ht="21.95" customHeight="1">
      <c r="A13" s="119">
        <v>8</v>
      </c>
      <c r="B13" s="146" t="s">
        <v>126</v>
      </c>
      <c r="C13" s="232"/>
      <c r="D13" s="232"/>
      <c r="E13" s="232"/>
      <c r="F13" s="232"/>
      <c r="G13" s="232"/>
      <c r="H13" s="232"/>
    </row>
    <row r="14" spans="1:8" ht="21.95" customHeight="1">
      <c r="A14" s="119">
        <v>9</v>
      </c>
      <c r="B14" s="146" t="s">
        <v>127</v>
      </c>
      <c r="C14" s="232"/>
      <c r="D14" s="232"/>
      <c r="E14" s="232"/>
      <c r="F14" s="232"/>
      <c r="G14" s="232"/>
      <c r="H14" s="232"/>
    </row>
    <row r="15" spans="1:8" ht="21.95" customHeight="1">
      <c r="A15" s="119">
        <v>10</v>
      </c>
      <c r="B15" s="146" t="s">
        <v>128</v>
      </c>
      <c r="C15" s="232"/>
      <c r="D15" s="232"/>
      <c r="E15" s="232"/>
      <c r="F15" s="232"/>
      <c r="G15" s="232"/>
      <c r="H15" s="232"/>
    </row>
    <row r="16" spans="1:8" ht="21.95" customHeight="1">
      <c r="A16" s="119">
        <v>11</v>
      </c>
      <c r="B16" s="146" t="s">
        <v>130</v>
      </c>
      <c r="C16" s="232"/>
      <c r="D16" s="232"/>
      <c r="E16" s="232"/>
      <c r="F16" s="232"/>
      <c r="G16" s="232"/>
      <c r="H16" s="232"/>
    </row>
    <row r="17" spans="1:8" ht="21.95" customHeight="1">
      <c r="A17" s="119">
        <v>12</v>
      </c>
      <c r="B17" s="146" t="s">
        <v>129</v>
      </c>
      <c r="C17" s="232"/>
      <c r="D17" s="232"/>
      <c r="E17" s="232"/>
      <c r="F17" s="232"/>
      <c r="G17" s="232"/>
      <c r="H17" s="232"/>
    </row>
    <row r="18" spans="1:8" ht="21.95" customHeight="1">
      <c r="A18" s="119">
        <v>13</v>
      </c>
      <c r="B18" s="146" t="s">
        <v>131</v>
      </c>
      <c r="C18" s="232"/>
      <c r="D18" s="232"/>
      <c r="E18" s="232"/>
      <c r="F18" s="232"/>
      <c r="G18" s="232"/>
      <c r="H18" s="232"/>
    </row>
    <row r="19" spans="1:8" ht="21.95" customHeight="1">
      <c r="A19" s="119">
        <v>14</v>
      </c>
      <c r="B19" s="235" t="s">
        <v>132</v>
      </c>
      <c r="C19" s="232"/>
      <c r="D19" s="232"/>
      <c r="E19" s="232"/>
      <c r="F19" s="232"/>
      <c r="G19" s="232"/>
      <c r="H19" s="232"/>
    </row>
    <row r="20" spans="1:8" ht="21.95" customHeight="1">
      <c r="A20" s="200" t="s">
        <v>3</v>
      </c>
      <c r="B20" s="235" t="s">
        <v>133</v>
      </c>
      <c r="C20" s="232"/>
      <c r="D20" s="232"/>
      <c r="E20" s="232"/>
      <c r="F20" s="232"/>
      <c r="G20" s="232"/>
      <c r="H20" s="232"/>
    </row>
    <row r="21" spans="1:8" ht="21.95" customHeight="1">
      <c r="A21" s="119">
        <v>15</v>
      </c>
      <c r="B21" s="146" t="s">
        <v>139</v>
      </c>
      <c r="C21" s="232"/>
      <c r="D21" s="232"/>
      <c r="E21" s="232"/>
      <c r="F21" s="232"/>
      <c r="G21" s="232"/>
      <c r="H21" s="232"/>
    </row>
    <row r="22" spans="1:8" ht="21.95" customHeight="1">
      <c r="A22" s="119">
        <v>16</v>
      </c>
      <c r="B22" s="146" t="s">
        <v>168</v>
      </c>
      <c r="C22" s="232"/>
      <c r="D22" s="232"/>
      <c r="E22" s="232"/>
      <c r="F22" s="232"/>
      <c r="G22" s="232"/>
      <c r="H22" s="232"/>
    </row>
    <row r="23" spans="1:8" ht="21.95" customHeight="1">
      <c r="A23" s="246">
        <v>17</v>
      </c>
      <c r="B23" s="237" t="s">
        <v>140</v>
      </c>
      <c r="C23" s="238"/>
      <c r="D23" s="238"/>
      <c r="E23" s="238"/>
      <c r="F23" s="238"/>
      <c r="G23" s="238"/>
      <c r="H23" s="238"/>
    </row>
    <row r="24" spans="1:8" ht="15" customHeight="1">
      <c r="A24" s="246">
        <v>18</v>
      </c>
      <c r="B24" s="166" t="s">
        <v>141</v>
      </c>
      <c r="C24" s="238"/>
      <c r="D24" s="239"/>
      <c r="E24" s="238"/>
      <c r="F24" s="239"/>
      <c r="G24" s="238"/>
      <c r="H24" s="240"/>
    </row>
    <row r="25" spans="1:8" ht="15" customHeight="1">
      <c r="A25" s="241" t="s">
        <v>3</v>
      </c>
      <c r="B25" s="171" t="s">
        <v>142</v>
      </c>
      <c r="C25" s="242"/>
      <c r="D25" s="243"/>
      <c r="E25" s="242"/>
      <c r="F25" s="243"/>
      <c r="G25" s="242"/>
      <c r="H25" s="244"/>
    </row>
    <row r="26" spans="1:8" ht="15" customHeight="1">
      <c r="A26" s="241">
        <v>19</v>
      </c>
      <c r="B26" s="171" t="s">
        <v>167</v>
      </c>
      <c r="C26" s="242"/>
      <c r="D26" s="243"/>
      <c r="E26" s="242"/>
      <c r="F26" s="243"/>
      <c r="G26" s="242"/>
      <c r="H26" s="244"/>
    </row>
    <row r="27" spans="1:8" ht="21.95" customHeight="1">
      <c r="A27" s="247">
        <v>20</v>
      </c>
      <c r="B27" s="248" t="s">
        <v>143</v>
      </c>
      <c r="C27" s="242"/>
      <c r="D27" s="242"/>
      <c r="E27" s="242"/>
      <c r="F27" s="242"/>
      <c r="G27" s="242"/>
      <c r="H27" s="242"/>
    </row>
    <row r="28" spans="1:8" ht="15" customHeight="1">
      <c r="A28" s="236">
        <v>21</v>
      </c>
      <c r="B28" s="237" t="s">
        <v>144</v>
      </c>
      <c r="C28" s="249"/>
      <c r="D28" s="238"/>
      <c r="E28" s="239"/>
      <c r="F28" s="238"/>
      <c r="G28" s="240"/>
      <c r="H28" s="238"/>
    </row>
    <row r="29" spans="1:8" ht="15" customHeight="1">
      <c r="A29" s="241" t="s">
        <v>3</v>
      </c>
      <c r="B29" s="245" t="s">
        <v>145</v>
      </c>
      <c r="C29" s="250"/>
      <c r="D29" s="242"/>
      <c r="E29" s="243"/>
      <c r="F29" s="242"/>
      <c r="G29" s="244"/>
      <c r="H29" s="242"/>
    </row>
  </sheetData>
  <sheetProtection password="C79D" sheet="1" objects="1" scenarios="1"/>
  <customSheetViews>
    <customSheetView guid="{33FE80C0-0EDF-11D4-8B3D-001060002050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1"/>
      <headerFooter alignWithMargins="0"/>
    </customSheetView>
    <customSheetView guid="{62777320-11E7-11D4-8B3D-00E098726125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2"/>
      <headerFooter alignWithMargins="0"/>
    </customSheetView>
  </customSheetViews>
  <mergeCells count="3">
    <mergeCell ref="G2:H2"/>
    <mergeCell ref="A1:H1"/>
    <mergeCell ref="C2:F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27"/>
  <sheetViews>
    <sheetView workbookViewId="0" xr3:uid="{BF3E6036-5CFF-541C-9DD1-8B260238869F}">
      <selection sqref="A1:IV65536"/>
    </sheetView>
  </sheetViews>
  <sheetFormatPr defaultRowHeight="14.25"/>
  <cols>
    <col min="1" max="1" width="5" style="111" customWidth="1"/>
    <col min="2" max="2" width="33.25" style="111" customWidth="1"/>
    <col min="3" max="8" width="6.625" style="111" customWidth="1"/>
    <col min="9" max="16384" width="9" style="111"/>
  </cols>
  <sheetData>
    <row r="1" spans="1:8" ht="29.25" customHeight="1">
      <c r="A1" s="944" t="s">
        <v>118</v>
      </c>
      <c r="B1" s="944"/>
      <c r="C1" s="944"/>
      <c r="D1" s="944"/>
      <c r="E1" s="944"/>
      <c r="F1" s="944"/>
      <c r="G1" s="944"/>
      <c r="H1" s="944"/>
    </row>
    <row r="2" spans="1:8" ht="18" customHeight="1">
      <c r="A2" s="111" t="s">
        <v>434</v>
      </c>
      <c r="C2" s="930" t="str">
        <f>底表6!C2</f>
        <v>安徽省芜湖市芜湖县荆江路以北 芜湖中路以东 世纪大道以西</v>
      </c>
      <c r="D2" s="930"/>
      <c r="E2" s="930"/>
      <c r="F2" s="930"/>
      <c r="G2" s="930" t="s">
        <v>136</v>
      </c>
      <c r="H2" s="930"/>
    </row>
    <row r="3" spans="1:8" ht="21.95" customHeight="1">
      <c r="A3" s="119" t="s">
        <v>28</v>
      </c>
      <c r="B3" s="119" t="s">
        <v>119</v>
      </c>
      <c r="C3" s="146" t="s">
        <v>135</v>
      </c>
      <c r="D3" s="146" t="s">
        <v>19</v>
      </c>
      <c r="E3" s="146" t="s">
        <v>19</v>
      </c>
      <c r="F3" s="146" t="s">
        <v>19</v>
      </c>
      <c r="G3" s="146" t="s">
        <v>135</v>
      </c>
      <c r="H3" s="146" t="s">
        <v>135</v>
      </c>
    </row>
    <row r="4" spans="1:8" ht="21.95" customHeight="1">
      <c r="A4" s="200">
        <v>22</v>
      </c>
      <c r="B4" s="251" t="s">
        <v>146</v>
      </c>
      <c r="C4" s="232"/>
      <c r="D4" s="232"/>
      <c r="E4" s="232"/>
      <c r="F4" s="232"/>
      <c r="G4" s="232"/>
      <c r="H4" s="232"/>
    </row>
    <row r="5" spans="1:8" ht="21.95" customHeight="1">
      <c r="A5" s="200">
        <v>23</v>
      </c>
      <c r="B5" s="146" t="s">
        <v>147</v>
      </c>
      <c r="C5" s="232"/>
      <c r="D5" s="232"/>
      <c r="E5" s="232"/>
      <c r="F5" s="232"/>
      <c r="G5" s="232"/>
      <c r="H5" s="232"/>
    </row>
    <row r="6" spans="1:8" ht="21.95" customHeight="1">
      <c r="A6" s="200">
        <v>24</v>
      </c>
      <c r="B6" s="146" t="s">
        <v>148</v>
      </c>
      <c r="C6" s="232"/>
      <c r="D6" s="232"/>
      <c r="E6" s="232"/>
      <c r="F6" s="232"/>
      <c r="G6" s="232"/>
      <c r="H6" s="232"/>
    </row>
    <row r="7" spans="1:8" ht="21.95" customHeight="1">
      <c r="A7" s="200">
        <v>25</v>
      </c>
      <c r="B7" s="251" t="s">
        <v>149</v>
      </c>
      <c r="C7" s="232"/>
      <c r="D7" s="232"/>
      <c r="E7" s="232"/>
      <c r="F7" s="232"/>
      <c r="G7" s="232"/>
      <c r="H7" s="232"/>
    </row>
    <row r="8" spans="1:8" ht="21.95" customHeight="1">
      <c r="A8" s="236">
        <v>26</v>
      </c>
      <c r="B8" s="252" t="s">
        <v>150</v>
      </c>
      <c r="C8" s="238"/>
      <c r="D8" s="238"/>
      <c r="E8" s="238"/>
      <c r="F8" s="238"/>
      <c r="G8" s="238"/>
      <c r="H8" s="238"/>
    </row>
    <row r="9" spans="1:8" ht="21.95" customHeight="1">
      <c r="A9" s="200" t="s">
        <v>3</v>
      </c>
      <c r="B9" s="235" t="s">
        <v>151</v>
      </c>
      <c r="C9" s="232"/>
      <c r="D9" s="232"/>
      <c r="E9" s="232"/>
      <c r="F9" s="232"/>
      <c r="G9" s="232"/>
      <c r="H9" s="232"/>
    </row>
    <row r="10" spans="1:8" ht="21.95" customHeight="1">
      <c r="A10" s="200">
        <v>27</v>
      </c>
      <c r="B10" s="146" t="s">
        <v>152</v>
      </c>
      <c r="C10" s="232"/>
      <c r="D10" s="232"/>
      <c r="E10" s="232"/>
      <c r="F10" s="232"/>
      <c r="G10" s="232"/>
      <c r="H10" s="232"/>
    </row>
    <row r="11" spans="1:8" ht="21.95" customHeight="1">
      <c r="A11" s="241">
        <v>28</v>
      </c>
      <c r="B11" s="245" t="s">
        <v>153</v>
      </c>
      <c r="C11" s="242"/>
      <c r="D11" s="242"/>
      <c r="E11" s="242"/>
      <c r="F11" s="242"/>
      <c r="G11" s="242"/>
      <c r="H11" s="242"/>
    </row>
    <row r="12" spans="1:8" ht="21.95" customHeight="1">
      <c r="A12" s="200">
        <v>29</v>
      </c>
      <c r="B12" s="146" t="s">
        <v>154</v>
      </c>
      <c r="C12" s="232"/>
      <c r="D12" s="232"/>
      <c r="E12" s="232"/>
      <c r="F12" s="232"/>
      <c r="G12" s="232"/>
      <c r="H12" s="232"/>
    </row>
    <row r="13" spans="1:8" ht="21.95" customHeight="1">
      <c r="A13" s="119">
        <v>30</v>
      </c>
      <c r="B13" s="146" t="s">
        <v>155</v>
      </c>
      <c r="C13" s="232"/>
      <c r="D13" s="232"/>
      <c r="E13" s="232"/>
      <c r="F13" s="232"/>
      <c r="G13" s="232"/>
      <c r="H13" s="232"/>
    </row>
    <row r="14" spans="1:8" ht="21.95" customHeight="1">
      <c r="A14" s="119">
        <v>31</v>
      </c>
      <c r="B14" s="251" t="s">
        <v>156</v>
      </c>
      <c r="C14" s="232"/>
      <c r="D14" s="232"/>
      <c r="E14" s="232"/>
      <c r="F14" s="232"/>
      <c r="G14" s="232"/>
      <c r="H14" s="232"/>
    </row>
    <row r="15" spans="1:8" ht="21.95" customHeight="1">
      <c r="A15" s="119">
        <v>32</v>
      </c>
      <c r="B15" s="146" t="s">
        <v>157</v>
      </c>
      <c r="C15" s="232"/>
      <c r="D15" s="232"/>
      <c r="E15" s="232"/>
      <c r="F15" s="232"/>
      <c r="G15" s="232"/>
      <c r="H15" s="232"/>
    </row>
    <row r="16" spans="1:8" ht="21.95" customHeight="1">
      <c r="A16" s="119">
        <v>33</v>
      </c>
      <c r="B16" s="146" t="s">
        <v>158</v>
      </c>
      <c r="C16" s="232"/>
      <c r="D16" s="232"/>
      <c r="E16" s="232"/>
      <c r="F16" s="232"/>
      <c r="G16" s="232"/>
      <c r="H16" s="232"/>
    </row>
    <row r="17" spans="1:8" ht="21.95" customHeight="1">
      <c r="A17" s="119">
        <v>34</v>
      </c>
      <c r="B17" s="146" t="s">
        <v>159</v>
      </c>
      <c r="C17" s="232"/>
      <c r="D17" s="232"/>
      <c r="E17" s="232"/>
      <c r="F17" s="232"/>
      <c r="G17" s="232"/>
      <c r="H17" s="232"/>
    </row>
    <row r="18" spans="1:8" ht="21.95" customHeight="1">
      <c r="A18" s="119">
        <v>35</v>
      </c>
      <c r="B18" s="146" t="s">
        <v>160</v>
      </c>
      <c r="C18" s="232"/>
      <c r="D18" s="232"/>
      <c r="E18" s="232"/>
      <c r="F18" s="232"/>
      <c r="G18" s="232"/>
      <c r="H18" s="232"/>
    </row>
    <row r="19" spans="1:8" ht="21.95" customHeight="1">
      <c r="A19" s="119">
        <v>36</v>
      </c>
      <c r="B19" s="146" t="s">
        <v>166</v>
      </c>
      <c r="C19" s="232"/>
      <c r="D19" s="232"/>
      <c r="E19" s="232"/>
      <c r="F19" s="232"/>
      <c r="G19" s="232"/>
      <c r="H19" s="232"/>
    </row>
    <row r="20" spans="1:8" ht="21.95" customHeight="1">
      <c r="A20" s="119">
        <v>37</v>
      </c>
      <c r="B20" s="146" t="s">
        <v>161</v>
      </c>
      <c r="C20" s="232"/>
      <c r="D20" s="232"/>
      <c r="E20" s="232"/>
      <c r="F20" s="232"/>
      <c r="G20" s="232"/>
      <c r="H20" s="232"/>
    </row>
    <row r="21" spans="1:8" ht="21.95" customHeight="1">
      <c r="A21" s="200">
        <v>38</v>
      </c>
      <c r="B21" s="146" t="s">
        <v>162</v>
      </c>
      <c r="C21" s="232"/>
      <c r="D21" s="232"/>
      <c r="E21" s="232"/>
      <c r="F21" s="232"/>
      <c r="G21" s="232"/>
      <c r="H21" s="232"/>
    </row>
    <row r="22" spans="1:8" ht="21.95" customHeight="1">
      <c r="A22" s="119">
        <v>39</v>
      </c>
      <c r="B22" s="251" t="s">
        <v>149</v>
      </c>
      <c r="C22" s="232"/>
      <c r="D22" s="232"/>
      <c r="E22" s="232"/>
      <c r="F22" s="232"/>
      <c r="G22" s="232"/>
      <c r="H22" s="232"/>
    </row>
    <row r="23" spans="1:8" ht="21.95" customHeight="1">
      <c r="A23" s="119">
        <v>40</v>
      </c>
      <c r="B23" s="235" t="s">
        <v>163</v>
      </c>
      <c r="C23" s="232"/>
      <c r="D23" s="232"/>
      <c r="E23" s="232"/>
      <c r="F23" s="232"/>
      <c r="G23" s="232"/>
      <c r="H23" s="232"/>
    </row>
    <row r="24" spans="1:8" ht="21.95" customHeight="1">
      <c r="A24" s="246">
        <v>41</v>
      </c>
      <c r="B24" s="252" t="s">
        <v>164</v>
      </c>
      <c r="C24" s="238"/>
      <c r="D24" s="238"/>
      <c r="E24" s="238"/>
      <c r="F24" s="238"/>
      <c r="G24" s="238"/>
      <c r="H24" s="238"/>
    </row>
    <row r="25" spans="1:8" ht="21.95" customHeight="1">
      <c r="A25" s="246">
        <v>42</v>
      </c>
      <c r="B25" s="253" t="s">
        <v>165</v>
      </c>
      <c r="C25" s="238"/>
      <c r="D25" s="239"/>
      <c r="E25" s="238"/>
      <c r="F25" s="239"/>
      <c r="G25" s="238"/>
      <c r="H25" s="240"/>
    </row>
    <row r="26" spans="1:8" ht="21.95" customHeight="1">
      <c r="A26" s="200" t="s">
        <v>3</v>
      </c>
      <c r="B26" s="254"/>
      <c r="C26" s="232"/>
      <c r="D26" s="232"/>
      <c r="E26" s="232"/>
      <c r="F26" s="232"/>
      <c r="G26" s="232"/>
      <c r="H26" s="232"/>
    </row>
    <row r="27" spans="1:8" ht="21.95" customHeight="1">
      <c r="A27" s="247"/>
      <c r="B27" s="245"/>
      <c r="C27" s="250"/>
      <c r="D27" s="242"/>
      <c r="E27" s="243"/>
      <c r="F27" s="242"/>
      <c r="G27" s="244"/>
      <c r="H27" s="242"/>
    </row>
  </sheetData>
  <sheetProtection password="C79D" sheet="1" objects="1" scenarios="1"/>
  <customSheetViews>
    <customSheetView guid="{33FE80C0-0EDF-11D4-8B3D-001060002050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1"/>
      <headerFooter alignWithMargins="0"/>
    </customSheetView>
    <customSheetView guid="{62777320-11E7-11D4-8B3D-00E098726125}" showRuler="0">
      <selection activeCell="A3" sqref="A3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portrait" r:id="rId2"/>
      <headerFooter alignWithMargins="0"/>
    </customSheetView>
  </customSheetViews>
  <mergeCells count="3">
    <mergeCell ref="G2:H2"/>
    <mergeCell ref="A1:H1"/>
    <mergeCell ref="C2:F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15"/>
  <sheetViews>
    <sheetView workbookViewId="0" xr3:uid="{44C9DB06-433C-50F5-8210-7EB2F2901AA3}">
      <selection activeCell="C12" sqref="C12"/>
    </sheetView>
  </sheetViews>
  <sheetFormatPr defaultRowHeight="14.25"/>
  <cols>
    <col min="1" max="1" width="4.375" customWidth="1"/>
    <col min="2" max="2" width="21.125" bestFit="1" customWidth="1"/>
  </cols>
  <sheetData>
    <row r="1" spans="1:9" ht="18">
      <c r="A1" s="936" t="s">
        <v>183</v>
      </c>
      <c r="B1" s="937"/>
      <c r="C1" s="937"/>
      <c r="D1" s="937"/>
      <c r="E1" s="937"/>
      <c r="F1" s="937"/>
      <c r="G1" s="937"/>
      <c r="H1" s="937"/>
      <c r="I1" s="937"/>
    </row>
    <row r="2" spans="1:9" ht="15">
      <c r="A2" s="5"/>
      <c r="B2" s="8">
        <f>主表7!B9</f>
        <v>-0.05</v>
      </c>
      <c r="C2" s="2"/>
      <c r="D2" s="2"/>
      <c r="E2" s="2"/>
      <c r="F2" s="2"/>
      <c r="G2" s="2"/>
      <c r="H2" s="945" t="s">
        <v>27</v>
      </c>
      <c r="I2" s="946"/>
    </row>
    <row r="3" spans="1:9" ht="15">
      <c r="A3" s="6" t="s">
        <v>28</v>
      </c>
      <c r="B3" s="7" t="s">
        <v>53</v>
      </c>
      <c r="C3" s="3" t="str">
        <f>主表2!D3</f>
        <v>2018年</v>
      </c>
      <c r="D3" s="3" t="str">
        <f>主表2!E3</f>
        <v>2019年</v>
      </c>
      <c r="E3" s="3" t="str">
        <f>主表2!F3</f>
        <v>2020年</v>
      </c>
      <c r="F3" s="3" t="str">
        <f>主表2!G3</f>
        <v>2021年</v>
      </c>
      <c r="G3" s="3" t="str">
        <f>主表2!H3</f>
        <v>2022年</v>
      </c>
      <c r="H3" s="3" t="str">
        <f>主表2!I3</f>
        <v>2023年</v>
      </c>
      <c r="I3" s="7" t="s">
        <v>233</v>
      </c>
    </row>
    <row r="4" spans="1:9" ht="15">
      <c r="A4" s="3">
        <v>1</v>
      </c>
      <c r="B4" s="6" t="s">
        <v>29</v>
      </c>
      <c r="C4" s="1">
        <f>主表4_2!C4*(1+$B$2)</f>
        <v>0</v>
      </c>
      <c r="D4" s="1">
        <f>主表4_2!D4*(1+$B$2)</f>
        <v>0</v>
      </c>
      <c r="E4" s="1">
        <f>主表4_2!E4*(1+$B$2)</f>
        <v>0</v>
      </c>
      <c r="F4" s="1">
        <f>主表4_2!F4*(1+$B$2)</f>
        <v>0</v>
      </c>
      <c r="G4" s="1">
        <f>主表4_2!G4*(1+$B$2)</f>
        <v>0</v>
      </c>
      <c r="H4" s="1">
        <f>主表4_2!H4*(1+$B$2)</f>
        <v>0</v>
      </c>
      <c r="I4" s="1">
        <f>主表4_2!I4*(1+$B$2)</f>
        <v>0</v>
      </c>
    </row>
    <row r="5" spans="1:9" ht="15">
      <c r="A5" s="3">
        <v>2</v>
      </c>
      <c r="B5" s="6" t="s">
        <v>236</v>
      </c>
      <c r="C5" s="1">
        <f>底表3!C12</f>
        <v>0</v>
      </c>
      <c r="D5" s="1">
        <f>底表3!D12</f>
        <v>0</v>
      </c>
      <c r="E5" s="1">
        <f>底表3!E12</f>
        <v>0</v>
      </c>
      <c r="F5" s="1">
        <f>底表3!F12</f>
        <v>0</v>
      </c>
      <c r="G5" s="1">
        <f>底表3!G12</f>
        <v>0</v>
      </c>
      <c r="H5" s="1">
        <f>底表3!H12</f>
        <v>0</v>
      </c>
      <c r="I5" s="1">
        <f>SUM(C5:H5)</f>
        <v>0</v>
      </c>
    </row>
    <row r="6" spans="1:9" ht="15">
      <c r="A6" s="3">
        <v>3</v>
      </c>
      <c r="B6" s="6" t="s">
        <v>37</v>
      </c>
      <c r="C6" s="1">
        <f>主表4_2!C6*(1+$B$2)</f>
        <v>0</v>
      </c>
      <c r="D6" s="1">
        <f>主表4_2!D6*(1+$B$2)</f>
        <v>0</v>
      </c>
      <c r="E6" s="1">
        <f>主表4_2!E6*(1+$B$2)</f>
        <v>0</v>
      </c>
      <c r="F6" s="1">
        <f>主表4_2!F6*(1+$B$2)</f>
        <v>0</v>
      </c>
      <c r="G6" s="1">
        <f>主表4_2!G6*(1+$B$2)</f>
        <v>0</v>
      </c>
      <c r="H6" s="1">
        <f>主表4_2!H6*(1+$B$2)</f>
        <v>0</v>
      </c>
      <c r="I6" s="1">
        <f>主表4_2!I6*(1+$B$2)</f>
        <v>0</v>
      </c>
    </row>
    <row r="7" spans="1:9" ht="15">
      <c r="A7" s="3">
        <v>4</v>
      </c>
      <c r="B7" s="6" t="s">
        <v>237</v>
      </c>
      <c r="C7" s="1">
        <f t="shared" ref="C7:H7" si="0">C4-C5-C6</f>
        <v>0</v>
      </c>
      <c r="D7" s="1">
        <f t="shared" si="0"/>
        <v>0</v>
      </c>
      <c r="E7" s="1">
        <f t="shared" si="0"/>
        <v>0</v>
      </c>
      <c r="F7" s="1">
        <f t="shared" si="0"/>
        <v>0</v>
      </c>
      <c r="G7" s="1">
        <f t="shared" si="0"/>
        <v>0</v>
      </c>
      <c r="H7" s="1">
        <f t="shared" si="0"/>
        <v>0</v>
      </c>
      <c r="I7" s="1">
        <f t="shared" ref="I7:I15" si="1">SUM(C7:H7)</f>
        <v>0</v>
      </c>
    </row>
    <row r="8" spans="1:9" ht="15">
      <c r="A8" s="3">
        <v>5</v>
      </c>
      <c r="B8" s="6" t="s">
        <v>30</v>
      </c>
      <c r="C8" s="1">
        <f t="shared" ref="C8:H8" si="2">C7*33%</f>
        <v>0</v>
      </c>
      <c r="D8" s="1">
        <f t="shared" si="2"/>
        <v>0</v>
      </c>
      <c r="E8" s="1">
        <f t="shared" si="2"/>
        <v>0</v>
      </c>
      <c r="F8" s="1">
        <f t="shared" si="2"/>
        <v>0</v>
      </c>
      <c r="G8" s="1">
        <f t="shared" si="2"/>
        <v>0</v>
      </c>
      <c r="H8" s="1">
        <f t="shared" si="2"/>
        <v>0</v>
      </c>
      <c r="I8" s="1">
        <f t="shared" si="1"/>
        <v>0</v>
      </c>
    </row>
    <row r="9" spans="1:9" ht="15">
      <c r="A9" s="3">
        <v>6</v>
      </c>
      <c r="B9" s="6" t="s">
        <v>111</v>
      </c>
      <c r="C9" s="1">
        <f t="shared" ref="C9:H9" si="3">C7-C8</f>
        <v>0</v>
      </c>
      <c r="D9" s="1">
        <f t="shared" si="3"/>
        <v>0</v>
      </c>
      <c r="E9" s="1">
        <f t="shared" si="3"/>
        <v>0</v>
      </c>
      <c r="F9" s="1">
        <f t="shared" si="3"/>
        <v>0</v>
      </c>
      <c r="G9" s="1">
        <f t="shared" si="3"/>
        <v>0</v>
      </c>
      <c r="H9" s="1">
        <f t="shared" si="3"/>
        <v>0</v>
      </c>
      <c r="I9" s="1">
        <f t="shared" si="1"/>
        <v>0</v>
      </c>
    </row>
    <row r="10" spans="1:9" ht="15">
      <c r="A10" s="3">
        <v>7</v>
      </c>
      <c r="B10" s="1" t="s">
        <v>112</v>
      </c>
      <c r="C10" s="1"/>
      <c r="D10" s="1">
        <f>C15</f>
        <v>0</v>
      </c>
      <c r="E10" s="1">
        <f>D15</f>
        <v>0</v>
      </c>
      <c r="F10" s="1">
        <f>E15</f>
        <v>0</v>
      </c>
      <c r="G10" s="1">
        <f>F15</f>
        <v>0</v>
      </c>
      <c r="H10" s="1">
        <f>G15</f>
        <v>0</v>
      </c>
      <c r="I10" s="1">
        <f t="shared" si="1"/>
        <v>0</v>
      </c>
    </row>
    <row r="11" spans="1:9" ht="15">
      <c r="A11" s="3">
        <v>8</v>
      </c>
      <c r="B11" s="6" t="s">
        <v>113</v>
      </c>
      <c r="C11" s="1">
        <f t="shared" ref="C11:H11" si="4">C9+C10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4"/>
        <v>0</v>
      </c>
      <c r="H11" s="1">
        <f t="shared" si="4"/>
        <v>0</v>
      </c>
      <c r="I11" s="1">
        <f t="shared" si="1"/>
        <v>0</v>
      </c>
    </row>
    <row r="12" spans="1:9" ht="15">
      <c r="A12" s="3">
        <v>9</v>
      </c>
      <c r="B12" s="1" t="s">
        <v>238</v>
      </c>
      <c r="C12" s="1"/>
      <c r="D12" s="1"/>
      <c r="E12" s="1"/>
      <c r="F12" s="1"/>
      <c r="G12" s="1"/>
      <c r="H12" s="1"/>
      <c r="I12" s="1">
        <f t="shared" si="1"/>
        <v>0</v>
      </c>
    </row>
    <row r="13" spans="1:9" ht="15">
      <c r="A13" s="3">
        <v>10</v>
      </c>
      <c r="B13" s="1" t="s">
        <v>295</v>
      </c>
      <c r="C13" s="1"/>
      <c r="D13" s="1"/>
      <c r="E13" s="1"/>
      <c r="F13" s="1"/>
      <c r="G13" s="1"/>
      <c r="H13" s="1"/>
      <c r="I13" s="1">
        <f t="shared" si="1"/>
        <v>0</v>
      </c>
    </row>
    <row r="14" spans="1:9" ht="15">
      <c r="A14" s="3">
        <v>11</v>
      </c>
      <c r="B14" s="1" t="s">
        <v>239</v>
      </c>
      <c r="C14" s="1"/>
      <c r="D14" s="1"/>
      <c r="E14" s="1"/>
      <c r="F14" s="1"/>
      <c r="G14" s="1"/>
      <c r="H14" s="1"/>
      <c r="I14" s="1">
        <f t="shared" si="1"/>
        <v>0</v>
      </c>
    </row>
    <row r="15" spans="1:9" ht="15">
      <c r="A15" s="3">
        <v>12</v>
      </c>
      <c r="B15" s="6" t="s">
        <v>116</v>
      </c>
      <c r="C15" s="1">
        <f t="shared" ref="C15:H15" si="5">C11-C12-C14</f>
        <v>0</v>
      </c>
      <c r="D15" s="1">
        <f t="shared" si="5"/>
        <v>0</v>
      </c>
      <c r="E15" s="1">
        <f t="shared" si="5"/>
        <v>0</v>
      </c>
      <c r="F15" s="1">
        <f t="shared" si="5"/>
        <v>0</v>
      </c>
      <c r="G15" s="1">
        <f t="shared" si="5"/>
        <v>0</v>
      </c>
      <c r="H15" s="1">
        <f t="shared" si="5"/>
        <v>0</v>
      </c>
      <c r="I15" s="1">
        <f t="shared" si="1"/>
        <v>0</v>
      </c>
    </row>
  </sheetData>
  <customSheetViews>
    <customSheetView guid="{33FE80C0-0EDF-11D4-8B3D-001060002050}" showRuler="0">
      <selection activeCell="B3" sqref="B3"/>
      <pageMargins left="0.75" right="0.75" top="1" bottom="1" header="0.5" footer="0.5"/>
      <headerFooter alignWithMargins="0"/>
    </customSheetView>
    <customSheetView guid="{62777320-11E7-11D4-8B3D-00E098726125}" showRuler="0">
      <selection activeCell="B3" sqref="B3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15"/>
  <sheetViews>
    <sheetView workbookViewId="0" xr3:uid="{8CA7FA36-F026-53D8-85D7-7434F22EA588}">
      <selection activeCell="E10" sqref="E10"/>
    </sheetView>
  </sheetViews>
  <sheetFormatPr defaultRowHeight="14.25"/>
  <cols>
    <col min="1" max="1" width="5.375" customWidth="1"/>
    <col min="2" max="2" width="21.125" bestFit="1" customWidth="1"/>
  </cols>
  <sheetData>
    <row r="1" spans="1:9" ht="18">
      <c r="A1" s="936" t="s">
        <v>183</v>
      </c>
      <c r="B1" s="937"/>
      <c r="C1" s="937"/>
      <c r="D1" s="937"/>
      <c r="E1" s="937"/>
      <c r="F1" s="937"/>
      <c r="G1" s="937"/>
      <c r="H1" s="937"/>
      <c r="I1" s="937"/>
    </row>
    <row r="2" spans="1:9" ht="15">
      <c r="A2" s="5"/>
      <c r="B2" s="8">
        <f>主表7!B10</f>
        <v>-0.1</v>
      </c>
      <c r="C2" s="2"/>
      <c r="D2" s="2"/>
      <c r="E2" s="2"/>
      <c r="F2" s="2"/>
      <c r="G2" s="2"/>
      <c r="H2" s="945" t="s">
        <v>27</v>
      </c>
      <c r="I2" s="946"/>
    </row>
    <row r="3" spans="1:9" ht="15">
      <c r="A3" s="6" t="s">
        <v>28</v>
      </c>
      <c r="B3" s="7" t="s">
        <v>53</v>
      </c>
      <c r="C3" s="3" t="str">
        <f>主表2!D3</f>
        <v>2018年</v>
      </c>
      <c r="D3" s="3" t="str">
        <f>主表2!E3</f>
        <v>2019年</v>
      </c>
      <c r="E3" s="3" t="str">
        <f>主表2!F3</f>
        <v>2020年</v>
      </c>
      <c r="F3" s="3" t="str">
        <f>主表2!G3</f>
        <v>2021年</v>
      </c>
      <c r="G3" s="3" t="str">
        <f>主表2!H3</f>
        <v>2022年</v>
      </c>
      <c r="H3" s="3" t="str">
        <f>主表2!I3</f>
        <v>2023年</v>
      </c>
      <c r="I3" s="7" t="s">
        <v>233</v>
      </c>
    </row>
    <row r="4" spans="1:9" ht="15">
      <c r="A4" s="3">
        <v>1</v>
      </c>
      <c r="B4" s="6" t="s">
        <v>29</v>
      </c>
      <c r="C4" s="1">
        <f>主表4_2!C4*(1+$B$2)</f>
        <v>0</v>
      </c>
      <c r="D4" s="1">
        <f>主表4_2!D4*(1+$B$2)</f>
        <v>0</v>
      </c>
      <c r="E4" s="1">
        <f>主表4_2!E4*(1+$B$2)</f>
        <v>0</v>
      </c>
      <c r="F4" s="1">
        <f>主表4_2!F4*(1+$B$2)</f>
        <v>0</v>
      </c>
      <c r="G4" s="1">
        <f>主表4_2!G4*(1+$B$2)</f>
        <v>0</v>
      </c>
      <c r="H4" s="1">
        <f>主表4_2!H4*(1+$B$2)</f>
        <v>0</v>
      </c>
      <c r="I4" s="1">
        <f>主表4_2!I4*(1+$B$2)</f>
        <v>0</v>
      </c>
    </row>
    <row r="5" spans="1:9" ht="15">
      <c r="A5" s="3">
        <v>2</v>
      </c>
      <c r="B5" s="6" t="s">
        <v>236</v>
      </c>
      <c r="C5" s="1">
        <f>底表3!C12</f>
        <v>0</v>
      </c>
      <c r="D5" s="1">
        <f>底表3!D12</f>
        <v>0</v>
      </c>
      <c r="E5" s="1">
        <f>底表3!E12</f>
        <v>0</v>
      </c>
      <c r="F5" s="1">
        <f>底表3!F12</f>
        <v>0</v>
      </c>
      <c r="G5" s="1">
        <f>底表3!G12</f>
        <v>0</v>
      </c>
      <c r="H5" s="1">
        <f>底表3!H12</f>
        <v>0</v>
      </c>
      <c r="I5" s="1">
        <f>SUM(C5:H5)</f>
        <v>0</v>
      </c>
    </row>
    <row r="6" spans="1:9" ht="15">
      <c r="A6" s="3">
        <v>3</v>
      </c>
      <c r="B6" s="6" t="s">
        <v>37</v>
      </c>
      <c r="C6" s="1">
        <f>主表4_2!C6*(1+$B$2)</f>
        <v>0</v>
      </c>
      <c r="D6" s="1">
        <f>主表4_2!D6*(1+$B$2)</f>
        <v>0</v>
      </c>
      <c r="E6" s="1">
        <f>主表4_2!E6*(1+$B$2)</f>
        <v>0</v>
      </c>
      <c r="F6" s="1">
        <f>主表4_2!F6*(1+$B$2)</f>
        <v>0</v>
      </c>
      <c r="G6" s="1">
        <f>主表4_2!G6*(1+$B$2)</f>
        <v>0</v>
      </c>
      <c r="H6" s="1">
        <f>主表4_2!H6*(1+$B$2)</f>
        <v>0</v>
      </c>
      <c r="I6" s="1">
        <f>主表4_2!I6*(1+$B$2)</f>
        <v>0</v>
      </c>
    </row>
    <row r="7" spans="1:9" ht="15">
      <c r="A7" s="3">
        <v>4</v>
      </c>
      <c r="B7" s="6" t="s">
        <v>237</v>
      </c>
      <c r="C7" s="1">
        <f t="shared" ref="C7:H7" si="0">C4-C5-C6</f>
        <v>0</v>
      </c>
      <c r="D7" s="1">
        <f t="shared" si="0"/>
        <v>0</v>
      </c>
      <c r="E7" s="1">
        <f t="shared" si="0"/>
        <v>0</v>
      </c>
      <c r="F7" s="1">
        <f t="shared" si="0"/>
        <v>0</v>
      </c>
      <c r="G7" s="1">
        <f t="shared" si="0"/>
        <v>0</v>
      </c>
      <c r="H7" s="1">
        <f t="shared" si="0"/>
        <v>0</v>
      </c>
      <c r="I7" s="1">
        <f t="shared" ref="I7:I15" si="1">SUM(C7:H7)</f>
        <v>0</v>
      </c>
    </row>
    <row r="8" spans="1:9" ht="15">
      <c r="A8" s="3">
        <v>5</v>
      </c>
      <c r="B8" s="6" t="s">
        <v>30</v>
      </c>
      <c r="C8" s="1">
        <f t="shared" ref="C8:H8" si="2">C7*33%</f>
        <v>0</v>
      </c>
      <c r="D8" s="1">
        <f t="shared" si="2"/>
        <v>0</v>
      </c>
      <c r="E8" s="1">
        <f t="shared" si="2"/>
        <v>0</v>
      </c>
      <c r="F8" s="1">
        <f t="shared" si="2"/>
        <v>0</v>
      </c>
      <c r="G8" s="1">
        <f t="shared" si="2"/>
        <v>0</v>
      </c>
      <c r="H8" s="1">
        <f t="shared" si="2"/>
        <v>0</v>
      </c>
      <c r="I8" s="1">
        <f t="shared" si="1"/>
        <v>0</v>
      </c>
    </row>
    <row r="9" spans="1:9" ht="15">
      <c r="A9" s="3">
        <v>6</v>
      </c>
      <c r="B9" s="6" t="s">
        <v>111</v>
      </c>
      <c r="C9" s="1">
        <f t="shared" ref="C9:H9" si="3">C7-C8</f>
        <v>0</v>
      </c>
      <c r="D9" s="1">
        <f t="shared" si="3"/>
        <v>0</v>
      </c>
      <c r="E9" s="1">
        <f t="shared" si="3"/>
        <v>0</v>
      </c>
      <c r="F9" s="1">
        <f t="shared" si="3"/>
        <v>0</v>
      </c>
      <c r="G9" s="1">
        <f t="shared" si="3"/>
        <v>0</v>
      </c>
      <c r="H9" s="1">
        <f t="shared" si="3"/>
        <v>0</v>
      </c>
      <c r="I9" s="1">
        <f t="shared" si="1"/>
        <v>0</v>
      </c>
    </row>
    <row r="10" spans="1:9" ht="15">
      <c r="A10" s="3">
        <v>7</v>
      </c>
      <c r="B10" s="1" t="s">
        <v>112</v>
      </c>
      <c r="C10" s="1"/>
      <c r="D10" s="1">
        <f>C15</f>
        <v>0</v>
      </c>
      <c r="E10" s="1">
        <f>D15</f>
        <v>0</v>
      </c>
      <c r="F10" s="1">
        <f>E15</f>
        <v>0</v>
      </c>
      <c r="G10" s="1">
        <f>F15</f>
        <v>0</v>
      </c>
      <c r="H10" s="1">
        <f>G15</f>
        <v>0</v>
      </c>
      <c r="I10" s="1">
        <f t="shared" si="1"/>
        <v>0</v>
      </c>
    </row>
    <row r="11" spans="1:9" ht="15">
      <c r="A11" s="3">
        <v>8</v>
      </c>
      <c r="B11" s="6" t="s">
        <v>113</v>
      </c>
      <c r="C11" s="1">
        <f t="shared" ref="C11:H11" si="4">C9+C10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4"/>
        <v>0</v>
      </c>
      <c r="H11" s="1">
        <f t="shared" si="4"/>
        <v>0</v>
      </c>
      <c r="I11" s="1">
        <f t="shared" si="1"/>
        <v>0</v>
      </c>
    </row>
    <row r="12" spans="1:9" ht="15">
      <c r="A12" s="3">
        <v>9</v>
      </c>
      <c r="B12" s="1" t="s">
        <v>238</v>
      </c>
      <c r="C12" s="1"/>
      <c r="D12" s="1"/>
      <c r="E12" s="1"/>
      <c r="F12" s="1"/>
      <c r="G12" s="1"/>
      <c r="H12" s="1"/>
      <c r="I12" s="1">
        <f t="shared" si="1"/>
        <v>0</v>
      </c>
    </row>
    <row r="13" spans="1:9" ht="15">
      <c r="A13" s="3">
        <v>10</v>
      </c>
      <c r="B13" s="1" t="s">
        <v>295</v>
      </c>
      <c r="C13" s="1"/>
      <c r="D13" s="1"/>
      <c r="E13" s="1"/>
      <c r="F13" s="1"/>
      <c r="G13" s="1"/>
      <c r="H13" s="1"/>
      <c r="I13" s="1">
        <f t="shared" si="1"/>
        <v>0</v>
      </c>
    </row>
    <row r="14" spans="1:9" ht="15">
      <c r="A14" s="3">
        <v>11</v>
      </c>
      <c r="B14" s="1" t="s">
        <v>239</v>
      </c>
      <c r="C14" s="1"/>
      <c r="D14" s="1"/>
      <c r="E14" s="1"/>
      <c r="F14" s="1"/>
      <c r="G14" s="1"/>
      <c r="H14" s="1"/>
      <c r="I14" s="1">
        <f t="shared" si="1"/>
        <v>0</v>
      </c>
    </row>
    <row r="15" spans="1:9" ht="15">
      <c r="A15" s="3">
        <v>12</v>
      </c>
      <c r="B15" s="6" t="s">
        <v>116</v>
      </c>
      <c r="C15" s="1">
        <f t="shared" ref="C15:H15" si="5">C11-C12-C14</f>
        <v>0</v>
      </c>
      <c r="D15" s="1">
        <f t="shared" si="5"/>
        <v>0</v>
      </c>
      <c r="E15" s="1">
        <f t="shared" si="5"/>
        <v>0</v>
      </c>
      <c r="F15" s="1">
        <f t="shared" si="5"/>
        <v>0</v>
      </c>
      <c r="G15" s="1">
        <f t="shared" si="5"/>
        <v>0</v>
      </c>
      <c r="H15" s="1">
        <f t="shared" si="5"/>
        <v>0</v>
      </c>
      <c r="I15" s="1">
        <f t="shared" si="1"/>
        <v>0</v>
      </c>
    </row>
  </sheetData>
  <customSheetViews>
    <customSheetView guid="{33FE80C0-0EDF-11D4-8B3D-001060002050}" showRuler="0">
      <selection activeCell="B2" sqref="B2"/>
      <pageMargins left="0.75" right="0.75" top="1" bottom="1" header="0.5" footer="0.5"/>
      <headerFooter alignWithMargins="0"/>
    </customSheetView>
    <customSheetView guid="{62777320-11E7-11D4-8B3D-00E098726125}" showRuler="0">
      <selection activeCell="B2" sqref="B2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5"/>
  <sheetViews>
    <sheetView workbookViewId="0" xr3:uid="{87752282-9950-53E0-ACC6-858909551C9B}">
      <selection activeCell="C12" sqref="C12"/>
    </sheetView>
  </sheetViews>
  <sheetFormatPr defaultRowHeight="14.25"/>
  <cols>
    <col min="1" max="1" width="4.875" customWidth="1"/>
    <col min="2" max="2" width="21.125" bestFit="1" customWidth="1"/>
  </cols>
  <sheetData>
    <row r="1" spans="1:9" ht="18">
      <c r="A1" s="936" t="s">
        <v>183</v>
      </c>
      <c r="B1" s="937"/>
      <c r="C1" s="937"/>
      <c r="D1" s="937"/>
      <c r="E1" s="937"/>
      <c r="F1" s="937"/>
      <c r="G1" s="937"/>
      <c r="H1" s="937"/>
      <c r="I1" s="937"/>
    </row>
    <row r="2" spans="1:9" ht="15">
      <c r="A2" s="5"/>
      <c r="B2" s="8">
        <f>主表7!B7</f>
        <v>0.05</v>
      </c>
      <c r="C2" s="2"/>
      <c r="D2" s="2"/>
      <c r="E2" s="2"/>
      <c r="F2" s="2"/>
      <c r="G2" s="2"/>
      <c r="H2" s="945" t="s">
        <v>27</v>
      </c>
      <c r="I2" s="946"/>
    </row>
    <row r="3" spans="1:9" ht="15">
      <c r="A3" s="6" t="s">
        <v>28</v>
      </c>
      <c r="B3" s="7" t="s">
        <v>53</v>
      </c>
      <c r="C3" s="3" t="str">
        <f>主表2!D3</f>
        <v>2018年</v>
      </c>
      <c r="D3" s="3" t="str">
        <f>主表2!E3</f>
        <v>2019年</v>
      </c>
      <c r="E3" s="3" t="str">
        <f>主表2!F3</f>
        <v>2020年</v>
      </c>
      <c r="F3" s="3" t="str">
        <f>主表2!G3</f>
        <v>2021年</v>
      </c>
      <c r="G3" s="3" t="str">
        <f>主表2!H3</f>
        <v>2022年</v>
      </c>
      <c r="H3" s="3" t="str">
        <f>主表2!I3</f>
        <v>2023年</v>
      </c>
      <c r="I3" s="7" t="s">
        <v>233</v>
      </c>
    </row>
    <row r="4" spans="1:9" ht="15">
      <c r="A4" s="3">
        <v>1</v>
      </c>
      <c r="B4" s="6" t="s">
        <v>29</v>
      </c>
      <c r="C4" s="1">
        <f>底表2!C17</f>
        <v>0</v>
      </c>
      <c r="D4" s="1">
        <f>底表2!D17</f>
        <v>0</v>
      </c>
      <c r="E4" s="1">
        <f>底表2!E17</f>
        <v>0</v>
      </c>
      <c r="F4" s="1">
        <f>底表2!F17</f>
        <v>0</v>
      </c>
      <c r="G4" s="1">
        <f>底表2!G17</f>
        <v>0</v>
      </c>
      <c r="H4" s="1">
        <f>底表2!H17</f>
        <v>0</v>
      </c>
      <c r="I4" s="1">
        <f>SUM(C4:H4)</f>
        <v>0</v>
      </c>
    </row>
    <row r="5" spans="1:9" ht="15">
      <c r="A5" s="3">
        <v>2</v>
      </c>
      <c r="B5" s="6" t="s">
        <v>236</v>
      </c>
      <c r="C5" s="1">
        <f>主表4_2!C5*(1+$B$2)</f>
        <v>0</v>
      </c>
      <c r="D5" s="1">
        <f>主表4_2!D5*(1+$B$2)</f>
        <v>0</v>
      </c>
      <c r="E5" s="1">
        <f>主表4_2!E5*(1+$B$2)</f>
        <v>0</v>
      </c>
      <c r="F5" s="1">
        <f>主表4_2!F5*(1+$B$2)</f>
        <v>0</v>
      </c>
      <c r="G5" s="1">
        <f>主表4_2!G5*(1+$B$2)</f>
        <v>0</v>
      </c>
      <c r="H5" s="1">
        <f>主表4_2!H5*(1+$B$2)</f>
        <v>0</v>
      </c>
      <c r="I5" s="1">
        <f>主表4_2!I5*(1+$B$2)</f>
        <v>0</v>
      </c>
    </row>
    <row r="6" spans="1:9" ht="15">
      <c r="A6" s="3">
        <v>3</v>
      </c>
      <c r="B6" s="6" t="s">
        <v>37</v>
      </c>
      <c r="C6" s="1">
        <f>底表2!C19</f>
        <v>0</v>
      </c>
      <c r="D6" s="1">
        <f>底表2!D19</f>
        <v>0</v>
      </c>
      <c r="E6" s="1">
        <f>底表2!E19</f>
        <v>0</v>
      </c>
      <c r="F6" s="1">
        <f>底表2!F19</f>
        <v>0</v>
      </c>
      <c r="G6" s="1">
        <f>底表2!G19</f>
        <v>0</v>
      </c>
      <c r="H6" s="1">
        <f>底表2!H19</f>
        <v>0</v>
      </c>
      <c r="I6" s="1">
        <f t="shared" ref="I6:I15" si="0">SUM(C6:H6)</f>
        <v>0</v>
      </c>
    </row>
    <row r="7" spans="1:9" ht="15">
      <c r="A7" s="3">
        <v>4</v>
      </c>
      <c r="B7" s="6" t="s">
        <v>237</v>
      </c>
      <c r="C7" s="1">
        <f t="shared" ref="C7:H7" si="1">C4-C5-C6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  <c r="H7" s="1">
        <f t="shared" si="1"/>
        <v>0</v>
      </c>
      <c r="I7" s="1">
        <f t="shared" si="0"/>
        <v>0</v>
      </c>
    </row>
    <row r="8" spans="1:9" ht="15">
      <c r="A8" s="3">
        <v>5</v>
      </c>
      <c r="B8" s="6" t="s">
        <v>30</v>
      </c>
      <c r="C8" s="1">
        <f t="shared" ref="C8:H8" si="2">C7*33%</f>
        <v>0</v>
      </c>
      <c r="D8" s="1">
        <f t="shared" si="2"/>
        <v>0</v>
      </c>
      <c r="E8" s="1">
        <f t="shared" si="2"/>
        <v>0</v>
      </c>
      <c r="F8" s="1">
        <f t="shared" si="2"/>
        <v>0</v>
      </c>
      <c r="G8" s="1">
        <f t="shared" si="2"/>
        <v>0</v>
      </c>
      <c r="H8" s="1">
        <f t="shared" si="2"/>
        <v>0</v>
      </c>
      <c r="I8" s="1">
        <f t="shared" si="0"/>
        <v>0</v>
      </c>
    </row>
    <row r="9" spans="1:9" ht="15">
      <c r="A9" s="3">
        <v>6</v>
      </c>
      <c r="B9" s="6" t="s">
        <v>111</v>
      </c>
      <c r="C9" s="1">
        <f t="shared" ref="C9:H9" si="3">C7-C8</f>
        <v>0</v>
      </c>
      <c r="D9" s="1">
        <f t="shared" si="3"/>
        <v>0</v>
      </c>
      <c r="E9" s="1">
        <f t="shared" si="3"/>
        <v>0</v>
      </c>
      <c r="F9" s="1">
        <f t="shared" si="3"/>
        <v>0</v>
      </c>
      <c r="G9" s="1">
        <f t="shared" si="3"/>
        <v>0</v>
      </c>
      <c r="H9" s="1">
        <f t="shared" si="3"/>
        <v>0</v>
      </c>
      <c r="I9" s="1">
        <f t="shared" si="0"/>
        <v>0</v>
      </c>
    </row>
    <row r="10" spans="1:9" ht="15">
      <c r="A10" s="3">
        <v>7</v>
      </c>
      <c r="B10" s="1" t="s">
        <v>112</v>
      </c>
      <c r="C10" s="1"/>
      <c r="D10" s="1">
        <f>C15</f>
        <v>0</v>
      </c>
      <c r="E10" s="1">
        <f>D15</f>
        <v>0</v>
      </c>
      <c r="F10" s="1">
        <f>E15</f>
        <v>0</v>
      </c>
      <c r="G10" s="1">
        <f>F15</f>
        <v>0</v>
      </c>
      <c r="H10" s="1">
        <f>G15</f>
        <v>0</v>
      </c>
      <c r="I10" s="1">
        <f t="shared" si="0"/>
        <v>0</v>
      </c>
    </row>
    <row r="11" spans="1:9" ht="15">
      <c r="A11" s="3">
        <v>8</v>
      </c>
      <c r="B11" s="6" t="s">
        <v>113</v>
      </c>
      <c r="C11" s="1">
        <f t="shared" ref="C11:H11" si="4">C9+C10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4"/>
        <v>0</v>
      </c>
      <c r="H11" s="1">
        <f t="shared" si="4"/>
        <v>0</v>
      </c>
      <c r="I11" s="1">
        <f t="shared" si="0"/>
        <v>0</v>
      </c>
    </row>
    <row r="12" spans="1:9" ht="15">
      <c r="A12" s="3">
        <v>9</v>
      </c>
      <c r="B12" s="1" t="s">
        <v>238</v>
      </c>
      <c r="C12" s="1"/>
      <c r="D12" s="1"/>
      <c r="E12" s="1"/>
      <c r="F12" s="1"/>
      <c r="G12" s="1"/>
      <c r="H12" s="1"/>
      <c r="I12" s="1">
        <f t="shared" si="0"/>
        <v>0</v>
      </c>
    </row>
    <row r="13" spans="1:9" ht="15">
      <c r="A13" s="3">
        <v>10</v>
      </c>
      <c r="B13" s="1" t="s">
        <v>295</v>
      </c>
      <c r="C13" s="1"/>
      <c r="D13" s="1"/>
      <c r="E13" s="1"/>
      <c r="F13" s="1"/>
      <c r="G13" s="1"/>
      <c r="H13" s="1"/>
      <c r="I13" s="1">
        <f t="shared" si="0"/>
        <v>0</v>
      </c>
    </row>
    <row r="14" spans="1:9" ht="15">
      <c r="A14" s="3">
        <v>11</v>
      </c>
      <c r="B14" s="1" t="s">
        <v>239</v>
      </c>
      <c r="C14" s="1"/>
      <c r="D14" s="1"/>
      <c r="E14" s="1"/>
      <c r="F14" s="1"/>
      <c r="G14" s="1"/>
      <c r="H14" s="1"/>
      <c r="I14" s="1">
        <f t="shared" si="0"/>
        <v>0</v>
      </c>
    </row>
    <row r="15" spans="1:9" ht="15">
      <c r="A15" s="3">
        <v>12</v>
      </c>
      <c r="B15" s="6" t="s">
        <v>116</v>
      </c>
      <c r="C15" s="1">
        <f t="shared" ref="C15:H15" si="5">C11-C12-C14</f>
        <v>0</v>
      </c>
      <c r="D15" s="1">
        <f t="shared" si="5"/>
        <v>0</v>
      </c>
      <c r="E15" s="1">
        <f t="shared" si="5"/>
        <v>0</v>
      </c>
      <c r="F15" s="1">
        <f t="shared" si="5"/>
        <v>0</v>
      </c>
      <c r="G15" s="1">
        <f t="shared" si="5"/>
        <v>0</v>
      </c>
      <c r="H15" s="1">
        <f t="shared" si="5"/>
        <v>0</v>
      </c>
      <c r="I15" s="1">
        <f t="shared" si="0"/>
        <v>0</v>
      </c>
    </row>
  </sheetData>
  <customSheetViews>
    <customSheetView guid="{33FE80C0-0EDF-11D4-8B3D-001060002050}" showRuler="0">
      <selection activeCell="B2" sqref="B2"/>
      <pageMargins left="0.75" right="0.75" top="1" bottom="1" header="0.5" footer="0.5"/>
      <headerFooter alignWithMargins="0"/>
    </customSheetView>
    <customSheetView guid="{62777320-11E7-11D4-8B3D-00E098726125}" showRuler="0">
      <selection activeCell="B2" sqref="B2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1"/>
  <sheetViews>
    <sheetView topLeftCell="A13" zoomScaleNormal="100" workbookViewId="0" xr3:uid="{51F8DEE0-4D01-5F28-A812-FC0BD7CAC4A5}">
      <selection activeCell="C29" sqref="C29:D29"/>
    </sheetView>
  </sheetViews>
  <sheetFormatPr defaultRowHeight="14.25"/>
  <cols>
    <col min="1" max="1" width="25.375" style="40" customWidth="1"/>
    <col min="2" max="2" width="11.75" style="40" customWidth="1"/>
    <col min="3" max="3" width="12.875" style="40" customWidth="1"/>
    <col min="4" max="4" width="12" style="40" customWidth="1"/>
    <col min="5" max="5" width="13.125" style="40" customWidth="1"/>
    <col min="6" max="6" width="11.75" style="40" hidden="1" customWidth="1"/>
    <col min="7" max="7" width="11.75" style="40" customWidth="1"/>
    <col min="8" max="8" width="11.625" style="40" customWidth="1"/>
    <col min="9" max="9" width="10.625" style="40" customWidth="1"/>
    <col min="10" max="10" width="9" style="40"/>
    <col min="11" max="11" width="8.625" style="138" customWidth="1"/>
    <col min="12" max="16384" width="9" style="40"/>
  </cols>
  <sheetData>
    <row r="1" spans="1:11" ht="17.25" customHeight="1"/>
    <row r="2" spans="1:11">
      <c r="A2" s="41"/>
      <c r="B2" s="42"/>
      <c r="C2" s="42"/>
      <c r="D2" s="42"/>
      <c r="E2" s="42"/>
      <c r="F2" s="42"/>
      <c r="G2" s="42"/>
      <c r="H2" s="42"/>
      <c r="I2" s="43"/>
    </row>
    <row r="3" spans="1:11" ht="19.5" customHeight="1">
      <c r="A3" s="751" t="s">
        <v>266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</row>
    <row r="4" spans="1:11">
      <c r="A4" s="41" t="str">
        <f>基础数据!C4</f>
        <v>安徽省芜湖市芜湖县荆江路以北 芜湖中路以东 世纪大道以西</v>
      </c>
      <c r="B4" s="42"/>
      <c r="C4" s="42"/>
      <c r="D4" s="42"/>
      <c r="E4" s="42"/>
      <c r="F4" s="42"/>
      <c r="G4" s="42"/>
      <c r="H4" s="42"/>
      <c r="I4" s="44"/>
    </row>
    <row r="5" spans="1:11" ht="37.5">
      <c r="A5" s="45" t="s">
        <v>267</v>
      </c>
      <c r="B5" s="45" t="str">
        <f>三年资产负债!C3</f>
        <v xml:space="preserve">2013年 </v>
      </c>
      <c r="C5" s="45" t="str">
        <f>三年资产负债!E3</f>
        <v>2014年</v>
      </c>
      <c r="D5" s="48" t="s">
        <v>618</v>
      </c>
      <c r="E5" s="47" t="str">
        <f>三年资产负债!F3</f>
        <v>2015年</v>
      </c>
      <c r="F5" s="48" t="s">
        <v>484</v>
      </c>
      <c r="G5" s="48" t="s">
        <v>618</v>
      </c>
      <c r="H5" s="49" t="str">
        <f>三年资产负债!G3</f>
        <v>2016年6月</v>
      </c>
      <c r="I5" s="50" t="s">
        <v>264</v>
      </c>
      <c r="J5" s="51" t="s">
        <v>697</v>
      </c>
      <c r="K5" s="265" t="s">
        <v>531</v>
      </c>
    </row>
    <row r="6" spans="1:11" ht="15">
      <c r="A6" s="52" t="s">
        <v>268</v>
      </c>
      <c r="B6" s="53">
        <f>三年资产负债!D39</f>
        <v>0</v>
      </c>
      <c r="C6" s="53">
        <f>三年资产负债!E39</f>
        <v>0</v>
      </c>
      <c r="D6" s="54" t="e">
        <f>(C6-B6)/ABS(B6)</f>
        <v>#DIV/0!</v>
      </c>
      <c r="E6" s="53">
        <f>三年资产负债!F39</f>
        <v>0</v>
      </c>
      <c r="F6" s="53">
        <f>三年资产负债!G39</f>
        <v>8342084235</v>
      </c>
      <c r="G6" s="54" t="e">
        <f>(E6-C6)/ABS(C6)</f>
        <v>#DIV/0!</v>
      </c>
      <c r="H6" s="53">
        <f>三年资产负债!G39</f>
        <v>8342084235</v>
      </c>
      <c r="I6" s="55" t="e">
        <f t="shared" ref="I6:I35" si="0">(H6-E6)/ABS(E6)</f>
        <v>#DIV/0!</v>
      </c>
      <c r="J6" s="56" t="e">
        <f t="shared" ref="J6:J31" si="1">E6/$E$57</f>
        <v>#DIV/0!</v>
      </c>
      <c r="K6" s="266">
        <f t="shared" ref="K6:K31" si="2">H6/$H$57</f>
        <v>1</v>
      </c>
    </row>
    <row r="7" spans="1:11" ht="15">
      <c r="A7" s="57" t="s">
        <v>269</v>
      </c>
      <c r="B7" s="58">
        <f>三年资产负债!D21</f>
        <v>0</v>
      </c>
      <c r="C7" s="58">
        <f>三年资产负债!E21</f>
        <v>0</v>
      </c>
      <c r="D7" s="54" t="e">
        <f t="shared" ref="D7:D31" si="3">(C7-B7)/ABS(B7)</f>
        <v>#DIV/0!</v>
      </c>
      <c r="E7" s="58">
        <f>三年资产负债!F21</f>
        <v>0</v>
      </c>
      <c r="F7" s="58">
        <f>三年资产负债!G21</f>
        <v>8342084235</v>
      </c>
      <c r="G7" s="54" t="e">
        <f t="shared" ref="G7:G31" si="4">(E7-C7)/ABS(C7)</f>
        <v>#DIV/0!</v>
      </c>
      <c r="H7" s="58">
        <f>三年资产负债!G21</f>
        <v>8342084235</v>
      </c>
      <c r="I7" s="55" t="e">
        <f t="shared" si="0"/>
        <v>#DIV/0!</v>
      </c>
      <c r="J7" s="56" t="e">
        <f t="shared" si="1"/>
        <v>#DIV/0!</v>
      </c>
      <c r="K7" s="266">
        <f t="shared" si="2"/>
        <v>1</v>
      </c>
    </row>
    <row r="8" spans="1:11" ht="15">
      <c r="A8" s="57" t="s">
        <v>491</v>
      </c>
      <c r="B8" s="58">
        <f>三年资产负债!D6</f>
        <v>0</v>
      </c>
      <c r="C8" s="58">
        <f>三年资产负债!E6</f>
        <v>0</v>
      </c>
      <c r="D8" s="54" t="e">
        <f t="shared" si="3"/>
        <v>#DIV/0!</v>
      </c>
      <c r="E8" s="58">
        <f>三年资产负债!F6</f>
        <v>0</v>
      </c>
      <c r="F8" s="58">
        <f>三年资产负债!G6</f>
        <v>2084235</v>
      </c>
      <c r="G8" s="54" t="e">
        <f t="shared" si="4"/>
        <v>#DIV/0!</v>
      </c>
      <c r="H8" s="58">
        <f>三年资产负债!G6</f>
        <v>2084235</v>
      </c>
      <c r="I8" s="55" t="e">
        <f t="shared" si="0"/>
        <v>#DIV/0!</v>
      </c>
      <c r="J8" s="56" t="e">
        <f t="shared" si="1"/>
        <v>#DIV/0!</v>
      </c>
      <c r="K8" s="266">
        <f t="shared" si="2"/>
        <v>2.0000000000000001E-4</v>
      </c>
    </row>
    <row r="9" spans="1:11" ht="15">
      <c r="A9" s="57" t="s">
        <v>492</v>
      </c>
      <c r="B9" s="58">
        <f>三年资产负债!D11</f>
        <v>0</v>
      </c>
      <c r="C9" s="58">
        <f>三年资产负债!E11</f>
        <v>0</v>
      </c>
      <c r="D9" s="54" t="e">
        <f t="shared" si="3"/>
        <v>#DIV/0!</v>
      </c>
      <c r="E9" s="58">
        <f>三年资产负债!F11</f>
        <v>0</v>
      </c>
      <c r="F9" s="58">
        <f>三年资产负债!G11</f>
        <v>0</v>
      </c>
      <c r="G9" s="54" t="e">
        <f t="shared" si="4"/>
        <v>#DIV/0!</v>
      </c>
      <c r="H9" s="58">
        <f>三年资产负债!G11</f>
        <v>0</v>
      </c>
      <c r="I9" s="55" t="e">
        <f t="shared" si="0"/>
        <v>#DIV/0!</v>
      </c>
      <c r="J9" s="56" t="e">
        <f t="shared" si="1"/>
        <v>#DIV/0!</v>
      </c>
      <c r="K9" s="266">
        <f t="shared" si="2"/>
        <v>0</v>
      </c>
    </row>
    <row r="10" spans="1:11" ht="15">
      <c r="A10" s="57" t="s">
        <v>493</v>
      </c>
      <c r="B10" s="58">
        <f>三年资产负债!D12</f>
        <v>0</v>
      </c>
      <c r="C10" s="58">
        <f>三年资产负债!E12</f>
        <v>0</v>
      </c>
      <c r="D10" s="54" t="e">
        <f t="shared" si="3"/>
        <v>#DIV/0!</v>
      </c>
      <c r="E10" s="58">
        <f>三年资产负债!F12</f>
        <v>0</v>
      </c>
      <c r="F10" s="58" t="e">
        <f>三年资产负债!#REF!</f>
        <v>#REF!</v>
      </c>
      <c r="G10" s="54" t="e">
        <f t="shared" si="4"/>
        <v>#DIV/0!</v>
      </c>
      <c r="H10" s="58">
        <f>三年资产负债!N9</f>
        <v>0</v>
      </c>
      <c r="I10" s="55" t="e">
        <f t="shared" si="0"/>
        <v>#DIV/0!</v>
      </c>
      <c r="J10" s="56" t="e">
        <f t="shared" si="1"/>
        <v>#DIV/0!</v>
      </c>
      <c r="K10" s="266">
        <f t="shared" si="2"/>
        <v>0</v>
      </c>
    </row>
    <row r="11" spans="1:11" ht="15">
      <c r="A11" s="57" t="s">
        <v>494</v>
      </c>
      <c r="B11" s="58">
        <f>三年资产负债!D13</f>
        <v>0</v>
      </c>
      <c r="C11" s="58">
        <f>三年资产负债!E13</f>
        <v>0</v>
      </c>
      <c r="D11" s="54" t="e">
        <f t="shared" si="3"/>
        <v>#DIV/0!</v>
      </c>
      <c r="E11" s="58">
        <f>三年资产负债!F13</f>
        <v>0</v>
      </c>
      <c r="F11" s="58">
        <f>三年资产负债!G12</f>
        <v>0</v>
      </c>
      <c r="G11" s="54" t="e">
        <f t="shared" si="4"/>
        <v>#DIV/0!</v>
      </c>
      <c r="H11" s="58">
        <f>三年资产负债!G12</f>
        <v>0</v>
      </c>
      <c r="I11" s="55" t="e">
        <f t="shared" si="0"/>
        <v>#DIV/0!</v>
      </c>
      <c r="J11" s="56" t="e">
        <f t="shared" si="1"/>
        <v>#DIV/0!</v>
      </c>
      <c r="K11" s="266">
        <f t="shared" si="2"/>
        <v>0</v>
      </c>
    </row>
    <row r="12" spans="1:11" ht="15">
      <c r="A12" s="57" t="s">
        <v>497</v>
      </c>
      <c r="B12" s="58">
        <f>三年资产负债!D14</f>
        <v>0</v>
      </c>
      <c r="C12" s="58">
        <f>三年资产负债!E14</f>
        <v>0</v>
      </c>
      <c r="D12" s="54" t="e">
        <f t="shared" si="3"/>
        <v>#DIV/0!</v>
      </c>
      <c r="E12" s="58">
        <f>三年资产负债!F14</f>
        <v>0</v>
      </c>
      <c r="F12" s="58">
        <f>三年资产负债!G14</f>
        <v>8340000000</v>
      </c>
      <c r="G12" s="54" t="e">
        <f t="shared" si="4"/>
        <v>#DIV/0!</v>
      </c>
      <c r="H12" s="58">
        <f>三年资产负债!G14</f>
        <v>8340000000</v>
      </c>
      <c r="I12" s="55" t="e">
        <f t="shared" si="0"/>
        <v>#DIV/0!</v>
      </c>
      <c r="J12" s="56" t="e">
        <f t="shared" si="1"/>
        <v>#DIV/0!</v>
      </c>
      <c r="K12" s="266">
        <f t="shared" si="2"/>
        <v>0.99980000000000002</v>
      </c>
    </row>
    <row r="13" spans="1:11" ht="15">
      <c r="A13" s="57" t="s">
        <v>498</v>
      </c>
      <c r="B13" s="58">
        <f>三年资产负债!D15</f>
        <v>0</v>
      </c>
      <c r="C13" s="58">
        <f>三年资产负债!E15</f>
        <v>0</v>
      </c>
      <c r="D13" s="54" t="e">
        <f t="shared" si="3"/>
        <v>#DIV/0!</v>
      </c>
      <c r="E13" s="58">
        <f>三年资产负债!F15</f>
        <v>0</v>
      </c>
      <c r="F13" s="58">
        <f>三年资产负债!G15</f>
        <v>0</v>
      </c>
      <c r="G13" s="54" t="e">
        <f t="shared" si="4"/>
        <v>#DIV/0!</v>
      </c>
      <c r="H13" s="58">
        <f>三年资产负债!G15</f>
        <v>0</v>
      </c>
      <c r="I13" s="55" t="e">
        <f t="shared" si="0"/>
        <v>#DIV/0!</v>
      </c>
      <c r="J13" s="56" t="e">
        <f t="shared" si="1"/>
        <v>#DIV/0!</v>
      </c>
      <c r="K13" s="266">
        <f t="shared" si="2"/>
        <v>0</v>
      </c>
    </row>
    <row r="14" spans="1:11" ht="15">
      <c r="A14" s="57" t="s">
        <v>485</v>
      </c>
      <c r="B14" s="58">
        <f>三年资产负债!D23</f>
        <v>0</v>
      </c>
      <c r="C14" s="58">
        <f>三年资产负债!E23</f>
        <v>0</v>
      </c>
      <c r="D14" s="54" t="e">
        <f t="shared" si="3"/>
        <v>#DIV/0!</v>
      </c>
      <c r="E14" s="58">
        <f>三年资产负债!F23</f>
        <v>0</v>
      </c>
      <c r="F14" s="58">
        <f>三年资产负债!G23</f>
        <v>0</v>
      </c>
      <c r="G14" s="54" t="e">
        <f t="shared" si="4"/>
        <v>#DIV/0!</v>
      </c>
      <c r="H14" s="58">
        <f>三年资产负债!G23</f>
        <v>0</v>
      </c>
      <c r="I14" s="55" t="e">
        <f t="shared" si="0"/>
        <v>#DIV/0!</v>
      </c>
      <c r="J14" s="56" t="e">
        <f t="shared" si="1"/>
        <v>#DIV/0!</v>
      </c>
      <c r="K14" s="266">
        <f t="shared" si="2"/>
        <v>0</v>
      </c>
    </row>
    <row r="15" spans="1:11" ht="15">
      <c r="A15" s="57" t="s">
        <v>486</v>
      </c>
      <c r="B15" s="58">
        <f>三年资产负债!D31</f>
        <v>0</v>
      </c>
      <c r="C15" s="58">
        <f>三年资产负债!E31</f>
        <v>0</v>
      </c>
      <c r="D15" s="54" t="e">
        <f t="shared" si="3"/>
        <v>#DIV/0!</v>
      </c>
      <c r="E15" s="58">
        <f>三年资产负债!F31</f>
        <v>0</v>
      </c>
      <c r="F15" s="58">
        <f>三年资产负债!G31</f>
        <v>0</v>
      </c>
      <c r="G15" s="54" t="e">
        <f t="shared" si="4"/>
        <v>#DIV/0!</v>
      </c>
      <c r="H15" s="58">
        <f>三年资产负债!G31</f>
        <v>0</v>
      </c>
      <c r="I15" s="55" t="e">
        <f t="shared" si="0"/>
        <v>#DIV/0!</v>
      </c>
      <c r="J15" s="56" t="e">
        <f t="shared" si="1"/>
        <v>#DIV/0!</v>
      </c>
      <c r="K15" s="266">
        <f t="shared" si="2"/>
        <v>0</v>
      </c>
    </row>
    <row r="16" spans="1:11" ht="15">
      <c r="A16" s="59" t="s">
        <v>495</v>
      </c>
      <c r="B16" s="58">
        <f>三年资产负债!D27</f>
        <v>0</v>
      </c>
      <c r="C16" s="58">
        <f>三年资产负债!E27</f>
        <v>0</v>
      </c>
      <c r="D16" s="54" t="e">
        <f t="shared" si="3"/>
        <v>#DIV/0!</v>
      </c>
      <c r="E16" s="58">
        <f>三年资产负债!F27</f>
        <v>0</v>
      </c>
      <c r="F16" s="58">
        <f>三年资产负债!G27</f>
        <v>0</v>
      </c>
      <c r="G16" s="54" t="e">
        <f t="shared" si="4"/>
        <v>#DIV/0!</v>
      </c>
      <c r="H16" s="58">
        <f>三年资产负债!G27</f>
        <v>0</v>
      </c>
      <c r="I16" s="55" t="e">
        <f t="shared" si="0"/>
        <v>#DIV/0!</v>
      </c>
      <c r="J16" s="56" t="e">
        <f t="shared" si="1"/>
        <v>#DIV/0!</v>
      </c>
      <c r="K16" s="266">
        <f t="shared" si="2"/>
        <v>0</v>
      </c>
    </row>
    <row r="17" spans="1:11" ht="15">
      <c r="A17" s="59" t="s">
        <v>496</v>
      </c>
      <c r="B17" s="58">
        <f>三年资产负债!D29</f>
        <v>0</v>
      </c>
      <c r="C17" s="58">
        <f>三年资产负债!E29</f>
        <v>0</v>
      </c>
      <c r="D17" s="54" t="e">
        <f t="shared" si="3"/>
        <v>#DIV/0!</v>
      </c>
      <c r="E17" s="58">
        <f>三年资产负债!F29</f>
        <v>0</v>
      </c>
      <c r="F17" s="58">
        <f>三年资产负债!G29</f>
        <v>0</v>
      </c>
      <c r="G17" s="54" t="e">
        <f t="shared" si="4"/>
        <v>#DIV/0!</v>
      </c>
      <c r="H17" s="58">
        <f>三年资产负债!G29</f>
        <v>0</v>
      </c>
      <c r="I17" s="55" t="e">
        <f t="shared" si="0"/>
        <v>#DIV/0!</v>
      </c>
      <c r="J17" s="56" t="e">
        <f t="shared" si="1"/>
        <v>#DIV/0!</v>
      </c>
      <c r="K17" s="266">
        <f t="shared" si="2"/>
        <v>0</v>
      </c>
    </row>
    <row r="18" spans="1:11" ht="15">
      <c r="A18" s="59" t="s">
        <v>487</v>
      </c>
      <c r="B18" s="58">
        <f>三年资产负债!D33</f>
        <v>0</v>
      </c>
      <c r="C18" s="58">
        <f>三年资产负债!E33</f>
        <v>0</v>
      </c>
      <c r="D18" s="54" t="e">
        <f t="shared" si="3"/>
        <v>#DIV/0!</v>
      </c>
      <c r="E18" s="58">
        <f>三年资产负债!F33</f>
        <v>0</v>
      </c>
      <c r="F18" s="58">
        <f>三年资产负债!G33</f>
        <v>0</v>
      </c>
      <c r="G18" s="54" t="e">
        <f t="shared" si="4"/>
        <v>#DIV/0!</v>
      </c>
      <c r="H18" s="58">
        <f>三年资产负债!G33</f>
        <v>0</v>
      </c>
      <c r="I18" s="55" t="e">
        <f t="shared" si="0"/>
        <v>#DIV/0!</v>
      </c>
      <c r="J18" s="56" t="e">
        <f t="shared" si="1"/>
        <v>#DIV/0!</v>
      </c>
      <c r="K18" s="266">
        <f t="shared" si="2"/>
        <v>0</v>
      </c>
    </row>
    <row r="19" spans="1:11" ht="15">
      <c r="A19" s="59" t="s">
        <v>488</v>
      </c>
      <c r="B19" s="58">
        <f>三年资产负债!D35</f>
        <v>0</v>
      </c>
      <c r="C19" s="58">
        <f>三年资产负债!E35</f>
        <v>0</v>
      </c>
      <c r="D19" s="54" t="e">
        <f t="shared" si="3"/>
        <v>#DIV/0!</v>
      </c>
      <c r="E19" s="58">
        <f>三年资产负债!F35</f>
        <v>0</v>
      </c>
      <c r="F19" s="58">
        <f>三年资产负债!G35</f>
        <v>0</v>
      </c>
      <c r="G19" s="54" t="e">
        <f t="shared" si="4"/>
        <v>#DIV/0!</v>
      </c>
      <c r="H19" s="58">
        <f>三年资产负债!G35</f>
        <v>0</v>
      </c>
      <c r="I19" s="55" t="e">
        <f t="shared" si="0"/>
        <v>#DIV/0!</v>
      </c>
      <c r="J19" s="56" t="e">
        <f t="shared" si="1"/>
        <v>#DIV/0!</v>
      </c>
      <c r="K19" s="266">
        <f t="shared" si="2"/>
        <v>0</v>
      </c>
    </row>
    <row r="20" spans="1:11" ht="15">
      <c r="A20" s="60" t="s">
        <v>270</v>
      </c>
      <c r="B20" s="58">
        <f>三年资产负债!K27</f>
        <v>0</v>
      </c>
      <c r="C20" s="58">
        <f>三年资产负债!L27</f>
        <v>0</v>
      </c>
      <c r="D20" s="54" t="e">
        <f t="shared" si="3"/>
        <v>#DIV/0!</v>
      </c>
      <c r="E20" s="58">
        <f>三年资产负债!M27</f>
        <v>0</v>
      </c>
      <c r="F20" s="58">
        <f>三年资产负债!N27</f>
        <v>8346415000</v>
      </c>
      <c r="G20" s="54" t="e">
        <f t="shared" si="4"/>
        <v>#DIV/0!</v>
      </c>
      <c r="H20" s="58">
        <f>三年资产负债!N27</f>
        <v>8346415000</v>
      </c>
      <c r="I20" s="55" t="e">
        <f t="shared" si="0"/>
        <v>#DIV/0!</v>
      </c>
      <c r="J20" s="56" t="e">
        <f t="shared" si="1"/>
        <v>#DIV/0!</v>
      </c>
      <c r="K20" s="266">
        <f t="shared" si="2"/>
        <v>1.0004999999999999</v>
      </c>
    </row>
    <row r="21" spans="1:11" ht="15">
      <c r="A21" s="57" t="s">
        <v>271</v>
      </c>
      <c r="B21" s="58">
        <f>三年资产负债!K20</f>
        <v>0</v>
      </c>
      <c r="C21" s="58">
        <f>三年资产负债!L20</f>
        <v>0</v>
      </c>
      <c r="D21" s="54" t="e">
        <f t="shared" si="3"/>
        <v>#DIV/0!</v>
      </c>
      <c r="E21" s="58">
        <f>三年资产负债!M20</f>
        <v>0</v>
      </c>
      <c r="F21" s="58">
        <f>三年资产负债!N20</f>
        <v>8346415000</v>
      </c>
      <c r="G21" s="54" t="e">
        <f t="shared" si="4"/>
        <v>#DIV/0!</v>
      </c>
      <c r="H21" s="58">
        <f>三年资产负债!N20</f>
        <v>8346415000</v>
      </c>
      <c r="I21" s="55" t="e">
        <f t="shared" si="0"/>
        <v>#DIV/0!</v>
      </c>
      <c r="J21" s="56" t="e">
        <f t="shared" si="1"/>
        <v>#DIV/0!</v>
      </c>
      <c r="K21" s="266">
        <f t="shared" si="2"/>
        <v>1.0004999999999999</v>
      </c>
    </row>
    <row r="22" spans="1:11" ht="15">
      <c r="A22" s="57" t="s">
        <v>490</v>
      </c>
      <c r="B22" s="58">
        <f>三年资产负债!K6</f>
        <v>0</v>
      </c>
      <c r="C22" s="58">
        <f>三年资产负债!L6</f>
        <v>0</v>
      </c>
      <c r="D22" s="54" t="e">
        <f t="shared" si="3"/>
        <v>#DIV/0!</v>
      </c>
      <c r="E22" s="58">
        <f>三年资产负债!M6</f>
        <v>0</v>
      </c>
      <c r="F22" s="58">
        <f>三年资产负债!N6</f>
        <v>0</v>
      </c>
      <c r="G22" s="54" t="e">
        <f t="shared" si="4"/>
        <v>#DIV/0!</v>
      </c>
      <c r="H22" s="58">
        <f>三年资产负债!N6</f>
        <v>0</v>
      </c>
      <c r="I22" s="55" t="e">
        <f t="shared" si="0"/>
        <v>#DIV/0!</v>
      </c>
      <c r="J22" s="56" t="e">
        <f t="shared" si="1"/>
        <v>#DIV/0!</v>
      </c>
      <c r="K22" s="266">
        <f t="shared" si="2"/>
        <v>0</v>
      </c>
    </row>
    <row r="23" spans="1:11" ht="15">
      <c r="A23" s="57" t="s">
        <v>489</v>
      </c>
      <c r="B23" s="58">
        <f>三年资产负债!K13</f>
        <v>0</v>
      </c>
      <c r="C23" s="58">
        <f>三年资产负债!L8</f>
        <v>0</v>
      </c>
      <c r="D23" s="54" t="e">
        <f t="shared" si="3"/>
        <v>#DIV/0!</v>
      </c>
      <c r="E23" s="58">
        <f>三年资产负债!M8</f>
        <v>0</v>
      </c>
      <c r="F23" s="58">
        <f>三年资产负债!N8</f>
        <v>0</v>
      </c>
      <c r="G23" s="54" t="e">
        <f t="shared" si="4"/>
        <v>#DIV/0!</v>
      </c>
      <c r="H23" s="58">
        <f>三年资产负债!N8</f>
        <v>0</v>
      </c>
      <c r="I23" s="55" t="e">
        <f t="shared" si="0"/>
        <v>#DIV/0!</v>
      </c>
      <c r="J23" s="56" t="e">
        <f t="shared" si="1"/>
        <v>#DIV/0!</v>
      </c>
      <c r="K23" s="266">
        <f t="shared" si="2"/>
        <v>0</v>
      </c>
    </row>
    <row r="24" spans="1:11" ht="15">
      <c r="A24" s="57" t="s">
        <v>475</v>
      </c>
      <c r="B24" s="58">
        <f>三年资产负债!K9</f>
        <v>0</v>
      </c>
      <c r="C24" s="58">
        <f>三年资产负债!L9</f>
        <v>0</v>
      </c>
      <c r="D24" s="54" t="e">
        <f t="shared" si="3"/>
        <v>#DIV/0!</v>
      </c>
      <c r="E24" s="58">
        <f>三年资产负债!M9</f>
        <v>0</v>
      </c>
      <c r="F24" s="58" t="e">
        <f>三年资产负债!#REF!</f>
        <v>#REF!</v>
      </c>
      <c r="G24" s="54" t="e">
        <f t="shared" si="4"/>
        <v>#DIV/0!</v>
      </c>
      <c r="H24" s="58">
        <f>三年资产负债!N9</f>
        <v>0</v>
      </c>
      <c r="I24" s="55" t="e">
        <f t="shared" si="0"/>
        <v>#DIV/0!</v>
      </c>
      <c r="J24" s="56" t="e">
        <f t="shared" si="1"/>
        <v>#DIV/0!</v>
      </c>
      <c r="K24" s="266">
        <f t="shared" si="2"/>
        <v>0</v>
      </c>
    </row>
    <row r="25" spans="1:11" ht="15">
      <c r="A25" s="57" t="s">
        <v>500</v>
      </c>
      <c r="B25" s="58">
        <f>三年资产负债!K10</f>
        <v>0</v>
      </c>
      <c r="C25" s="58">
        <f>三年资产负债!L10</f>
        <v>0</v>
      </c>
      <c r="D25" s="54" t="e">
        <f t="shared" si="3"/>
        <v>#DIV/0!</v>
      </c>
      <c r="E25" s="58">
        <f>三年资产负债!M10</f>
        <v>0</v>
      </c>
      <c r="F25" s="58">
        <f>三年资产负债!N9</f>
        <v>0</v>
      </c>
      <c r="G25" s="54" t="e">
        <f t="shared" si="4"/>
        <v>#DIV/0!</v>
      </c>
      <c r="H25" s="58">
        <f>三年资产负债!N10</f>
        <v>8346415000</v>
      </c>
      <c r="I25" s="55" t="e">
        <f t="shared" si="0"/>
        <v>#DIV/0!</v>
      </c>
      <c r="J25" s="56" t="e">
        <f t="shared" si="1"/>
        <v>#DIV/0!</v>
      </c>
      <c r="K25" s="266">
        <f t="shared" si="2"/>
        <v>1.0004999999999999</v>
      </c>
    </row>
    <row r="26" spans="1:11" ht="15">
      <c r="A26" s="57" t="s">
        <v>272</v>
      </c>
      <c r="B26" s="58">
        <f>三年资产负债!K26</f>
        <v>0</v>
      </c>
      <c r="C26" s="58">
        <f>三年资产负债!L26</f>
        <v>0</v>
      </c>
      <c r="D26" s="54" t="e">
        <f t="shared" si="3"/>
        <v>#DIV/0!</v>
      </c>
      <c r="E26" s="58">
        <f>三年资产负债!M26</f>
        <v>0</v>
      </c>
      <c r="F26" s="58">
        <f>三年资产负债!N26</f>
        <v>0</v>
      </c>
      <c r="G26" s="54" t="e">
        <f t="shared" si="4"/>
        <v>#DIV/0!</v>
      </c>
      <c r="H26" s="58">
        <f>三年资产负债!N26</f>
        <v>0</v>
      </c>
      <c r="I26" s="55" t="e">
        <f t="shared" si="0"/>
        <v>#DIV/0!</v>
      </c>
      <c r="J26" s="56" t="e">
        <f t="shared" si="1"/>
        <v>#DIV/0!</v>
      </c>
      <c r="K26" s="266">
        <f t="shared" si="2"/>
        <v>0</v>
      </c>
    </row>
    <row r="27" spans="1:11" ht="15">
      <c r="A27" s="57" t="s">
        <v>499</v>
      </c>
      <c r="B27" s="58">
        <f>三年资产负债!K22</f>
        <v>0</v>
      </c>
      <c r="C27" s="58">
        <f>三年资产负债!L22</f>
        <v>0</v>
      </c>
      <c r="D27" s="54" t="e">
        <f t="shared" si="3"/>
        <v>#DIV/0!</v>
      </c>
      <c r="E27" s="58">
        <f>三年资产负债!M22</f>
        <v>0</v>
      </c>
      <c r="F27" s="58">
        <f>三年资产负债!N22</f>
        <v>0</v>
      </c>
      <c r="G27" s="54" t="e">
        <f t="shared" si="4"/>
        <v>#DIV/0!</v>
      </c>
      <c r="H27" s="58">
        <f>三年资产负债!N22</f>
        <v>0</v>
      </c>
      <c r="I27" s="55" t="e">
        <f t="shared" si="0"/>
        <v>#DIV/0!</v>
      </c>
      <c r="J27" s="56" t="e">
        <f t="shared" si="1"/>
        <v>#DIV/0!</v>
      </c>
      <c r="K27" s="266">
        <f t="shared" si="2"/>
        <v>0</v>
      </c>
    </row>
    <row r="28" spans="1:11" ht="15">
      <c r="A28" s="60" t="s">
        <v>273</v>
      </c>
      <c r="B28" s="58">
        <f>三年资产负债!K35</f>
        <v>0</v>
      </c>
      <c r="C28" s="58">
        <f>三年资产负债!L35</f>
        <v>0</v>
      </c>
      <c r="D28" s="54" t="e">
        <f t="shared" si="3"/>
        <v>#DIV/0!</v>
      </c>
      <c r="E28" s="58">
        <f>三年资产负债!M35</f>
        <v>0</v>
      </c>
      <c r="F28" s="58">
        <f>三年资产负债!N35</f>
        <v>-4330765</v>
      </c>
      <c r="G28" s="54" t="e">
        <f t="shared" si="4"/>
        <v>#DIV/0!</v>
      </c>
      <c r="H28" s="58">
        <f>三年资产负债!N35</f>
        <v>-4330765</v>
      </c>
      <c r="I28" s="55" t="e">
        <f t="shared" si="0"/>
        <v>#DIV/0!</v>
      </c>
      <c r="J28" s="56" t="e">
        <f t="shared" si="1"/>
        <v>#DIV/0!</v>
      </c>
      <c r="K28" s="266">
        <f t="shared" si="2"/>
        <v>-5.0000000000000001E-4</v>
      </c>
    </row>
    <row r="29" spans="1:11" ht="15">
      <c r="A29" s="57" t="s">
        <v>501</v>
      </c>
      <c r="B29" s="58">
        <f>三年资产负债!K29</f>
        <v>0</v>
      </c>
      <c r="C29" s="58">
        <f>三年资产负债!L29</f>
        <v>0</v>
      </c>
      <c r="D29" s="54" t="e">
        <f t="shared" si="3"/>
        <v>#DIV/0!</v>
      </c>
      <c r="E29" s="58">
        <f>三年资产负债!M29</f>
        <v>0</v>
      </c>
      <c r="F29" s="58">
        <f>三年资产负债!N29</f>
        <v>0</v>
      </c>
      <c r="G29" s="54" t="e">
        <f t="shared" si="4"/>
        <v>#DIV/0!</v>
      </c>
      <c r="H29" s="58">
        <f>三年资产负债!N29</f>
        <v>0</v>
      </c>
      <c r="I29" s="55" t="e">
        <f t="shared" si="0"/>
        <v>#DIV/0!</v>
      </c>
      <c r="J29" s="56" t="e">
        <f t="shared" si="1"/>
        <v>#DIV/0!</v>
      </c>
      <c r="K29" s="266">
        <f t="shared" si="2"/>
        <v>0</v>
      </c>
    </row>
    <row r="30" spans="1:11" ht="15">
      <c r="A30" s="57" t="s">
        <v>502</v>
      </c>
      <c r="B30" s="58">
        <f>三年资产负债!K30</f>
        <v>0</v>
      </c>
      <c r="C30" s="58">
        <f>三年资产负债!L30</f>
        <v>0</v>
      </c>
      <c r="D30" s="54" t="e">
        <f t="shared" si="3"/>
        <v>#DIV/0!</v>
      </c>
      <c r="E30" s="58">
        <f>三年资产负债!M30</f>
        <v>0</v>
      </c>
      <c r="F30" s="58">
        <f>三年资产负债!N30</f>
        <v>0</v>
      </c>
      <c r="G30" s="54" t="e">
        <f t="shared" si="4"/>
        <v>#DIV/0!</v>
      </c>
      <c r="H30" s="58">
        <f>三年资产负债!N30</f>
        <v>0</v>
      </c>
      <c r="I30" s="55" t="e">
        <f t="shared" si="0"/>
        <v>#DIV/0!</v>
      </c>
      <c r="J30" s="56" t="e">
        <f t="shared" si="1"/>
        <v>#DIV/0!</v>
      </c>
      <c r="K30" s="266">
        <f t="shared" si="2"/>
        <v>0</v>
      </c>
    </row>
    <row r="31" spans="1:11" ht="15">
      <c r="A31" s="57" t="s">
        <v>503</v>
      </c>
      <c r="B31" s="58">
        <f>三年资产负债!K33</f>
        <v>0</v>
      </c>
      <c r="C31" s="58">
        <f>三年资产负债!L33</f>
        <v>0</v>
      </c>
      <c r="D31" s="54" t="e">
        <f t="shared" si="3"/>
        <v>#DIV/0!</v>
      </c>
      <c r="E31" s="58">
        <f>三年资产负债!M33</f>
        <v>0</v>
      </c>
      <c r="F31" s="58">
        <f>三年资产负债!N33</f>
        <v>0</v>
      </c>
      <c r="G31" s="54" t="e">
        <f t="shared" si="4"/>
        <v>#DIV/0!</v>
      </c>
      <c r="H31" s="58">
        <f>三年资产负债!N33</f>
        <v>0</v>
      </c>
      <c r="I31" s="55" t="e">
        <f t="shared" si="0"/>
        <v>#DIV/0!</v>
      </c>
      <c r="J31" s="56" t="e">
        <f t="shared" si="1"/>
        <v>#DIV/0!</v>
      </c>
      <c r="K31" s="266">
        <f t="shared" si="2"/>
        <v>0</v>
      </c>
    </row>
    <row r="32" spans="1:11" ht="15">
      <c r="A32" s="60" t="s">
        <v>274</v>
      </c>
      <c r="B32" s="54" t="e">
        <f>三年资产负债!K27/三年资产负债!K39</f>
        <v>#DIV/0!</v>
      </c>
      <c r="C32" s="54" t="e">
        <f>三年资产负债!L27/三年资产负债!L39</f>
        <v>#DIV/0!</v>
      </c>
      <c r="D32" s="54" t="e">
        <f>C32-B32</f>
        <v>#DIV/0!</v>
      </c>
      <c r="E32" s="54" t="e">
        <f>三年资产负债!M27/三年资产负债!M39</f>
        <v>#DIV/0!</v>
      </c>
      <c r="F32" s="54">
        <f>三年资产负债!N27/三年资产负债!N39</f>
        <v>1</v>
      </c>
      <c r="G32" s="54"/>
      <c r="H32" s="61">
        <f>三年资产负债!N27/三年资产负债!N39</f>
        <v>1.0004999999999999</v>
      </c>
      <c r="I32" s="55" t="e">
        <f t="shared" si="0"/>
        <v>#DIV/0!</v>
      </c>
      <c r="J32" s="56"/>
      <c r="K32" s="266"/>
    </row>
    <row r="33" spans="1:11" ht="15">
      <c r="A33" s="60" t="s">
        <v>275</v>
      </c>
      <c r="B33" s="54" t="e">
        <f>三年资产负债!D21/三年资产负债!K20</f>
        <v>#DIV/0!</v>
      </c>
      <c r="C33" s="54" t="e">
        <f>三年资产负债!E21/三年资产负债!L20</f>
        <v>#DIV/0!</v>
      </c>
      <c r="D33" s="54" t="e">
        <f>C33-B33</f>
        <v>#DIV/0!</v>
      </c>
      <c r="E33" s="54" t="e">
        <f>三年资产负债!F21/三年资产负债!M20</f>
        <v>#DIV/0!</v>
      </c>
      <c r="F33" s="54">
        <f>三年资产负债!G21/三年资产负债!N20</f>
        <v>1</v>
      </c>
      <c r="G33" s="54"/>
      <c r="H33" s="61">
        <f>三年资产负债!G21/三年资产负债!N20</f>
        <v>0.99950000000000006</v>
      </c>
      <c r="I33" s="55" t="e">
        <f t="shared" si="0"/>
        <v>#DIV/0!</v>
      </c>
      <c r="J33" s="56"/>
      <c r="K33" s="266"/>
    </row>
    <row r="34" spans="1:11" ht="15">
      <c r="A34" s="60" t="s">
        <v>276</v>
      </c>
      <c r="B34" s="54" t="e">
        <f>(三年资产负债!D21-三年资产负债!D14)/三年资产负债!K20</f>
        <v>#DIV/0!</v>
      </c>
      <c r="C34" s="54" t="e">
        <f>(三年资产负债!E21-三年资产负债!E14)/三年资产负债!L20</f>
        <v>#DIV/0!</v>
      </c>
      <c r="D34" s="54" t="e">
        <f>C34-B34</f>
        <v>#DIV/0!</v>
      </c>
      <c r="E34" s="54" t="e">
        <f>(三年资产负债!F21-三年资产负债!F14)/三年资产负债!M20</f>
        <v>#DIV/0!</v>
      </c>
      <c r="F34" s="54">
        <f>(三年资产负债!G21-三年资产负债!G14)/三年资产负债!N20</f>
        <v>0</v>
      </c>
      <c r="G34" s="54"/>
      <c r="H34" s="61">
        <f>(三年资产负债!G21-三年资产负债!G14)/三年资产负债!N20</f>
        <v>2.0000000000000001E-4</v>
      </c>
      <c r="I34" s="55" t="e">
        <f t="shared" si="0"/>
        <v>#DIV/0!</v>
      </c>
      <c r="J34" s="56"/>
      <c r="K34" s="266"/>
    </row>
    <row r="35" spans="1:11" ht="15">
      <c r="A35" s="62" t="s">
        <v>277</v>
      </c>
      <c r="B35" s="54" t="e">
        <f>B26/B6</f>
        <v>#DIV/0!</v>
      </c>
      <c r="C35" s="54" t="e">
        <f>C26/C6</f>
        <v>#DIV/0!</v>
      </c>
      <c r="D35" s="54" t="e">
        <f>C35-B35</f>
        <v>#DIV/0!</v>
      </c>
      <c r="E35" s="54" t="e">
        <f>E26/E6</f>
        <v>#DIV/0!</v>
      </c>
      <c r="F35" s="54">
        <f>F26/F6</f>
        <v>0</v>
      </c>
      <c r="G35" s="54"/>
      <c r="H35" s="61">
        <f>H26/H6</f>
        <v>0</v>
      </c>
      <c r="I35" s="55" t="e">
        <f t="shared" si="0"/>
        <v>#DIV/0!</v>
      </c>
      <c r="J35" s="56"/>
      <c r="K35" s="266"/>
    </row>
    <row r="36" spans="1:11">
      <c r="A36" s="41"/>
      <c r="B36" s="42"/>
      <c r="C36" s="42"/>
      <c r="D36" s="42"/>
      <c r="E36" s="42"/>
      <c r="F36" s="42"/>
      <c r="G36" s="42"/>
      <c r="H36" s="42"/>
      <c r="I36" s="43"/>
    </row>
    <row r="46" spans="1:11" ht="16.5" customHeight="1"/>
    <row r="47" spans="1:11" ht="16.5" customHeight="1"/>
    <row r="48" spans="1:11" ht="16.5" customHeight="1"/>
    <row r="49" spans="1:11" ht="16.5" customHeight="1"/>
    <row r="50" spans="1:11" ht="16.5" customHeight="1"/>
    <row r="51" spans="1:11" ht="16.5" customHeight="1"/>
    <row r="52" spans="1:11" ht="16.5" customHeight="1"/>
    <row r="53" spans="1:11" ht="16.5" customHeight="1">
      <c r="A53" s="63"/>
      <c r="B53" s="42"/>
      <c r="C53" s="42"/>
      <c r="D53" s="64"/>
      <c r="E53" s="42"/>
      <c r="F53" s="42"/>
      <c r="G53" s="42"/>
      <c r="H53" s="42"/>
      <c r="I53" s="64"/>
      <c r="J53" s="65"/>
      <c r="K53" s="267"/>
    </row>
    <row r="54" spans="1:11" ht="18">
      <c r="A54" s="750" t="s">
        <v>262</v>
      </c>
      <c r="B54" s="750"/>
      <c r="C54" s="750"/>
      <c r="D54" s="750"/>
      <c r="E54" s="750"/>
      <c r="F54" s="750"/>
      <c r="G54" s="750"/>
      <c r="H54" s="750"/>
      <c r="I54" s="750"/>
    </row>
    <row r="55" spans="1:11">
      <c r="A55" s="40" t="str">
        <f>基础数据!C4</f>
        <v>安徽省芜湖市芜湖县荆江路以北 芜湖中路以东 世纪大道以西</v>
      </c>
    </row>
    <row r="56" spans="1:11" ht="15">
      <c r="A56" s="45" t="s">
        <v>263</v>
      </c>
      <c r="B56" s="45" t="str">
        <f>B5</f>
        <v xml:space="preserve">2013年 </v>
      </c>
      <c r="C56" s="45" t="str">
        <f>C5</f>
        <v>2014年</v>
      </c>
      <c r="D56" s="48" t="s">
        <v>484</v>
      </c>
      <c r="E56" s="47" t="str">
        <f>E5</f>
        <v>2015年</v>
      </c>
      <c r="F56" s="48" t="s">
        <v>484</v>
      </c>
      <c r="G56" s="48"/>
      <c r="H56" s="49" t="str">
        <f>三年资产负债!G3</f>
        <v>2016年6月</v>
      </c>
      <c r="I56" s="50" t="s">
        <v>264</v>
      </c>
      <c r="J56" s="66"/>
      <c r="K56" s="268"/>
    </row>
    <row r="57" spans="1:11" ht="15">
      <c r="A57" s="60" t="s">
        <v>265</v>
      </c>
      <c r="B57" s="58">
        <f>三年资产负债!D39</f>
        <v>0</v>
      </c>
      <c r="C57" s="58">
        <f>三年资产负债!E39</f>
        <v>0</v>
      </c>
      <c r="D57" s="54" t="e">
        <f>(C57-B57)/ABS(B57)</f>
        <v>#DIV/0!</v>
      </c>
      <c r="E57" s="58">
        <f>三年资产负债!F39</f>
        <v>0</v>
      </c>
      <c r="F57" s="58">
        <f>三年资产负债!G39</f>
        <v>8342084235</v>
      </c>
      <c r="G57" s="58"/>
      <c r="H57" s="58">
        <f>三年资产负债!G39</f>
        <v>8342084235</v>
      </c>
      <c r="I57" s="54" t="e">
        <f>(E57-B57)/ABS(B57)</f>
        <v>#DIV/0!</v>
      </c>
      <c r="J57" s="66"/>
      <c r="K57" s="268"/>
    </row>
    <row r="58" spans="1:11" ht="15">
      <c r="A58" s="67" t="s">
        <v>483</v>
      </c>
      <c r="B58" s="58">
        <f>三年资产负债!K35</f>
        <v>0</v>
      </c>
      <c r="C58" s="58">
        <f>三年资产负债!L35</f>
        <v>0</v>
      </c>
      <c r="D58" s="54" t="e">
        <f>(C58-B58)/ABS(B58)</f>
        <v>#DIV/0!</v>
      </c>
      <c r="E58" s="58">
        <f>三年资产负债!M35</f>
        <v>0</v>
      </c>
      <c r="F58" s="58">
        <f>三年资产负债!N35</f>
        <v>-4330765</v>
      </c>
      <c r="G58" s="58"/>
      <c r="H58" s="58">
        <f>三年资产负债!N35</f>
        <v>-4330765</v>
      </c>
      <c r="I58" s="54" t="e">
        <f>(E58-B58)/ABS(B58)</f>
        <v>#DIV/0!</v>
      </c>
      <c r="J58" s="66"/>
      <c r="K58" s="268"/>
    </row>
    <row r="59" spans="1:11" ht="15">
      <c r="A59" s="60" t="s">
        <v>12</v>
      </c>
      <c r="B59" s="58">
        <f>三年资产负债!D27</f>
        <v>0</v>
      </c>
      <c r="C59" s="58">
        <f>三年资产负债!E27</f>
        <v>0</v>
      </c>
      <c r="D59" s="54" t="e">
        <f>(C59-B59)/ABS(B59)</f>
        <v>#DIV/0!</v>
      </c>
      <c r="E59" s="58">
        <f>三年资产负债!F27</f>
        <v>0</v>
      </c>
      <c r="F59" s="58">
        <f>三年资产负债!G27</f>
        <v>0</v>
      </c>
      <c r="G59" s="58"/>
      <c r="H59" s="58">
        <f>三年资产负债!G27</f>
        <v>0</v>
      </c>
      <c r="I59" s="54" t="e">
        <f>(E59-B59)/ABS(B59)</f>
        <v>#DIV/0!</v>
      </c>
      <c r="J59" s="66"/>
      <c r="K59" s="268"/>
    </row>
    <row r="60" spans="1:11" ht="15">
      <c r="A60" s="68" t="s">
        <v>0</v>
      </c>
      <c r="B60" s="58">
        <f>三年资产负债!D29</f>
        <v>0</v>
      </c>
      <c r="C60" s="58">
        <f>三年资产负债!E29</f>
        <v>0</v>
      </c>
      <c r="D60" s="54" t="e">
        <f>(C60-B60)/ABS(B60)</f>
        <v>#DIV/0!</v>
      </c>
      <c r="E60" s="58">
        <f>三年资产负债!F29</f>
        <v>0</v>
      </c>
      <c r="F60" s="58">
        <f>三年资产负债!G29</f>
        <v>0</v>
      </c>
      <c r="G60" s="58"/>
      <c r="H60" s="58">
        <f>三年资产负债!G29</f>
        <v>0</v>
      </c>
      <c r="I60" s="54" t="e">
        <f>(E60-B60)/ABS(B60)</f>
        <v>#DIV/0!</v>
      </c>
      <c r="J60" s="66"/>
      <c r="K60" s="268"/>
    </row>
    <row r="61" spans="1:11" ht="15">
      <c r="A61" s="60" t="s">
        <v>13</v>
      </c>
      <c r="B61" s="58">
        <f>三年资产负债!D23</f>
        <v>0</v>
      </c>
      <c r="C61" s="58">
        <f>三年资产负债!E23</f>
        <v>0</v>
      </c>
      <c r="D61" s="54" t="e">
        <f>(C61-B61)/ABS(B61)</f>
        <v>#DIV/0!</v>
      </c>
      <c r="E61" s="58">
        <f>三年资产负债!F23</f>
        <v>0</v>
      </c>
      <c r="F61" s="58">
        <f>三年资产负债!G23</f>
        <v>0</v>
      </c>
      <c r="G61" s="58"/>
      <c r="H61" s="58">
        <f>三年资产负债!G23</f>
        <v>0</v>
      </c>
      <c r="I61" s="54" t="e">
        <f>(E61-B61)/ABS(B61)</f>
        <v>#DIV/0!</v>
      </c>
      <c r="J61" s="66"/>
      <c r="K61" s="268"/>
    </row>
    <row r="62" spans="1:11" ht="19.5" customHeight="1">
      <c r="A62" s="751" t="s">
        <v>278</v>
      </c>
      <c r="B62" s="751"/>
      <c r="C62" s="751"/>
      <c r="D62" s="751"/>
      <c r="E62" s="751"/>
      <c r="F62" s="751"/>
      <c r="G62" s="751"/>
      <c r="H62" s="751"/>
      <c r="I62" s="751"/>
      <c r="K62" s="267"/>
    </row>
    <row r="63" spans="1:11">
      <c r="A63" s="41" t="str">
        <f>基础数据!C4</f>
        <v>安徽省芜湖市芜湖县荆江路以北 芜湖中路以东 世纪大道以西</v>
      </c>
      <c r="B63" s="42"/>
      <c r="C63" s="42"/>
      <c r="D63" s="42"/>
      <c r="E63" s="42"/>
      <c r="F63" s="42"/>
      <c r="G63" s="42"/>
      <c r="H63" s="42"/>
      <c r="I63" s="44"/>
      <c r="K63" s="267"/>
    </row>
    <row r="64" spans="1:11" ht="15">
      <c r="A64" s="45" t="s">
        <v>267</v>
      </c>
      <c r="B64" s="45" t="str">
        <f>B56</f>
        <v xml:space="preserve">2013年 </v>
      </c>
      <c r="C64" s="45" t="str">
        <f>C56</f>
        <v>2014年</v>
      </c>
      <c r="D64" s="48" t="s">
        <v>484</v>
      </c>
      <c r="E64" s="45" t="str">
        <f>E56</f>
        <v>2015年</v>
      </c>
      <c r="F64" s="47" t="str">
        <f>H56</f>
        <v>2016年6月</v>
      </c>
      <c r="G64" s="47"/>
      <c r="H64" s="47" t="str">
        <f>三年资产负债!G3</f>
        <v>2016年6月</v>
      </c>
      <c r="I64" s="50" t="s">
        <v>279</v>
      </c>
      <c r="J64" s="67" t="s">
        <v>504</v>
      </c>
      <c r="K64" s="268"/>
    </row>
    <row r="65" spans="1:11" ht="15">
      <c r="A65" s="52" t="s">
        <v>280</v>
      </c>
      <c r="B65" s="55" t="e">
        <f>三年损益!E5/((三年资产负债!C39+三年资产负债!D39)/2)</f>
        <v>#DIV/0!</v>
      </c>
      <c r="C65" s="55" t="e">
        <f>三年损益!F5/((三年资产负债!D39+三年资产负债!E39)/2)</f>
        <v>#DIV/0!</v>
      </c>
      <c r="D65" s="58" t="e">
        <f t="shared" ref="D65:D70" si="5">C65-B65</f>
        <v>#DIV/0!</v>
      </c>
      <c r="E65" s="55" t="e">
        <f>三年损益!G5/((三年资产负债!E39+三年资产负债!F39)/2)</f>
        <v>#DIV/0!</v>
      </c>
      <c r="F65" s="55" t="e">
        <f>三年损益!#REF!/((三年资产负债!F39+三年资产负债!G39)/2)</f>
        <v>#REF!</v>
      </c>
      <c r="G65" s="55"/>
      <c r="H65" s="55" t="e">
        <f>三年损益!#REF!/((三年资产负债!F39+三年资产负债!G39)/2)</f>
        <v>#REF!</v>
      </c>
      <c r="I65" s="55" t="e">
        <f t="shared" ref="I65:I70" si="6">E65-B65</f>
        <v>#DIV/0!</v>
      </c>
      <c r="J65" s="58"/>
      <c r="K65" s="268"/>
    </row>
    <row r="66" spans="1:11" ht="15">
      <c r="A66" s="60" t="s">
        <v>281</v>
      </c>
      <c r="B66" s="54" t="e">
        <f>三年损益!E5/((三年资产负债!C31+三年资产负债!D31)/2)</f>
        <v>#DIV/0!</v>
      </c>
      <c r="C66" s="54" t="e">
        <f>三年损益!F5/((三年资产负债!D31+三年资产负债!E31)/2)</f>
        <v>#DIV/0!</v>
      </c>
      <c r="D66" s="58" t="e">
        <f t="shared" si="5"/>
        <v>#DIV/0!</v>
      </c>
      <c r="E66" s="54" t="e">
        <f>三年损益!G5/((三年资产负债!E31+三年资产负债!F31)/2)</f>
        <v>#DIV/0!</v>
      </c>
      <c r="F66" s="54" t="e">
        <f>三年损益!#REF!/((三年资产负债!F31+三年资产负债!G31)/2)</f>
        <v>#REF!</v>
      </c>
      <c r="G66" s="54"/>
      <c r="H66" s="54" t="e">
        <f>三年损益!#REF!/((三年资产负债!F31+三年资产负债!G31)/2)</f>
        <v>#REF!</v>
      </c>
      <c r="I66" s="55" t="e">
        <f t="shared" si="6"/>
        <v>#DIV/0!</v>
      </c>
      <c r="J66" s="58"/>
      <c r="K66" s="268"/>
    </row>
    <row r="67" spans="1:11" ht="15">
      <c r="A67" s="60" t="s">
        <v>282</v>
      </c>
      <c r="B67" s="54" t="e">
        <f>三年损益!E6/((三年资产负债!C14+三年资产负债!D14)/2)</f>
        <v>#DIV/0!</v>
      </c>
      <c r="C67" s="54" t="e">
        <f>三年损益!F6/((三年资产负债!D14+三年资产负债!E14)/2)</f>
        <v>#DIV/0!</v>
      </c>
      <c r="D67" s="58" t="e">
        <f t="shared" si="5"/>
        <v>#DIV/0!</v>
      </c>
      <c r="E67" s="54" t="e">
        <f>三年损益!G6/((三年资产负债!E14+三年资产负债!F14)/2)</f>
        <v>#DIV/0!</v>
      </c>
      <c r="F67" s="54">
        <f>三年损益!H5/((三年资产负债!F14+三年资产负债!G14)/2)</f>
        <v>0</v>
      </c>
      <c r="G67" s="54"/>
      <c r="H67" s="54">
        <f>三年损益!H5/((三年资产负债!F14+三年资产负债!G14)/2)</f>
        <v>0</v>
      </c>
      <c r="I67" s="55" t="e">
        <f t="shared" si="6"/>
        <v>#DIV/0!</v>
      </c>
      <c r="J67" s="58"/>
      <c r="K67" s="268"/>
    </row>
    <row r="68" spans="1:11" ht="15">
      <c r="A68" s="69" t="s">
        <v>321</v>
      </c>
      <c r="B68" s="70" t="e">
        <f>360/B67</f>
        <v>#DIV/0!</v>
      </c>
      <c r="C68" s="70" t="e">
        <f>360/C67</f>
        <v>#DIV/0!</v>
      </c>
      <c r="D68" s="58" t="e">
        <f t="shared" si="5"/>
        <v>#DIV/0!</v>
      </c>
      <c r="E68" s="70" t="e">
        <f>360/E67</f>
        <v>#DIV/0!</v>
      </c>
      <c r="F68" s="70" t="e">
        <f>360/F67</f>
        <v>#DIV/0!</v>
      </c>
      <c r="G68" s="70"/>
      <c r="H68" s="70" t="e">
        <f>360/H67</f>
        <v>#DIV/0!</v>
      </c>
      <c r="I68" s="55" t="e">
        <f t="shared" si="6"/>
        <v>#DIV/0!</v>
      </c>
      <c r="J68" s="58" t="e">
        <f>AVERAGE(B68,C68,E68)</f>
        <v>#DIV/0!</v>
      </c>
      <c r="K68" s="268"/>
    </row>
    <row r="69" spans="1:11" ht="15">
      <c r="A69" s="69" t="s">
        <v>283</v>
      </c>
      <c r="B69" s="71" t="e">
        <f>三年损益!E5/((三年资产负债!C9+三年资产负债!D9)/2)</f>
        <v>#DIV/0!</v>
      </c>
      <c r="C69" s="71" t="e">
        <f>三年损益!F5/((三年资产负债!D9+三年资产负债!E9)/2)</f>
        <v>#DIV/0!</v>
      </c>
      <c r="D69" s="58" t="e">
        <f t="shared" si="5"/>
        <v>#DIV/0!</v>
      </c>
      <c r="E69" s="71" t="e">
        <f>三年损益!G5/((三年资产负债!E9+三年资产负债!F9)/2)</f>
        <v>#DIV/0!</v>
      </c>
      <c r="F69" s="71" t="e">
        <f>三年损益!#REF!/((三年资产负债!F9+三年资产负债!G9)/2)</f>
        <v>#REF!</v>
      </c>
      <c r="G69" s="71"/>
      <c r="H69" s="71" t="e">
        <f>三年损益!#REF!/((三年资产负债!F9+三年资产负债!G9)/2)</f>
        <v>#REF!</v>
      </c>
      <c r="I69" s="55" t="e">
        <f t="shared" si="6"/>
        <v>#DIV/0!</v>
      </c>
      <c r="J69" s="58" t="e">
        <f>AVERAGE(B69,C69,E69)</f>
        <v>#DIV/0!</v>
      </c>
      <c r="K69" s="268"/>
    </row>
    <row r="70" spans="1:11" ht="15">
      <c r="A70" s="60" t="s">
        <v>476</v>
      </c>
      <c r="B70" s="58" t="e">
        <f>360/B69</f>
        <v>#DIV/0!</v>
      </c>
      <c r="C70" s="58" t="e">
        <f>360/C69</f>
        <v>#DIV/0!</v>
      </c>
      <c r="D70" s="58" t="e">
        <f t="shared" si="5"/>
        <v>#DIV/0!</v>
      </c>
      <c r="E70" s="58" t="e">
        <f>360/E69</f>
        <v>#DIV/0!</v>
      </c>
      <c r="F70" s="58" t="e">
        <f>360/F69</f>
        <v>#REF!</v>
      </c>
      <c r="G70" s="58"/>
      <c r="H70" s="58" t="e">
        <f>360/H69</f>
        <v>#REF!</v>
      </c>
      <c r="I70" s="55" t="e">
        <f t="shared" si="6"/>
        <v>#DIV/0!</v>
      </c>
      <c r="J70" s="58" t="e">
        <f>AVERAGE(B70,C70,E70)</f>
        <v>#DIV/0!</v>
      </c>
      <c r="K70" s="268"/>
    </row>
    <row r="71" spans="1:11">
      <c r="A71" s="41"/>
      <c r="B71" s="42"/>
      <c r="C71" s="42"/>
      <c r="D71" s="42"/>
      <c r="E71" s="42"/>
      <c r="F71" s="42"/>
      <c r="G71" s="42"/>
      <c r="H71" s="42"/>
      <c r="I71" s="42"/>
      <c r="J71" s="42"/>
      <c r="K71" s="267"/>
    </row>
    <row r="72" spans="1:11" ht="18">
      <c r="A72" s="751" t="s">
        <v>284</v>
      </c>
      <c r="B72" s="752"/>
      <c r="C72" s="752"/>
      <c r="D72" s="752"/>
      <c r="E72" s="752"/>
      <c r="F72" s="752"/>
      <c r="G72" s="752"/>
      <c r="H72" s="752"/>
      <c r="I72" s="752"/>
      <c r="K72" s="267"/>
    </row>
    <row r="73" spans="1:11">
      <c r="A73" s="41"/>
      <c r="B73" s="64"/>
      <c r="C73" s="64"/>
      <c r="D73" s="64"/>
      <c r="E73" s="64"/>
      <c r="F73" s="64"/>
      <c r="G73" s="64"/>
      <c r="H73" s="64"/>
      <c r="I73" s="44"/>
      <c r="K73" s="267"/>
    </row>
    <row r="74" spans="1:11" ht="15">
      <c r="A74" s="45" t="s">
        <v>267</v>
      </c>
      <c r="B74" s="45" t="str">
        <f>B64</f>
        <v xml:space="preserve">2013年 </v>
      </c>
      <c r="C74" s="45" t="str">
        <f>C64</f>
        <v>2014年</v>
      </c>
      <c r="D74" s="45" t="str">
        <f>D64</f>
        <v>环    增</v>
      </c>
      <c r="E74" s="45" t="str">
        <f>E64</f>
        <v>2015年</v>
      </c>
      <c r="F74" s="48" t="s">
        <v>484</v>
      </c>
      <c r="G74" s="48"/>
      <c r="H74" s="49" t="str">
        <f>三年资产负债!G3</f>
        <v>2016年6月</v>
      </c>
      <c r="I74" s="72" t="s">
        <v>279</v>
      </c>
      <c r="J74" s="66"/>
      <c r="K74" s="268"/>
    </row>
    <row r="75" spans="1:11" ht="15">
      <c r="A75" s="52" t="s">
        <v>9</v>
      </c>
      <c r="B75" s="53">
        <f>三年损益!E5</f>
        <v>0</v>
      </c>
      <c r="C75" s="53">
        <f>三年损益!F5</f>
        <v>0</v>
      </c>
      <c r="D75" s="54" t="e">
        <f>(C75-B75)/ABS(B75)</f>
        <v>#DIV/0!</v>
      </c>
      <c r="E75" s="53">
        <f>三年损益!G5</f>
        <v>0</v>
      </c>
      <c r="F75" s="53" t="e">
        <f>三年损益!#REF!</f>
        <v>#REF!</v>
      </c>
      <c r="G75" s="53"/>
      <c r="H75" s="53" t="e">
        <f>三年损益!#REF!</f>
        <v>#REF!</v>
      </c>
      <c r="I75" s="55" t="e">
        <f>(E75-B75)/ABS(B75)</f>
        <v>#DIV/0!</v>
      </c>
      <c r="J75" s="66"/>
      <c r="K75" s="268"/>
    </row>
    <row r="76" spans="1:11" ht="15">
      <c r="A76" s="60" t="s">
        <v>285</v>
      </c>
      <c r="B76" s="53">
        <f>三年损益!E6+三年损益!E7</f>
        <v>0</v>
      </c>
      <c r="C76" s="53">
        <f>三年损益!F6+三年损益!F7</f>
        <v>0</v>
      </c>
      <c r="D76" s="54" t="e">
        <f t="shared" ref="D76:D83" si="7">(C76-B76)/ABS(B76)</f>
        <v>#DIV/0!</v>
      </c>
      <c r="E76" s="53">
        <f>三年损益!G6+三年损益!G7</f>
        <v>0</v>
      </c>
      <c r="F76" s="53">
        <f>三年损益!H5+三年损益!H7</f>
        <v>0</v>
      </c>
      <c r="G76" s="53"/>
      <c r="H76" s="53">
        <f>三年损益!H5+三年损益!H7</f>
        <v>0</v>
      </c>
      <c r="I76" s="55" t="e">
        <f t="shared" ref="I76:I83" si="8">(E76-B76)/ABS(B76)</f>
        <v>#DIV/0!</v>
      </c>
      <c r="J76" s="66"/>
      <c r="K76" s="268"/>
    </row>
    <row r="77" spans="1:11" ht="15">
      <c r="A77" s="60" t="s">
        <v>286</v>
      </c>
      <c r="B77" s="53">
        <f>三年损益!E9</f>
        <v>0</v>
      </c>
      <c r="C77" s="53">
        <f>三年损益!F9</f>
        <v>0</v>
      </c>
      <c r="D77" s="54" t="e">
        <f t="shared" si="7"/>
        <v>#DIV/0!</v>
      </c>
      <c r="E77" s="53">
        <f>三年损益!G9</f>
        <v>0</v>
      </c>
      <c r="F77" s="53">
        <f>三年损益!H9</f>
        <v>0</v>
      </c>
      <c r="G77" s="53"/>
      <c r="H77" s="53">
        <f>三年损益!H9</f>
        <v>0</v>
      </c>
      <c r="I77" s="55" t="e">
        <f t="shared" si="8"/>
        <v>#DIV/0!</v>
      </c>
      <c r="J77" s="66"/>
      <c r="K77" s="268"/>
    </row>
    <row r="78" spans="1:11" ht="15">
      <c r="A78" s="60" t="s">
        <v>287</v>
      </c>
      <c r="B78" s="53">
        <f>三年损益!E14</f>
        <v>0</v>
      </c>
      <c r="C78" s="53">
        <f>三年损益!F14</f>
        <v>0</v>
      </c>
      <c r="D78" s="54" t="e">
        <f t="shared" si="7"/>
        <v>#DIV/0!</v>
      </c>
      <c r="E78" s="53">
        <f>三年损益!G14</f>
        <v>0</v>
      </c>
      <c r="F78" s="53">
        <f>三年损益!H14</f>
        <v>0</v>
      </c>
      <c r="G78" s="53"/>
      <c r="H78" s="53">
        <f>三年损益!H14</f>
        <v>0</v>
      </c>
      <c r="I78" s="55" t="e">
        <f t="shared" si="8"/>
        <v>#DIV/0!</v>
      </c>
      <c r="J78" s="66"/>
      <c r="K78" s="268"/>
    </row>
    <row r="79" spans="1:11" ht="15">
      <c r="A79" s="60" t="s">
        <v>288</v>
      </c>
      <c r="B79" s="53">
        <f>三年损益!E15</f>
        <v>0</v>
      </c>
      <c r="C79" s="53">
        <f>三年损益!F15</f>
        <v>0</v>
      </c>
      <c r="D79" s="54" t="e">
        <f t="shared" si="7"/>
        <v>#DIV/0!</v>
      </c>
      <c r="E79" s="53">
        <f>三年损益!G15</f>
        <v>0</v>
      </c>
      <c r="F79" s="53">
        <f>三年损益!H15</f>
        <v>0</v>
      </c>
      <c r="G79" s="53"/>
      <c r="H79" s="53">
        <f>三年损益!H15</f>
        <v>0</v>
      </c>
      <c r="I79" s="55" t="e">
        <f t="shared" si="8"/>
        <v>#DIV/0!</v>
      </c>
      <c r="J79" s="66"/>
      <c r="K79" s="268"/>
    </row>
    <row r="80" spans="1:11" ht="15">
      <c r="A80" s="60" t="s">
        <v>10</v>
      </c>
      <c r="B80" s="53">
        <f>三年损益!E20</f>
        <v>0</v>
      </c>
      <c r="C80" s="53">
        <f>三年损益!F20</f>
        <v>0</v>
      </c>
      <c r="D80" s="54" t="e">
        <f t="shared" si="7"/>
        <v>#DIV/0!</v>
      </c>
      <c r="E80" s="53">
        <f>三年损益!G20</f>
        <v>0</v>
      </c>
      <c r="F80" s="53">
        <f>三年损益!H20</f>
        <v>0</v>
      </c>
      <c r="G80" s="53"/>
      <c r="H80" s="53">
        <f>三年损益!H20</f>
        <v>0</v>
      </c>
      <c r="I80" s="55" t="e">
        <f t="shared" si="8"/>
        <v>#DIV/0!</v>
      </c>
      <c r="J80" s="66"/>
      <c r="K80" s="268"/>
    </row>
    <row r="81" spans="1:11" ht="15">
      <c r="A81" s="60" t="s">
        <v>111</v>
      </c>
      <c r="B81" s="53">
        <f>三年损益!E22</f>
        <v>0</v>
      </c>
      <c r="C81" s="53">
        <f>三年损益!F22</f>
        <v>0</v>
      </c>
      <c r="D81" s="54" t="e">
        <f t="shared" si="7"/>
        <v>#DIV/0!</v>
      </c>
      <c r="E81" s="53">
        <f>三年损益!G22</f>
        <v>0</v>
      </c>
      <c r="F81" s="53">
        <f>三年损益!H22</f>
        <v>0</v>
      </c>
      <c r="G81" s="53"/>
      <c r="H81" s="53">
        <f>三年损益!H22</f>
        <v>0</v>
      </c>
      <c r="I81" s="55" t="e">
        <f t="shared" si="8"/>
        <v>#DIV/0!</v>
      </c>
      <c r="J81" s="66"/>
      <c r="K81" s="268"/>
    </row>
    <row r="82" spans="1:11" ht="15">
      <c r="A82" s="60" t="s">
        <v>11</v>
      </c>
      <c r="B82" s="61" t="e">
        <f>B80/B75</f>
        <v>#DIV/0!</v>
      </c>
      <c r="C82" s="61" t="e">
        <f>C80/C75</f>
        <v>#DIV/0!</v>
      </c>
      <c r="D82" s="54" t="e">
        <f t="shared" si="7"/>
        <v>#DIV/0!</v>
      </c>
      <c r="E82" s="61" t="e">
        <f>E80/E75</f>
        <v>#DIV/0!</v>
      </c>
      <c r="F82" s="61" t="e">
        <f>F80/F75</f>
        <v>#REF!</v>
      </c>
      <c r="G82" s="61"/>
      <c r="H82" s="61" t="e">
        <f>H80/H75</f>
        <v>#REF!</v>
      </c>
      <c r="I82" s="55" t="e">
        <f t="shared" si="8"/>
        <v>#DIV/0!</v>
      </c>
      <c r="J82" s="66"/>
      <c r="K82" s="268"/>
    </row>
    <row r="83" spans="1:11" ht="15">
      <c r="A83" s="60" t="s">
        <v>2</v>
      </c>
      <c r="B83" s="61" t="e">
        <f>B81/三年资产负债!K29</f>
        <v>#DIV/0!</v>
      </c>
      <c r="C83" s="61" t="e">
        <f>C81/三年资产负债!L29*10000</f>
        <v>#DIV/0!</v>
      </c>
      <c r="D83" s="54" t="e">
        <f t="shared" si="7"/>
        <v>#DIV/0!</v>
      </c>
      <c r="E83" s="61" t="e">
        <f>E81/三年资产负债!M29*10000</f>
        <v>#DIV/0!</v>
      </c>
      <c r="F83" s="61" t="e">
        <f>F81/三年资产负债!N29</f>
        <v>#DIV/0!</v>
      </c>
      <c r="G83" s="61"/>
      <c r="H83" s="61" t="e">
        <f>H81/三年资产负债!N29*10000</f>
        <v>#DIV/0!</v>
      </c>
      <c r="I83" s="55" t="e">
        <f t="shared" si="8"/>
        <v>#DIV/0!</v>
      </c>
      <c r="J83" s="66"/>
      <c r="K83" s="268"/>
    </row>
    <row r="84" spans="1:11">
      <c r="A84" s="65"/>
      <c r="B84" s="65"/>
      <c r="C84" s="65"/>
      <c r="D84" s="65"/>
      <c r="E84" s="65"/>
      <c r="F84" s="65"/>
      <c r="G84" s="65"/>
      <c r="H84" s="65"/>
      <c r="I84" s="65"/>
      <c r="K84" s="267"/>
    </row>
    <row r="85" spans="1:11">
      <c r="A85" s="65"/>
      <c r="B85" s="65"/>
      <c r="C85" s="65"/>
      <c r="D85" s="65"/>
      <c r="E85" s="65"/>
      <c r="F85" s="65"/>
      <c r="G85" s="65"/>
      <c r="H85" s="65"/>
      <c r="I85" s="65"/>
      <c r="K85" s="267"/>
    </row>
    <row r="86" spans="1:11" ht="15">
      <c r="A86" s="45" t="s">
        <v>267</v>
      </c>
      <c r="B86" s="45" t="str">
        <f>B74</f>
        <v xml:space="preserve">2013年 </v>
      </c>
      <c r="C86" s="45" t="str">
        <f>C74</f>
        <v>2014年</v>
      </c>
      <c r="D86" s="45" t="str">
        <f>D74</f>
        <v>环    增</v>
      </c>
      <c r="E86" s="45" t="str">
        <f>E74</f>
        <v>2015年</v>
      </c>
      <c r="F86" s="48" t="s">
        <v>484</v>
      </c>
      <c r="G86" s="48"/>
      <c r="H86" s="49" t="str">
        <f>三年资产负债!G3</f>
        <v>2016年6月</v>
      </c>
      <c r="I86" s="66"/>
      <c r="J86" s="66"/>
      <c r="K86" s="268"/>
    </row>
    <row r="87" spans="1:11" ht="15">
      <c r="A87" s="60" t="s">
        <v>289</v>
      </c>
      <c r="B87" s="54" t="e">
        <f>三年损益!E6/三年损益!E5</f>
        <v>#DIV/0!</v>
      </c>
      <c r="C87" s="54" t="e">
        <f>三年损益!F6/三年损益!F5</f>
        <v>#DIV/0!</v>
      </c>
      <c r="D87" s="58" t="e">
        <f>C87-B87</f>
        <v>#DIV/0!</v>
      </c>
      <c r="E87" s="54" t="e">
        <f>三年损益!G6/三年损益!G5</f>
        <v>#DIV/0!</v>
      </c>
      <c r="F87" s="54" t="e">
        <f>三年损益!H5/三年损益!#REF!</f>
        <v>#REF!</v>
      </c>
      <c r="G87" s="54"/>
      <c r="H87" s="54" t="e">
        <f>三年损益!H5/三年损益!#REF!</f>
        <v>#REF!</v>
      </c>
      <c r="I87" s="66"/>
      <c r="J87" s="66"/>
      <c r="K87" s="268"/>
    </row>
    <row r="88" spans="1:11" ht="15">
      <c r="A88" s="60" t="s">
        <v>290</v>
      </c>
      <c r="B88" s="54" t="e">
        <f>三年损益!E7/三年损益!E5</f>
        <v>#DIV/0!</v>
      </c>
      <c r="C88" s="54" t="e">
        <f>三年损益!F7/三年损益!F5</f>
        <v>#DIV/0!</v>
      </c>
      <c r="D88" s="58" t="e">
        <f>C88-B88</f>
        <v>#DIV/0!</v>
      </c>
      <c r="E88" s="54" t="e">
        <f>三年损益!G7/三年损益!G5</f>
        <v>#DIV/0!</v>
      </c>
      <c r="F88" s="54" t="e">
        <f>三年损益!H7/三年损益!#REF!</f>
        <v>#REF!</v>
      </c>
      <c r="G88" s="54"/>
      <c r="H88" s="54" t="e">
        <f>三年损益!H7/三年损益!#REF!</f>
        <v>#REF!</v>
      </c>
      <c r="I88" s="66"/>
      <c r="J88" s="66"/>
      <c r="K88" s="268"/>
    </row>
    <row r="89" spans="1:11" ht="15">
      <c r="A89" s="60" t="s">
        <v>291</v>
      </c>
      <c r="B89" s="54" t="e">
        <f>三年损益!E8/三年损益!E5</f>
        <v>#DIV/0!</v>
      </c>
      <c r="C89" s="54" t="e">
        <f>三年损益!F8/三年损益!F5</f>
        <v>#DIV/0!</v>
      </c>
      <c r="D89" s="58" t="e">
        <f>C89-B89</f>
        <v>#DIV/0!</v>
      </c>
      <c r="E89" s="54" t="e">
        <f>三年损益!G8/三年损益!G5</f>
        <v>#DIV/0!</v>
      </c>
      <c r="F89" s="54" t="e">
        <f>三年损益!H8/三年损益!#REF!</f>
        <v>#REF!</v>
      </c>
      <c r="G89" s="54"/>
      <c r="H89" s="54" t="e">
        <f>三年损益!H8/三年损益!#REF!</f>
        <v>#REF!</v>
      </c>
      <c r="I89" s="66"/>
      <c r="J89" s="66"/>
      <c r="K89" s="268"/>
    </row>
    <row r="90" spans="1:11" ht="15">
      <c r="A90" s="60" t="s">
        <v>292</v>
      </c>
      <c r="B90" s="54" t="e">
        <f>三年损益!E11/三年损益!E5</f>
        <v>#DIV/0!</v>
      </c>
      <c r="C90" s="54" t="e">
        <f>三年损益!F11/三年损益!F5</f>
        <v>#DIV/0!</v>
      </c>
      <c r="D90" s="58" t="e">
        <f>C90-B90</f>
        <v>#DIV/0!</v>
      </c>
      <c r="E90" s="54" t="e">
        <f>三年损益!G11/三年损益!G5</f>
        <v>#DIV/0!</v>
      </c>
      <c r="F90" s="54" t="e">
        <f>三年损益!H11/三年损益!#REF!</f>
        <v>#REF!</v>
      </c>
      <c r="G90" s="54"/>
      <c r="H90" s="54" t="e">
        <f>三年损益!H11/三年损益!#REF!</f>
        <v>#REF!</v>
      </c>
      <c r="I90" s="66"/>
      <c r="J90" s="66"/>
      <c r="K90" s="268"/>
    </row>
    <row r="91" spans="1:11">
      <c r="A91" s="57"/>
      <c r="B91" s="54"/>
      <c r="C91" s="54"/>
      <c r="D91" s="58"/>
      <c r="E91" s="54"/>
      <c r="F91" s="54"/>
      <c r="G91" s="54"/>
      <c r="H91" s="54"/>
      <c r="I91" s="66"/>
      <c r="J91" s="66"/>
      <c r="K91" s="268"/>
    </row>
  </sheetData>
  <customSheetViews>
    <customSheetView guid="{33FE80C0-0EDF-11D4-8B3D-001060002050}" showPageBreaks="1" showRuler="0" topLeftCell="A55">
      <selection activeCell="C67" sqref="C67"/>
      <pageMargins left="0.75" right="0.75" top="1" bottom="1" header="0.5" footer="0.5"/>
      <pageSetup paperSize="9" scale="95" orientation="portrait" horizontalDpi="360" verticalDpi="360" copies="0" r:id="rId1"/>
      <headerFooter alignWithMargins="0"/>
    </customSheetView>
    <customSheetView guid="{62777320-11E7-11D4-8B3D-00E098726125}" showRuler="0" topLeftCell="A55">
      <selection activeCell="C67" sqref="C67"/>
      <pageMargins left="0.75" right="0.75" top="1" bottom="1" header="0.5" footer="0.5"/>
      <pageSetup paperSize="9" scale="95" orientation="portrait" horizontalDpi="360" verticalDpi="360" copies="0" r:id="rId2"/>
      <headerFooter alignWithMargins="0"/>
    </customSheetView>
  </customSheetViews>
  <mergeCells count="4">
    <mergeCell ref="A54:I54"/>
    <mergeCell ref="A62:I62"/>
    <mergeCell ref="A72:I72"/>
    <mergeCell ref="A3:K3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horizontalDpi="360" verticalDpi="360" r:id="rId3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15"/>
  <sheetViews>
    <sheetView workbookViewId="0" xr3:uid="{FB84E6B5-2F03-524A-B55D-05F6A9FA1888}">
      <selection activeCell="C12" sqref="C12"/>
    </sheetView>
  </sheetViews>
  <sheetFormatPr defaultRowHeight="14.25"/>
  <cols>
    <col min="1" max="1" width="5" customWidth="1"/>
    <col min="2" max="2" width="23.625" customWidth="1"/>
  </cols>
  <sheetData>
    <row r="1" spans="1:9" ht="18">
      <c r="A1" s="936" t="s">
        <v>183</v>
      </c>
      <c r="B1" s="937"/>
      <c r="C1" s="937"/>
      <c r="D1" s="937"/>
      <c r="E1" s="937"/>
      <c r="F1" s="937"/>
      <c r="G1" s="937"/>
      <c r="H1" s="937"/>
      <c r="I1" s="937"/>
    </row>
    <row r="2" spans="1:9" ht="15">
      <c r="A2" s="5"/>
      <c r="B2" s="8">
        <v>0.1</v>
      </c>
      <c r="C2" s="2"/>
      <c r="D2" s="2"/>
      <c r="E2" s="2"/>
      <c r="F2" s="2"/>
      <c r="G2" s="2"/>
      <c r="H2" s="945" t="s">
        <v>27</v>
      </c>
      <c r="I2" s="946"/>
    </row>
    <row r="3" spans="1:9" ht="15">
      <c r="A3" s="6" t="s">
        <v>28</v>
      </c>
      <c r="B3" s="7" t="s">
        <v>53</v>
      </c>
      <c r="C3" s="3" t="str">
        <f>主表2!D3</f>
        <v>2018年</v>
      </c>
      <c r="D3" s="3" t="str">
        <f>主表2!E3</f>
        <v>2019年</v>
      </c>
      <c r="E3" s="3" t="str">
        <f>主表2!F3</f>
        <v>2020年</v>
      </c>
      <c r="F3" s="3" t="str">
        <f>主表2!G3</f>
        <v>2021年</v>
      </c>
      <c r="G3" s="3" t="str">
        <f>主表2!H3</f>
        <v>2022年</v>
      </c>
      <c r="H3" s="3" t="str">
        <f>主表2!I3</f>
        <v>2023年</v>
      </c>
      <c r="I3" s="7" t="s">
        <v>233</v>
      </c>
    </row>
    <row r="4" spans="1:9" ht="15">
      <c r="A4" s="3">
        <v>1</v>
      </c>
      <c r="B4" s="6" t="s">
        <v>29</v>
      </c>
      <c r="C4" s="1">
        <f>底表2!C17</f>
        <v>0</v>
      </c>
      <c r="D4" s="1">
        <f>底表2!D17</f>
        <v>0</v>
      </c>
      <c r="E4" s="1">
        <f>底表2!E17</f>
        <v>0</v>
      </c>
      <c r="F4" s="1">
        <f>底表2!F17</f>
        <v>0</v>
      </c>
      <c r="G4" s="1">
        <f>底表2!G17</f>
        <v>0</v>
      </c>
      <c r="H4" s="1">
        <f>底表2!H17</f>
        <v>0</v>
      </c>
      <c r="I4" s="1">
        <f>SUM(C4:H4)</f>
        <v>0</v>
      </c>
    </row>
    <row r="5" spans="1:9" ht="15">
      <c r="A5" s="3">
        <v>2</v>
      </c>
      <c r="B5" s="6" t="s">
        <v>236</v>
      </c>
      <c r="C5" s="1">
        <f>主表4_2!C5*(1+$B$2)</f>
        <v>0</v>
      </c>
      <c r="D5" s="1">
        <f>主表4_2!D5*(1+$B$2)</f>
        <v>0</v>
      </c>
      <c r="E5" s="1">
        <f>主表4_2!E5*(1+$B$2)</f>
        <v>0</v>
      </c>
      <c r="F5" s="1">
        <f>主表4_2!F5*(1+$B$2)</f>
        <v>0</v>
      </c>
      <c r="G5" s="1">
        <f>主表4_2!G5*(1+$B$2)</f>
        <v>0</v>
      </c>
      <c r="H5" s="1">
        <f>主表4_2!H5*(1+$B$2)</f>
        <v>0</v>
      </c>
      <c r="I5" s="1">
        <f>主表4_2!I5*(1+$B$2)</f>
        <v>0</v>
      </c>
    </row>
    <row r="6" spans="1:9" ht="15">
      <c r="A6" s="3">
        <v>3</v>
      </c>
      <c r="B6" s="6" t="s">
        <v>37</v>
      </c>
      <c r="C6" s="1">
        <f>底表2!C19</f>
        <v>0</v>
      </c>
      <c r="D6" s="1">
        <f>底表2!D19</f>
        <v>0</v>
      </c>
      <c r="E6" s="1">
        <f>底表2!E19</f>
        <v>0</v>
      </c>
      <c r="F6" s="1">
        <f>底表2!F19</f>
        <v>0</v>
      </c>
      <c r="G6" s="1">
        <f>底表2!G19</f>
        <v>0</v>
      </c>
      <c r="H6" s="1">
        <f>底表2!H19</f>
        <v>0</v>
      </c>
      <c r="I6" s="1">
        <f t="shared" ref="I6:I15" si="0">SUM(C6:H6)</f>
        <v>0</v>
      </c>
    </row>
    <row r="7" spans="1:9" ht="15">
      <c r="A7" s="3">
        <v>4</v>
      </c>
      <c r="B7" s="6" t="s">
        <v>237</v>
      </c>
      <c r="C7" s="1">
        <f t="shared" ref="C7:H7" si="1">C4-C5-C6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  <c r="H7" s="1">
        <f t="shared" si="1"/>
        <v>0</v>
      </c>
      <c r="I7" s="1">
        <f t="shared" si="0"/>
        <v>0</v>
      </c>
    </row>
    <row r="8" spans="1:9" ht="15">
      <c r="A8" s="3">
        <v>5</v>
      </c>
      <c r="B8" s="6" t="s">
        <v>30</v>
      </c>
      <c r="C8" s="1">
        <f t="shared" ref="C8:H8" si="2">C7*33%</f>
        <v>0</v>
      </c>
      <c r="D8" s="1">
        <f t="shared" si="2"/>
        <v>0</v>
      </c>
      <c r="E8" s="1">
        <f t="shared" si="2"/>
        <v>0</v>
      </c>
      <c r="F8" s="1">
        <f t="shared" si="2"/>
        <v>0</v>
      </c>
      <c r="G8" s="1">
        <f t="shared" si="2"/>
        <v>0</v>
      </c>
      <c r="H8" s="1">
        <f t="shared" si="2"/>
        <v>0</v>
      </c>
      <c r="I8" s="1">
        <f t="shared" si="0"/>
        <v>0</v>
      </c>
    </row>
    <row r="9" spans="1:9" ht="15">
      <c r="A9" s="3">
        <v>6</v>
      </c>
      <c r="B9" s="6" t="s">
        <v>111</v>
      </c>
      <c r="C9" s="1">
        <f t="shared" ref="C9:H9" si="3">C7-C8</f>
        <v>0</v>
      </c>
      <c r="D9" s="1">
        <f t="shared" si="3"/>
        <v>0</v>
      </c>
      <c r="E9" s="1">
        <f t="shared" si="3"/>
        <v>0</v>
      </c>
      <c r="F9" s="1">
        <f t="shared" si="3"/>
        <v>0</v>
      </c>
      <c r="G9" s="1">
        <f t="shared" si="3"/>
        <v>0</v>
      </c>
      <c r="H9" s="1">
        <f t="shared" si="3"/>
        <v>0</v>
      </c>
      <c r="I9" s="1">
        <f t="shared" si="0"/>
        <v>0</v>
      </c>
    </row>
    <row r="10" spans="1:9" ht="15">
      <c r="A10" s="3">
        <v>7</v>
      </c>
      <c r="B10" s="1" t="s">
        <v>112</v>
      </c>
      <c r="C10" s="1"/>
      <c r="D10" s="1">
        <f>C15</f>
        <v>0</v>
      </c>
      <c r="E10" s="1">
        <f>D15</f>
        <v>0</v>
      </c>
      <c r="F10" s="1">
        <f>E15</f>
        <v>0</v>
      </c>
      <c r="G10" s="1">
        <f>F15</f>
        <v>0</v>
      </c>
      <c r="H10" s="1">
        <f>G15</f>
        <v>0</v>
      </c>
      <c r="I10" s="1">
        <f t="shared" si="0"/>
        <v>0</v>
      </c>
    </row>
    <row r="11" spans="1:9" ht="15">
      <c r="A11" s="3">
        <v>8</v>
      </c>
      <c r="B11" s="6" t="s">
        <v>113</v>
      </c>
      <c r="C11" s="1">
        <f t="shared" ref="C11:H11" si="4">C9+C10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4"/>
        <v>0</v>
      </c>
      <c r="H11" s="1">
        <f t="shared" si="4"/>
        <v>0</v>
      </c>
      <c r="I11" s="1">
        <f t="shared" si="0"/>
        <v>0</v>
      </c>
    </row>
    <row r="12" spans="1:9" ht="15">
      <c r="A12" s="3">
        <v>9</v>
      </c>
      <c r="B12" s="1" t="s">
        <v>238</v>
      </c>
      <c r="C12" s="1"/>
      <c r="D12" s="1"/>
      <c r="E12" s="1"/>
      <c r="F12" s="1"/>
      <c r="G12" s="1"/>
      <c r="H12" s="1"/>
      <c r="I12" s="1">
        <f t="shared" si="0"/>
        <v>0</v>
      </c>
    </row>
    <row r="13" spans="1:9" ht="15">
      <c r="A13" s="3">
        <v>10</v>
      </c>
      <c r="B13" s="1" t="s">
        <v>295</v>
      </c>
      <c r="C13" s="1"/>
      <c r="D13" s="1"/>
      <c r="E13" s="1"/>
      <c r="F13" s="1"/>
      <c r="G13" s="1"/>
      <c r="H13" s="1"/>
      <c r="I13" s="1">
        <f t="shared" si="0"/>
        <v>0</v>
      </c>
    </row>
    <row r="14" spans="1:9" ht="15">
      <c r="A14" s="3">
        <v>11</v>
      </c>
      <c r="B14" s="1" t="s">
        <v>239</v>
      </c>
      <c r="C14" s="1"/>
      <c r="D14" s="1"/>
      <c r="E14" s="1"/>
      <c r="F14" s="1"/>
      <c r="G14" s="1"/>
      <c r="H14" s="1"/>
      <c r="I14" s="1">
        <f t="shared" si="0"/>
        <v>0</v>
      </c>
    </row>
    <row r="15" spans="1:9" ht="15">
      <c r="A15" s="3">
        <v>12</v>
      </c>
      <c r="B15" s="6" t="s">
        <v>116</v>
      </c>
      <c r="C15" s="1">
        <f t="shared" ref="C15:H15" si="5">C11-C12-C14</f>
        <v>0</v>
      </c>
      <c r="D15" s="1">
        <f t="shared" si="5"/>
        <v>0</v>
      </c>
      <c r="E15" s="1">
        <f t="shared" si="5"/>
        <v>0</v>
      </c>
      <c r="F15" s="1">
        <f t="shared" si="5"/>
        <v>0</v>
      </c>
      <c r="G15" s="1">
        <f t="shared" si="5"/>
        <v>0</v>
      </c>
      <c r="H15" s="1">
        <f t="shared" si="5"/>
        <v>0</v>
      </c>
      <c r="I15" s="1">
        <f t="shared" si="0"/>
        <v>0</v>
      </c>
    </row>
  </sheetData>
  <customSheetViews>
    <customSheetView guid="{33FE80C0-0EDF-11D4-8B3D-001060002050}" showRuler="0">
      <selection activeCell="D12" sqref="D12"/>
      <pageMargins left="0.75" right="0.75" top="1" bottom="1" header="0.5" footer="0.5"/>
      <headerFooter alignWithMargins="0"/>
    </customSheetView>
    <customSheetView guid="{62777320-11E7-11D4-8B3D-00E098726125}" showRuler="0">
      <selection activeCell="D12" sqref="D12"/>
      <pageMargins left="0.75" right="0.75" top="1" bottom="1" header="0.5" footer="0.5"/>
      <headerFooter alignWithMargins="0"/>
    </customSheetView>
  </customSheetViews>
  <mergeCells count="2">
    <mergeCell ref="A1:I1"/>
    <mergeCell ref="H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27"/>
  <sheetViews>
    <sheetView workbookViewId="0" xr3:uid="{FA9D0CF8-F9BB-5117-B023-E36B10EBCA76}">
      <selection sqref="A1:IV65536"/>
    </sheetView>
  </sheetViews>
  <sheetFormatPr defaultRowHeight="14.25"/>
  <cols>
    <col min="1" max="1" width="8.125" style="40" customWidth="1"/>
    <col min="2" max="2" width="21.75" style="40" customWidth="1"/>
    <col min="3" max="3" width="9" style="40"/>
    <col min="4" max="4" width="18.625" style="40" customWidth="1"/>
    <col min="5" max="5" width="9" style="40"/>
    <col min="6" max="6" width="18.5" style="40" customWidth="1"/>
    <col min="7" max="16384" width="9" style="40"/>
  </cols>
  <sheetData>
    <row r="1" spans="1:7" ht="18">
      <c r="A1" s="929" t="s">
        <v>25</v>
      </c>
      <c r="B1" s="933"/>
      <c r="C1" s="933"/>
      <c r="D1" s="933"/>
      <c r="E1" s="933"/>
      <c r="F1" s="933"/>
      <c r="G1" s="933"/>
    </row>
    <row r="2" spans="1:7" ht="18">
      <c r="A2" s="226"/>
      <c r="B2" s="216" t="str">
        <f>基础数据!C4</f>
        <v>安徽省芜湖市芜湖县荆江路以北 芜湖中路以东 世纪大道以西</v>
      </c>
      <c r="C2" s="227"/>
      <c r="D2" s="227"/>
      <c r="E2" s="227"/>
      <c r="F2" s="227"/>
      <c r="G2" s="227"/>
    </row>
    <row r="3" spans="1:7" ht="15">
      <c r="A3" s="255" t="s">
        <v>433</v>
      </c>
      <c r="B3" s="171"/>
      <c r="C3" s="171"/>
      <c r="D3" s="171"/>
      <c r="F3" s="960" t="s">
        <v>24</v>
      </c>
      <c r="G3" s="961"/>
    </row>
    <row r="4" spans="1:7" ht="14.25" customHeight="1">
      <c r="A4" s="947" t="s">
        <v>243</v>
      </c>
      <c r="B4" s="165" t="s">
        <v>244</v>
      </c>
      <c r="C4" s="953"/>
      <c r="D4" s="953"/>
      <c r="E4" s="953"/>
      <c r="F4" s="953"/>
      <c r="G4" s="953"/>
    </row>
    <row r="5" spans="1:7" ht="14.25" customHeight="1">
      <c r="A5" s="948"/>
      <c r="B5" s="256" t="s">
        <v>245</v>
      </c>
      <c r="C5" s="954"/>
      <c r="D5" s="954"/>
      <c r="E5" s="954"/>
      <c r="F5" s="954"/>
      <c r="G5" s="954"/>
    </row>
    <row r="6" spans="1:7" ht="15">
      <c r="A6" s="948"/>
      <c r="B6" s="257" t="s">
        <v>246</v>
      </c>
      <c r="C6" s="245"/>
      <c r="D6" s="245"/>
      <c r="E6" s="245"/>
      <c r="F6" s="245"/>
      <c r="G6" s="245"/>
    </row>
    <row r="7" spans="1:7" ht="15">
      <c r="A7" s="948"/>
      <c r="B7" s="258" t="s">
        <v>247</v>
      </c>
      <c r="C7" s="146"/>
      <c r="D7" s="146"/>
      <c r="E7" s="146"/>
      <c r="F7" s="146"/>
      <c r="G7" s="146"/>
    </row>
    <row r="8" spans="1:7" ht="15">
      <c r="A8" s="948"/>
      <c r="B8" s="258" t="s">
        <v>248</v>
      </c>
      <c r="C8" s="146"/>
      <c r="D8" s="146"/>
      <c r="E8" s="146"/>
      <c r="F8" s="146"/>
      <c r="G8" s="146"/>
    </row>
    <row r="9" spans="1:7" ht="15.75" customHeight="1">
      <c r="A9" s="948"/>
      <c r="B9" s="258" t="s">
        <v>1</v>
      </c>
      <c r="C9" s="146"/>
      <c r="D9" s="146"/>
      <c r="E9" s="146"/>
      <c r="F9" s="146"/>
      <c r="G9" s="146"/>
    </row>
    <row r="10" spans="1:7" ht="15">
      <c r="A10" s="948"/>
      <c r="B10" s="258" t="s">
        <v>12</v>
      </c>
      <c r="C10" s="146"/>
      <c r="D10" s="146"/>
      <c r="E10" s="146"/>
      <c r="F10" s="146"/>
      <c r="G10" s="146"/>
    </row>
    <row r="11" spans="1:7" ht="15.75" customHeight="1">
      <c r="A11" s="948"/>
      <c r="B11" s="258" t="s">
        <v>8</v>
      </c>
      <c r="C11" s="146"/>
      <c r="D11" s="146"/>
      <c r="E11" s="146"/>
      <c r="F11" s="146"/>
      <c r="G11" s="146"/>
    </row>
    <row r="12" spans="1:7" ht="15">
      <c r="A12" s="948"/>
      <c r="B12" s="258" t="s">
        <v>22</v>
      </c>
      <c r="C12" s="146"/>
      <c r="D12" s="146"/>
      <c r="E12" s="146"/>
      <c r="F12" s="146"/>
      <c r="G12" s="146"/>
    </row>
    <row r="13" spans="1:7" ht="15.75" customHeight="1">
      <c r="A13" s="948"/>
      <c r="B13" s="258" t="s">
        <v>23</v>
      </c>
      <c r="C13" s="146"/>
      <c r="D13" s="146"/>
      <c r="E13" s="146"/>
      <c r="F13" s="146"/>
      <c r="G13" s="146"/>
    </row>
    <row r="14" spans="1:7" ht="15">
      <c r="A14" s="948"/>
      <c r="B14" s="258" t="s">
        <v>249</v>
      </c>
      <c r="C14" s="146"/>
      <c r="D14" s="146"/>
      <c r="E14" s="146"/>
      <c r="F14" s="146"/>
      <c r="G14" s="146"/>
    </row>
    <row r="15" spans="1:7" ht="15">
      <c r="A15" s="948"/>
      <c r="B15" s="258" t="s">
        <v>250</v>
      </c>
      <c r="C15" s="146"/>
      <c r="D15" s="146"/>
      <c r="E15" s="146"/>
      <c r="F15" s="146"/>
      <c r="G15" s="146"/>
    </row>
    <row r="16" spans="1:7" ht="15">
      <c r="A16" s="948"/>
      <c r="B16" s="258" t="s">
        <v>251</v>
      </c>
      <c r="C16" s="146"/>
      <c r="D16" s="146"/>
      <c r="E16" s="146"/>
      <c r="F16" s="146"/>
      <c r="G16" s="146"/>
    </row>
    <row r="17" spans="1:7" ht="15">
      <c r="A17" s="949"/>
      <c r="B17" s="258" t="s">
        <v>10</v>
      </c>
      <c r="C17" s="146"/>
      <c r="D17" s="146"/>
      <c r="E17" s="146"/>
      <c r="F17" s="146"/>
      <c r="G17" s="146"/>
    </row>
    <row r="18" spans="1:7" ht="15">
      <c r="A18" s="950" t="s">
        <v>252</v>
      </c>
      <c r="B18" s="258" t="s">
        <v>4</v>
      </c>
      <c r="C18" s="146"/>
      <c r="D18" s="228" t="s">
        <v>232</v>
      </c>
      <c r="E18" s="146"/>
      <c r="F18" s="228" t="s">
        <v>20</v>
      </c>
      <c r="G18" s="146"/>
    </row>
    <row r="19" spans="1:7" ht="15">
      <c r="A19" s="951"/>
      <c r="B19" s="258" t="s">
        <v>253</v>
      </c>
      <c r="C19" s="146"/>
      <c r="D19" s="228" t="s">
        <v>15</v>
      </c>
      <c r="E19" s="146"/>
      <c r="F19" s="228" t="s">
        <v>21</v>
      </c>
      <c r="G19" s="146"/>
    </row>
    <row r="20" spans="1:7" ht="15.75" customHeight="1">
      <c r="A20" s="951"/>
      <c r="B20" s="258" t="s">
        <v>5</v>
      </c>
      <c r="C20" s="146"/>
      <c r="D20" s="228" t="s">
        <v>16</v>
      </c>
      <c r="E20" s="146"/>
      <c r="F20" s="228" t="s">
        <v>11</v>
      </c>
      <c r="G20" s="146"/>
    </row>
    <row r="21" spans="1:7" ht="15">
      <c r="A21" s="951"/>
      <c r="B21" s="258" t="s">
        <v>6</v>
      </c>
      <c r="C21" s="146"/>
      <c r="D21" s="228" t="s">
        <v>17</v>
      </c>
      <c r="E21" s="146"/>
      <c r="F21" s="228" t="s">
        <v>254</v>
      </c>
      <c r="G21" s="146"/>
    </row>
    <row r="22" spans="1:7" ht="15.75" customHeight="1">
      <c r="A22" s="952"/>
      <c r="B22" s="259" t="s">
        <v>7</v>
      </c>
      <c r="C22" s="237"/>
      <c r="D22" s="260" t="s">
        <v>18</v>
      </c>
      <c r="E22" s="237"/>
      <c r="F22" s="260" t="s">
        <v>255</v>
      </c>
      <c r="G22" s="237"/>
    </row>
    <row r="23" spans="1:7" ht="17.25" customHeight="1">
      <c r="A23" s="955" t="s">
        <v>256</v>
      </c>
      <c r="B23" s="957"/>
      <c r="C23" s="957"/>
      <c r="D23" s="957"/>
      <c r="E23" s="957"/>
      <c r="F23" s="957"/>
      <c r="G23" s="958"/>
    </row>
    <row r="24" spans="1:7" ht="48" customHeight="1">
      <c r="A24" s="956"/>
      <c r="B24" s="942"/>
      <c r="C24" s="942"/>
      <c r="D24" s="942"/>
      <c r="E24" s="942"/>
      <c r="F24" s="942"/>
      <c r="G24" s="959"/>
    </row>
    <row r="25" spans="1:7">
      <c r="A25" s="216"/>
    </row>
    <row r="26" spans="1:7" ht="15">
      <c r="A26" s="216"/>
      <c r="B26" s="159" t="s">
        <v>257</v>
      </c>
    </row>
    <row r="27" spans="1:7" ht="15">
      <c r="A27" s="216"/>
      <c r="B27" s="40" t="s">
        <v>258</v>
      </c>
    </row>
  </sheetData>
  <sheetProtection password="C79D" sheet="1" objects="1" scenarios="1"/>
  <customSheetViews>
    <customSheetView guid="{33FE80C0-0EDF-11D4-8B3D-001060002050}" showRuler="0">
      <selection activeCell="B2" sqref="B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  <customSheetView guid="{62777320-11E7-11D4-8B3D-00E098726125}" showRuler="0">
      <selection activeCell="B2" sqref="B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2"/>
      <headerFooter alignWithMargins="0"/>
    </customSheetView>
  </customSheetViews>
  <mergeCells count="11">
    <mergeCell ref="A23:A24"/>
    <mergeCell ref="B23:G24"/>
    <mergeCell ref="F3:G3"/>
    <mergeCell ref="A1:G1"/>
    <mergeCell ref="A4:A17"/>
    <mergeCell ref="A18:A22"/>
    <mergeCell ref="C4:C5"/>
    <mergeCell ref="D4:D5"/>
    <mergeCell ref="E4:E5"/>
    <mergeCell ref="F4:F5"/>
    <mergeCell ref="G4:G5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3"/>
  <headerFooter alignWithMargins="0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7"/>
  <sheetViews>
    <sheetView workbookViewId="0" xr3:uid="{62F1EA49-F163-5359-9764-B7CD00A4F86E}">
      <selection activeCell="K28" sqref="K28"/>
    </sheetView>
  </sheetViews>
  <sheetFormatPr defaultRowHeight="14.25"/>
  <cols>
    <col min="1" max="2" width="6.125" customWidth="1"/>
    <col min="3" max="3" width="6.5" customWidth="1"/>
    <col min="4" max="4" width="6.625" customWidth="1"/>
    <col min="5" max="5" width="7.75" customWidth="1"/>
    <col min="6" max="6" width="7.5" customWidth="1"/>
    <col min="7" max="7" width="7.375" customWidth="1"/>
  </cols>
  <sheetData>
    <row r="1" spans="1:7">
      <c r="A1" s="561" t="s">
        <v>930</v>
      </c>
      <c r="B1" s="561" t="s">
        <v>931</v>
      </c>
      <c r="C1" s="561" t="s">
        <v>932</v>
      </c>
      <c r="D1" s="561" t="s">
        <v>933</v>
      </c>
      <c r="E1" s="561" t="s">
        <v>934</v>
      </c>
      <c r="F1" s="561" t="s">
        <v>935</v>
      </c>
      <c r="G1" s="561" t="s">
        <v>297</v>
      </c>
    </row>
    <row r="2" spans="1:7">
      <c r="A2" s="561" t="s">
        <v>936</v>
      </c>
      <c r="B2" s="561">
        <v>0</v>
      </c>
      <c r="C2" s="561">
        <v>296326</v>
      </c>
      <c r="D2" s="561">
        <v>330000</v>
      </c>
      <c r="E2" s="561">
        <v>420000</v>
      </c>
      <c r="F2" s="561">
        <v>317910</v>
      </c>
      <c r="G2" s="561">
        <f t="shared" ref="G2:G7" si="0">SUM(B2:F2)</f>
        <v>1364236</v>
      </c>
    </row>
    <row r="3" spans="1:7">
      <c r="A3" s="561" t="s">
        <v>925</v>
      </c>
      <c r="B3" s="561"/>
      <c r="C3" s="561">
        <v>296326</v>
      </c>
      <c r="D3" s="561">
        <v>70000</v>
      </c>
      <c r="E3" s="561">
        <v>220000</v>
      </c>
      <c r="F3" s="561">
        <v>247674</v>
      </c>
      <c r="G3" s="561">
        <f t="shared" si="0"/>
        <v>834000</v>
      </c>
    </row>
    <row r="4" spans="1:7">
      <c r="A4" s="561" t="s">
        <v>926</v>
      </c>
      <c r="B4" s="561"/>
      <c r="C4" s="561"/>
      <c r="D4" s="561">
        <v>100000</v>
      </c>
      <c r="E4" s="561">
        <v>100000</v>
      </c>
      <c r="F4" s="561">
        <v>23655</v>
      </c>
      <c r="G4" s="561">
        <f t="shared" si="0"/>
        <v>223655</v>
      </c>
    </row>
    <row r="5" spans="1:7">
      <c r="A5" s="561" t="s">
        <v>927</v>
      </c>
      <c r="B5" s="561"/>
      <c r="C5" s="561"/>
      <c r="D5" s="561">
        <v>10000</v>
      </c>
      <c r="E5" s="561">
        <v>100000</v>
      </c>
      <c r="F5" s="561">
        <v>24193</v>
      </c>
      <c r="G5" s="561">
        <f t="shared" si="0"/>
        <v>134193</v>
      </c>
    </row>
    <row r="6" spans="1:7">
      <c r="A6" s="561" t="s">
        <v>928</v>
      </c>
      <c r="B6" s="561"/>
      <c r="C6" s="561"/>
      <c r="D6" s="561"/>
      <c r="E6" s="561"/>
      <c r="F6" s="561">
        <v>22388</v>
      </c>
      <c r="G6" s="561">
        <f t="shared" si="0"/>
        <v>22388</v>
      </c>
    </row>
    <row r="7" spans="1:7">
      <c r="A7" s="561" t="s">
        <v>929</v>
      </c>
      <c r="B7" s="561"/>
      <c r="C7" s="561"/>
      <c r="D7" s="561">
        <v>150000</v>
      </c>
      <c r="E7" s="561"/>
      <c r="F7" s="561"/>
      <c r="G7" s="561">
        <f t="shared" si="0"/>
        <v>150000</v>
      </c>
    </row>
  </sheetData>
  <phoneticPr fontId="7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24"/>
  <sheetViews>
    <sheetView tabSelected="1" workbookViewId="0" xr3:uid="{22EC4E50-C5E2-5B45-B3E6-2D2467F4FBB9}">
      <selection activeCell="K11" sqref="K11"/>
    </sheetView>
  </sheetViews>
  <sheetFormatPr defaultRowHeight="14.25"/>
  <cols>
    <col min="2" max="2" width="11.25" bestFit="1" customWidth="1"/>
  </cols>
  <sheetData>
    <row r="1" spans="1:9" ht="44.25">
      <c r="A1" s="710" t="s">
        <v>1055</v>
      </c>
      <c r="B1" s="710">
        <f>面积表!B46</f>
        <v>198997</v>
      </c>
      <c r="C1" s="714"/>
      <c r="D1" s="714"/>
    </row>
    <row r="2" spans="1:9" ht="44.25">
      <c r="A2" s="710" t="s">
        <v>1056</v>
      </c>
      <c r="B2" s="710">
        <f>面积表!B41</f>
        <v>82074</v>
      </c>
      <c r="C2" s="714"/>
      <c r="D2" s="714"/>
    </row>
    <row r="3" spans="1:9" ht="30">
      <c r="A3" s="710" t="s">
        <v>1071</v>
      </c>
      <c r="B3" s="715">
        <v>43236</v>
      </c>
      <c r="C3" s="714"/>
      <c r="D3" s="714"/>
    </row>
    <row r="4" spans="1:9" ht="44.25">
      <c r="A4" s="710" t="s">
        <v>1072</v>
      </c>
      <c r="B4" s="710" t="s">
        <v>1073</v>
      </c>
      <c r="C4" s="710" t="s">
        <v>1074</v>
      </c>
      <c r="D4" s="710" t="s">
        <v>1058</v>
      </c>
    </row>
    <row r="5" spans="1:9" ht="16.5">
      <c r="A5" s="710" t="s">
        <v>1075</v>
      </c>
      <c r="B5" s="710">
        <f>主表2!K4</f>
        <v>101438</v>
      </c>
      <c r="C5" s="710">
        <f>ROUND(B5*10000/$B$1,0)</f>
        <v>5097</v>
      </c>
      <c r="D5" s="710">
        <f>ROUND(B5*10000/$B$2,0)</f>
        <v>12359</v>
      </c>
    </row>
    <row r="6" spans="1:9" ht="16.5">
      <c r="A6" s="710" t="s">
        <v>1076</v>
      </c>
      <c r="B6" s="710">
        <f>SUM(G14:G23)</f>
        <v>0</v>
      </c>
      <c r="C6" s="710">
        <f>ROUND(B6*10000/$B$1,0)</f>
        <v>0</v>
      </c>
      <c r="D6" s="710">
        <f>ROUND(B6*10000/$B$2,0)</f>
        <v>0</v>
      </c>
    </row>
    <row r="7" spans="1:9" ht="44.25">
      <c r="A7" s="710" t="s">
        <v>1077</v>
      </c>
      <c r="B7" s="710">
        <f>SUM(H14:H23)</f>
        <v>0</v>
      </c>
      <c r="C7" s="710">
        <f>ROUND(B7*10000/$B$1,0)</f>
        <v>0</v>
      </c>
      <c r="D7" s="710">
        <f>ROUND(B7*10000/$B$2,0)</f>
        <v>0</v>
      </c>
    </row>
    <row r="8" spans="1:9" ht="16.5">
      <c r="A8" s="710" t="s">
        <v>1078</v>
      </c>
      <c r="B8" s="710">
        <f>SUM(I14:I23)</f>
        <v>0</v>
      </c>
      <c r="C8" s="710">
        <f>ROUND(B8*10000/$B$1,0)</f>
        <v>0</v>
      </c>
      <c r="D8" s="710">
        <f>ROUND(B8*10000/$B$2,0)</f>
        <v>0</v>
      </c>
    </row>
    <row r="9" spans="1:9" ht="16.5">
      <c r="A9" s="710" t="s">
        <v>1079</v>
      </c>
      <c r="B9" s="716"/>
      <c r="C9" s="714"/>
      <c r="D9" s="714"/>
    </row>
    <row r="10" spans="1:9" ht="16.5">
      <c r="A10" s="710" t="s">
        <v>1080</v>
      </c>
      <c r="B10" s="716"/>
      <c r="C10" s="714"/>
      <c r="D10" s="714"/>
    </row>
    <row r="11" spans="1:9" ht="30">
      <c r="A11" s="710" t="s">
        <v>1081</v>
      </c>
      <c r="B11" s="716"/>
      <c r="C11" s="714"/>
      <c r="D11" s="714"/>
    </row>
    <row r="14" spans="1:9" ht="58.5">
      <c r="A14" s="708" t="s">
        <v>1082</v>
      </c>
      <c r="B14" s="709" t="s">
        <v>1055</v>
      </c>
      <c r="C14" s="709" t="s">
        <v>1056</v>
      </c>
      <c r="D14" s="709" t="s">
        <v>1057</v>
      </c>
      <c r="E14" s="710" t="s">
        <v>1083</v>
      </c>
      <c r="F14" s="710" t="s">
        <v>1058</v>
      </c>
      <c r="G14" s="709" t="s">
        <v>1059</v>
      </c>
      <c r="H14" s="709" t="s">
        <v>1060</v>
      </c>
      <c r="I14" s="709" t="s">
        <v>1061</v>
      </c>
    </row>
    <row r="15" spans="1:9" ht="16.5">
      <c r="A15" s="711" t="s">
        <v>1084</v>
      </c>
      <c r="B15" s="709" t="e">
        <f>[1]结果表!L39</f>
        <v>#REF!</v>
      </c>
      <c r="C15" s="709" t="str">
        <f>[1]结果表!K39</f>
        <v>抵押价格</v>
      </c>
      <c r="D15" s="709">
        <f>[1]结果表!C43</f>
        <v>0</v>
      </c>
      <c r="E15" s="709" t="e">
        <f>ROUND(D15*10000/B15,0)</f>
        <v>#REF!</v>
      </c>
      <c r="F15" s="709" t="e">
        <f>ROUND(D15*10000/C15,0)</f>
        <v>#VALUE!</v>
      </c>
      <c r="G15" s="709" t="str">
        <f>[1]结果表!C45</f>
        <v>——</v>
      </c>
      <c r="H15" s="709" t="str">
        <f>[1]结果表!C46</f>
        <v>——</v>
      </c>
      <c r="I15" s="709" t="str">
        <f>[1]结果表!C47</f>
        <v>无</v>
      </c>
    </row>
    <row r="16" spans="1:9" ht="16.5">
      <c r="A16" s="711" t="s">
        <v>1062</v>
      </c>
      <c r="B16" s="712">
        <f>'[2]数据-汇总表'!$F$27</f>
        <v>77146.755000000005</v>
      </c>
      <c r="C16" s="712">
        <f>'[2]数据-汇总表'!$D$31</f>
        <v>17837.400000000001</v>
      </c>
      <c r="D16" s="712">
        <f>[2]结果表!$G$19</f>
        <v>48722</v>
      </c>
      <c r="E16" s="709">
        <f t="shared" ref="E16:E24" si="0">ROUND(D16*10000/B16,0)</f>
        <v>6315</v>
      </c>
      <c r="F16" s="709">
        <f t="shared" ref="F16:F24" si="1">ROUND(D16*10000/C16,0)</f>
        <v>27315</v>
      </c>
      <c r="G16" s="713"/>
      <c r="H16" s="713"/>
      <c r="I16" s="712"/>
    </row>
    <row r="17" spans="1:9" ht="16.5">
      <c r="A17" s="711" t="s">
        <v>1063</v>
      </c>
      <c r="B17" s="712"/>
      <c r="C17" s="712"/>
      <c r="D17" s="712"/>
      <c r="E17" s="709" t="e">
        <f t="shared" si="0"/>
        <v>#DIV/0!</v>
      </c>
      <c r="F17" s="709" t="e">
        <f t="shared" si="1"/>
        <v>#DIV/0!</v>
      </c>
      <c r="G17" s="713"/>
      <c r="H17" s="713"/>
      <c r="I17" s="712"/>
    </row>
    <row r="18" spans="1:9" ht="16.5">
      <c r="A18" s="711" t="s">
        <v>1064</v>
      </c>
      <c r="B18" s="712"/>
      <c r="C18" s="712"/>
      <c r="D18" s="712"/>
      <c r="E18" s="709" t="e">
        <f t="shared" si="0"/>
        <v>#DIV/0!</v>
      </c>
      <c r="F18" s="709" t="e">
        <f t="shared" si="1"/>
        <v>#DIV/0!</v>
      </c>
      <c r="G18" s="713"/>
      <c r="H18" s="713"/>
      <c r="I18" s="712"/>
    </row>
    <row r="19" spans="1:9" ht="16.5">
      <c r="A19" s="711" t="s">
        <v>1065</v>
      </c>
      <c r="B19" s="712"/>
      <c r="C19" s="712"/>
      <c r="D19" s="712"/>
      <c r="E19" s="709" t="e">
        <f t="shared" si="0"/>
        <v>#DIV/0!</v>
      </c>
      <c r="F19" s="709" t="e">
        <f t="shared" si="1"/>
        <v>#DIV/0!</v>
      </c>
      <c r="G19" s="712"/>
      <c r="H19" s="712"/>
      <c r="I19" s="712"/>
    </row>
    <row r="20" spans="1:9" ht="16.5">
      <c r="A20" s="711" t="s">
        <v>1066</v>
      </c>
      <c r="B20" s="712"/>
      <c r="C20" s="712"/>
      <c r="D20" s="712"/>
      <c r="E20" s="709" t="e">
        <f t="shared" si="0"/>
        <v>#DIV/0!</v>
      </c>
      <c r="F20" s="709" t="e">
        <f t="shared" si="1"/>
        <v>#DIV/0!</v>
      </c>
      <c r="G20" s="712"/>
      <c r="H20" s="712"/>
      <c r="I20" s="712"/>
    </row>
    <row r="21" spans="1:9" ht="16.5">
      <c r="A21" s="711" t="s">
        <v>1067</v>
      </c>
      <c r="B21" s="712"/>
      <c r="C21" s="712"/>
      <c r="D21" s="712"/>
      <c r="E21" s="709" t="e">
        <f t="shared" si="0"/>
        <v>#DIV/0!</v>
      </c>
      <c r="F21" s="709" t="e">
        <f t="shared" si="1"/>
        <v>#DIV/0!</v>
      </c>
      <c r="G21" s="712"/>
      <c r="H21" s="712"/>
      <c r="I21" s="712"/>
    </row>
    <row r="22" spans="1:9" ht="16.5">
      <c r="A22" s="711" t="s">
        <v>1068</v>
      </c>
      <c r="B22" s="712"/>
      <c r="C22" s="712"/>
      <c r="D22" s="712"/>
      <c r="E22" s="709" t="e">
        <f t="shared" si="0"/>
        <v>#DIV/0!</v>
      </c>
      <c r="F22" s="709" t="e">
        <f t="shared" si="1"/>
        <v>#DIV/0!</v>
      </c>
      <c r="G22" s="712"/>
      <c r="H22" s="712"/>
      <c r="I22" s="712"/>
    </row>
    <row r="23" spans="1:9" ht="16.5">
      <c r="A23" s="711" t="s">
        <v>1069</v>
      </c>
      <c r="B23" s="712"/>
      <c r="C23" s="712"/>
      <c r="D23" s="712"/>
      <c r="E23" s="709" t="e">
        <f t="shared" si="0"/>
        <v>#DIV/0!</v>
      </c>
      <c r="F23" s="709" t="e">
        <f t="shared" si="1"/>
        <v>#DIV/0!</v>
      </c>
      <c r="G23" s="712"/>
      <c r="H23" s="712"/>
      <c r="I23" s="712"/>
    </row>
    <row r="24" spans="1:9" ht="16.5">
      <c r="A24" s="711" t="s">
        <v>1070</v>
      </c>
      <c r="B24" s="712"/>
      <c r="C24" s="712"/>
      <c r="D24" s="712"/>
      <c r="E24" s="710" t="e">
        <f t="shared" si="0"/>
        <v>#DIV/0!</v>
      </c>
      <c r="F24" s="710" t="e">
        <f t="shared" si="1"/>
        <v>#DIV/0!</v>
      </c>
      <c r="G24" s="712"/>
      <c r="H24" s="712"/>
      <c r="I24" s="712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6"/>
  <sheetViews>
    <sheetView topLeftCell="A7" workbookViewId="0" xr3:uid="{F9CF3CF3-643B-5BE6-8B46-32C596A47465}">
      <selection activeCell="C29" sqref="C29:D29"/>
    </sheetView>
  </sheetViews>
  <sheetFormatPr defaultRowHeight="12"/>
  <cols>
    <col min="1" max="1" width="12" style="34" customWidth="1"/>
    <col min="2" max="2" width="13.125" style="34" customWidth="1"/>
    <col min="3" max="3" width="13.625" style="34" customWidth="1"/>
    <col min="4" max="4" width="19.125" style="34" customWidth="1"/>
    <col min="5" max="5" width="15.125" style="39" customWidth="1"/>
    <col min="6" max="6" width="12.25" style="39" customWidth="1"/>
    <col min="7" max="16384" width="9" style="34"/>
  </cols>
  <sheetData>
    <row r="1" spans="1:9" ht="19.5" customHeight="1">
      <c r="A1" s="73"/>
      <c r="B1" s="753" t="s">
        <v>432</v>
      </c>
      <c r="C1" s="754"/>
      <c r="D1" s="754"/>
      <c r="E1" s="73"/>
      <c r="F1" s="73"/>
    </row>
    <row r="2" spans="1:9" ht="13.5">
      <c r="A2" s="74"/>
      <c r="B2" s="75" t="str">
        <f>基础数据!$C$4</f>
        <v>安徽省芜湖市芜湖县荆江路以北 芜湖中路以东 世纪大道以西</v>
      </c>
      <c r="C2" s="75"/>
      <c r="D2" s="75"/>
      <c r="E2" s="73"/>
      <c r="F2" s="73"/>
    </row>
    <row r="3" spans="1:9" ht="13.5">
      <c r="A3" s="37" t="s">
        <v>534</v>
      </c>
      <c r="B3" s="37" t="s">
        <v>535</v>
      </c>
      <c r="C3" s="37" t="s">
        <v>431</v>
      </c>
      <c r="D3" s="37" t="s">
        <v>482</v>
      </c>
      <c r="E3" s="37" t="s">
        <v>771</v>
      </c>
      <c r="F3" s="37" t="s">
        <v>772</v>
      </c>
    </row>
    <row r="4" spans="1:9" ht="13.5">
      <c r="A4" s="35">
        <v>1</v>
      </c>
      <c r="B4" s="38" t="s">
        <v>477</v>
      </c>
      <c r="C4" s="82">
        <f>主表2!$K$14</f>
        <v>41603</v>
      </c>
      <c r="D4" s="411">
        <f t="shared" ref="D4:D12" si="0">C4/$C$13</f>
        <v>0.41</v>
      </c>
      <c r="E4" s="37" t="e">
        <f>ROUND(C4*10000/#REF!,0)</f>
        <v>#REF!</v>
      </c>
      <c r="F4" s="37">
        <f>ROUND(C4*10000/基础数据!$C$22,0)</f>
        <v>2091</v>
      </c>
    </row>
    <row r="5" spans="1:9" ht="13.5">
      <c r="A5" s="35">
        <v>2</v>
      </c>
      <c r="B5" s="38" t="s">
        <v>478</v>
      </c>
      <c r="C5" s="82">
        <f>主表2!$K$21</f>
        <v>1963</v>
      </c>
      <c r="D5" s="411">
        <f t="shared" si="0"/>
        <v>1.9E-2</v>
      </c>
      <c r="E5" s="37" t="e">
        <f>ROUND(C5*10000/#REF!,0)</f>
        <v>#REF!</v>
      </c>
      <c r="F5" s="37">
        <f>ROUND(C5*10000/基础数据!$C$22,0)</f>
        <v>99</v>
      </c>
    </row>
    <row r="6" spans="1:9" ht="13.5">
      <c r="A6" s="35">
        <v>3</v>
      </c>
      <c r="B6" s="38" t="s">
        <v>479</v>
      </c>
      <c r="C6" s="82">
        <f>主表2!$K$26</f>
        <v>43118</v>
      </c>
      <c r="D6" s="411">
        <f t="shared" si="0"/>
        <v>0.42499999999999999</v>
      </c>
      <c r="E6" s="37" t="e">
        <f>ROUND(C6*10000/#REF!,0)</f>
        <v>#REF!</v>
      </c>
      <c r="F6" s="37">
        <f>ROUND(C6*10000/基础数据!$C$22,0)</f>
        <v>2167</v>
      </c>
    </row>
    <row r="7" spans="1:9" ht="13.5">
      <c r="A7" s="35">
        <v>4</v>
      </c>
      <c r="B7" s="38" t="s">
        <v>242</v>
      </c>
      <c r="C7" s="82">
        <f>主表2!$K$27</f>
        <v>31178</v>
      </c>
      <c r="D7" s="411">
        <f t="shared" si="0"/>
        <v>0.307</v>
      </c>
      <c r="E7" s="37" t="e">
        <f>ROUND(C7*10000/#REF!,0)</f>
        <v>#REF!</v>
      </c>
      <c r="F7" s="37">
        <f>ROUND(C7*10000/基础数据!$C$22,0)</f>
        <v>1567</v>
      </c>
    </row>
    <row r="8" spans="1:9" ht="13.5">
      <c r="A8" s="35">
        <v>5</v>
      </c>
      <c r="B8" s="38" t="s">
        <v>26</v>
      </c>
      <c r="C8" s="82">
        <f>主表2!$K$30</f>
        <v>3018</v>
      </c>
      <c r="D8" s="411">
        <f t="shared" si="0"/>
        <v>0.03</v>
      </c>
      <c r="E8" s="37" t="e">
        <f>ROUND(C8*10000/#REF!,0)</f>
        <v>#REF!</v>
      </c>
      <c r="F8" s="37">
        <f>ROUND(C8*10000/基础数据!$C$22,0)</f>
        <v>152</v>
      </c>
    </row>
    <row r="9" spans="1:9" ht="13.5">
      <c r="A9" s="35">
        <v>6</v>
      </c>
      <c r="B9" s="38" t="s">
        <v>313</v>
      </c>
      <c r="C9" s="82">
        <f>主表2!$K$31</f>
        <v>2398</v>
      </c>
      <c r="D9" s="411">
        <f t="shared" si="0"/>
        <v>2.4E-2</v>
      </c>
      <c r="E9" s="37" t="e">
        <f>ROUND(C9*10000/#REF!,0)</f>
        <v>#REF!</v>
      </c>
      <c r="F9" s="37">
        <f>ROUND(C9*10000/基础数据!$C$22,0)</f>
        <v>121</v>
      </c>
    </row>
    <row r="10" spans="1:9" ht="13.5">
      <c r="A10" s="35">
        <v>7</v>
      </c>
      <c r="B10" s="38" t="s">
        <v>480</v>
      </c>
      <c r="C10" s="82">
        <f>主表2!$K$32</f>
        <v>2691</v>
      </c>
      <c r="D10" s="411">
        <f t="shared" si="0"/>
        <v>2.7E-2</v>
      </c>
      <c r="E10" s="37" t="e">
        <f>ROUND(C10*10000/#REF!,0)</f>
        <v>#REF!</v>
      </c>
      <c r="F10" s="37">
        <f>ROUND(C10*10000/基础数据!$C$22,0)</f>
        <v>135</v>
      </c>
    </row>
    <row r="11" spans="1:9" ht="13.5">
      <c r="A11" s="35">
        <v>8</v>
      </c>
      <c r="B11" s="38" t="s">
        <v>234</v>
      </c>
      <c r="C11" s="82">
        <f>主表2!$K$33</f>
        <v>2162</v>
      </c>
      <c r="D11" s="411">
        <f t="shared" si="0"/>
        <v>2.1000000000000001E-2</v>
      </c>
      <c r="E11" s="37" t="e">
        <f>ROUND(C11*10000/#REF!,0)</f>
        <v>#REF!</v>
      </c>
      <c r="F11" s="37">
        <f>ROUND(C11*10000/基础数据!$C$22,0)</f>
        <v>109</v>
      </c>
    </row>
    <row r="12" spans="1:9" ht="13.5">
      <c r="A12" s="35">
        <v>9</v>
      </c>
      <c r="B12" s="38" t="s">
        <v>481</v>
      </c>
      <c r="C12" s="82">
        <f>主表2!$K$34</f>
        <v>4485</v>
      </c>
      <c r="D12" s="411">
        <f t="shared" si="0"/>
        <v>4.3999999999999997E-2</v>
      </c>
      <c r="E12" s="37" t="e">
        <f>ROUND(C12*10000/#REF!,0)</f>
        <v>#REF!</v>
      </c>
      <c r="F12" s="37">
        <f>ROUND(C12*10000/基础数据!$C$22,0)</f>
        <v>225</v>
      </c>
    </row>
    <row r="13" spans="1:9" ht="13.5">
      <c r="A13" s="76"/>
      <c r="B13" s="77" t="s">
        <v>536</v>
      </c>
      <c r="C13" s="82">
        <f>SUM(C4:C12)-C7</f>
        <v>101438</v>
      </c>
      <c r="D13" s="360">
        <f>SUM(D4:D12)-D7</f>
        <v>1</v>
      </c>
      <c r="E13" s="37" t="e">
        <f>ROUND(C13*10000/#REF!,0)</f>
        <v>#REF!</v>
      </c>
      <c r="F13" s="37">
        <f>ROUND(C13*10000/基础数据!$C$22,0)</f>
        <v>5097</v>
      </c>
    </row>
    <row r="14" spans="1:9" ht="13.5">
      <c r="A14" s="78"/>
      <c r="B14" s="79"/>
      <c r="C14" s="80"/>
      <c r="D14" s="81"/>
      <c r="E14" s="73"/>
      <c r="F14" s="73"/>
    </row>
    <row r="15" spans="1:9">
      <c r="A15" s="755" t="s">
        <v>537</v>
      </c>
      <c r="B15" s="755"/>
      <c r="C15" s="755"/>
      <c r="D15" s="755"/>
      <c r="E15" s="73"/>
      <c r="F15" s="73"/>
      <c r="I15" s="34" t="e">
        <f>C13/#REF!</f>
        <v>#REF!</v>
      </c>
    </row>
    <row r="16" spans="1:9">
      <c r="A16" s="38"/>
      <c r="B16" s="38"/>
      <c r="C16" s="38"/>
      <c r="D16" s="38" t="s">
        <v>538</v>
      </c>
      <c r="E16" s="37" t="s">
        <v>539</v>
      </c>
      <c r="F16" s="73"/>
    </row>
    <row r="17" spans="1:6">
      <c r="A17" s="37">
        <v>1</v>
      </c>
      <c r="B17" s="37" t="str">
        <f>主表2!D3</f>
        <v>2018年</v>
      </c>
      <c r="C17" s="82">
        <f>主表2!D13</f>
        <v>62526</v>
      </c>
      <c r="D17" s="83">
        <f>主表2!D13/主表2!K13</f>
        <v>0.61639999999999995</v>
      </c>
      <c r="E17" s="360">
        <f>底表1!E19</f>
        <v>0.32</v>
      </c>
      <c r="F17" s="73"/>
    </row>
    <row r="18" spans="1:6">
      <c r="A18" s="37">
        <v>2</v>
      </c>
      <c r="B18" s="37" t="str">
        <f>主表2!E3</f>
        <v>2019年</v>
      </c>
      <c r="C18" s="82">
        <f>主表2!E13</f>
        <v>26363</v>
      </c>
      <c r="D18" s="83">
        <f>主表2!E13/主表2!K13</f>
        <v>0.25990000000000002</v>
      </c>
      <c r="E18" s="360">
        <f>底表1!G19</f>
        <v>0.63</v>
      </c>
      <c r="F18" s="73"/>
    </row>
    <row r="19" spans="1:6">
      <c r="A19" s="37">
        <v>3</v>
      </c>
      <c r="B19" s="37" t="str">
        <f>主表2!F3</f>
        <v>2020年</v>
      </c>
      <c r="C19" s="82">
        <f>主表2!F13</f>
        <v>12549</v>
      </c>
      <c r="D19" s="83">
        <f>主表2!F13/主表2!K13</f>
        <v>0.1237</v>
      </c>
      <c r="E19" s="360">
        <f>底表1!I19</f>
        <v>0.05</v>
      </c>
      <c r="F19" s="73"/>
    </row>
    <row r="20" spans="1:6">
      <c r="A20" s="37">
        <v>4</v>
      </c>
      <c r="B20" s="37" t="str">
        <f>主表2!G3</f>
        <v>2021年</v>
      </c>
      <c r="C20" s="82">
        <f>主表2!G13</f>
        <v>0</v>
      </c>
      <c r="D20" s="83">
        <f>主表2!G13/主表2!K13</f>
        <v>0</v>
      </c>
      <c r="E20" s="360">
        <f>底表1!K19</f>
        <v>0</v>
      </c>
      <c r="F20" s="73"/>
    </row>
    <row r="21" spans="1:6">
      <c r="A21" s="37">
        <v>5</v>
      </c>
      <c r="B21" s="37" t="str">
        <f>主表2!H3</f>
        <v>2022年</v>
      </c>
      <c r="C21" s="82">
        <f>主表2!H13</f>
        <v>0</v>
      </c>
      <c r="D21" s="83">
        <f>主表2!H13/主表2!K13</f>
        <v>0</v>
      </c>
      <c r="E21" s="360">
        <f>底表1!M19</f>
        <v>0</v>
      </c>
      <c r="F21" s="73"/>
    </row>
    <row r="22" spans="1:6">
      <c r="A22" s="37">
        <v>6</v>
      </c>
      <c r="B22" s="37" t="str">
        <f>主表2!I3</f>
        <v>2023年</v>
      </c>
      <c r="C22" s="82">
        <f>主表2!I4</f>
        <v>0</v>
      </c>
      <c r="D22" s="83">
        <f>主表2!I4/主表2!K13</f>
        <v>0</v>
      </c>
      <c r="E22" s="360"/>
      <c r="F22" s="73"/>
    </row>
    <row r="23" spans="1:6">
      <c r="A23" s="37">
        <v>7</v>
      </c>
      <c r="B23" s="37" t="str">
        <f>主表2!J3</f>
        <v>2024年</v>
      </c>
      <c r="C23" s="82">
        <f>主表2!J4</f>
        <v>0</v>
      </c>
      <c r="D23" s="83">
        <f>主表2!J4/主表2!K13</f>
        <v>0</v>
      </c>
      <c r="E23" s="360">
        <f>底表1!O19</f>
        <v>0</v>
      </c>
      <c r="F23" s="73"/>
    </row>
    <row r="24" spans="1:6">
      <c r="A24" s="74"/>
      <c r="B24" s="74"/>
      <c r="C24" s="74"/>
      <c r="D24" s="74"/>
      <c r="E24" s="73"/>
      <c r="F24" s="73"/>
    </row>
    <row r="25" spans="1:6">
      <c r="A25" s="74"/>
      <c r="B25" s="753" t="s">
        <v>540</v>
      </c>
      <c r="C25" s="756"/>
      <c r="D25" s="756"/>
      <c r="E25" s="73"/>
      <c r="F25" s="73"/>
    </row>
    <row r="26" spans="1:6">
      <c r="A26" s="74"/>
      <c r="B26" s="74"/>
      <c r="C26" s="74"/>
      <c r="D26" s="74"/>
      <c r="E26" s="73"/>
      <c r="F26" s="73"/>
    </row>
    <row r="27" spans="1:6">
      <c r="A27" s="37">
        <v>1</v>
      </c>
      <c r="B27" s="38" t="s">
        <v>507</v>
      </c>
      <c r="C27" s="37">
        <f>主表2!K5</f>
        <v>18800</v>
      </c>
      <c r="D27" s="84">
        <f>主表2!M5</f>
        <v>0.18529999999999999</v>
      </c>
      <c r="E27" s="73"/>
      <c r="F27" s="73"/>
    </row>
    <row r="28" spans="1:6">
      <c r="A28" s="37">
        <v>2</v>
      </c>
      <c r="B28" s="38" t="s">
        <v>508</v>
      </c>
      <c r="C28" s="37">
        <f>主表2!K6</f>
        <v>0</v>
      </c>
      <c r="D28" s="84">
        <f>主表2!M6</f>
        <v>0</v>
      </c>
      <c r="E28" s="73"/>
      <c r="F28" s="73"/>
    </row>
    <row r="29" spans="1:6">
      <c r="A29" s="37">
        <v>3</v>
      </c>
      <c r="B29" s="38" t="s">
        <v>509</v>
      </c>
      <c r="C29" s="37">
        <f>主表2!K7</f>
        <v>25000</v>
      </c>
      <c r="D29" s="84">
        <f>主表2!M7</f>
        <v>0.2465</v>
      </c>
      <c r="E29" s="73"/>
      <c r="F29" s="73"/>
    </row>
    <row r="30" spans="1:6">
      <c r="A30" s="37">
        <v>4</v>
      </c>
      <c r="B30" s="38" t="s">
        <v>541</v>
      </c>
      <c r="C30" s="37">
        <f>主表2!K8</f>
        <v>0</v>
      </c>
      <c r="D30" s="84">
        <f>主表2!M8</f>
        <v>0</v>
      </c>
      <c r="E30" s="73"/>
      <c r="F30" s="73"/>
    </row>
    <row r="31" spans="1:6">
      <c r="A31" s="37">
        <v>5</v>
      </c>
      <c r="B31" s="38" t="s">
        <v>542</v>
      </c>
      <c r="C31" s="37">
        <f>主表2!K9</f>
        <v>0</v>
      </c>
      <c r="D31" s="84">
        <f>主表2!M9</f>
        <v>0</v>
      </c>
      <c r="E31" s="73"/>
      <c r="F31" s="73"/>
    </row>
    <row r="32" spans="1:6">
      <c r="A32" s="74"/>
      <c r="B32" s="74"/>
      <c r="C32" s="74"/>
      <c r="D32" s="74"/>
      <c r="E32" s="73"/>
      <c r="F32" s="73"/>
    </row>
    <row r="33" spans="1:6">
      <c r="A33" s="74"/>
      <c r="B33" s="74"/>
      <c r="C33" s="74"/>
      <c r="D33" s="74"/>
      <c r="E33" s="73"/>
      <c r="F33" s="73"/>
    </row>
    <row r="34" spans="1:6">
      <c r="A34" s="74"/>
      <c r="B34" s="74"/>
      <c r="C34" s="74"/>
      <c r="D34" s="74"/>
      <c r="E34" s="73"/>
      <c r="F34" s="73"/>
    </row>
    <row r="35" spans="1:6">
      <c r="A35" s="38" t="s">
        <v>775</v>
      </c>
      <c r="B35" s="37" t="s">
        <v>543</v>
      </c>
      <c r="C35" s="38">
        <f>底表1!D6*主表7!E17</f>
        <v>5046</v>
      </c>
      <c r="D35" s="37" t="s">
        <v>532</v>
      </c>
      <c r="E35" s="37">
        <f>底表1!S6*主表7!E17</f>
        <v>63021.06</v>
      </c>
      <c r="F35" s="73"/>
    </row>
    <row r="36" spans="1:6">
      <c r="A36" s="38" t="s">
        <v>693</v>
      </c>
      <c r="B36" s="37" t="s">
        <v>543</v>
      </c>
      <c r="C36" s="38">
        <f>底表1!D7*主表7!E17</f>
        <v>5655</v>
      </c>
      <c r="D36" s="37" t="s">
        <v>532</v>
      </c>
      <c r="E36" s="37">
        <f>底表1!S7*主表7!E17</f>
        <v>24991.62</v>
      </c>
      <c r="F36" s="73"/>
    </row>
    <row r="37" spans="1:6">
      <c r="A37" s="38" t="s">
        <v>694</v>
      </c>
      <c r="B37" s="37" t="s">
        <v>543</v>
      </c>
      <c r="C37" s="38">
        <f>底表1!D8*主表7!E17</f>
        <v>6960</v>
      </c>
      <c r="D37" s="37" t="s">
        <v>532</v>
      </c>
      <c r="E37" s="37">
        <f>底表1!S8*主表7!E17</f>
        <v>18948.599999999999</v>
      </c>
      <c r="F37" s="73"/>
    </row>
    <row r="38" spans="1:6">
      <c r="A38" s="38" t="s">
        <v>702</v>
      </c>
      <c r="B38" s="37" t="s">
        <v>543</v>
      </c>
      <c r="C38" s="38">
        <f>底表1!D9*主表7!E17</f>
        <v>15660</v>
      </c>
      <c r="D38" s="37" t="s">
        <v>532</v>
      </c>
      <c r="E38" s="37">
        <f>底表1!S9*主表7!E17</f>
        <v>15799.2</v>
      </c>
      <c r="F38" s="73"/>
    </row>
    <row r="39" spans="1:6">
      <c r="A39" s="38" t="s">
        <v>695</v>
      </c>
      <c r="B39" s="37" t="s">
        <v>543</v>
      </c>
      <c r="C39" s="38" t="e">
        <f>底表1!#REF!*主表7!E17</f>
        <v>#REF!</v>
      </c>
      <c r="D39" s="37" t="s">
        <v>532</v>
      </c>
      <c r="E39" s="37" t="e">
        <f>底表1!#REF!*主表7!E17</f>
        <v>#REF!</v>
      </c>
      <c r="F39" s="73"/>
    </row>
    <row r="46" spans="1:6">
      <c r="E46" s="39">
        <f>E36+E37+E38</f>
        <v>59739.42</v>
      </c>
    </row>
  </sheetData>
  <customSheetViews>
    <customSheetView guid="{33FE80C0-0EDF-11D4-8B3D-001060002050}" showPageBreaks="1" showRuler="0">
      <selection activeCell="E11" sqref="E11"/>
      <pageMargins left="0.75" right="0.75" top="1" bottom="1" header="0.5" footer="0.5"/>
      <pageSetup paperSize="9" orientation="portrait" horizontalDpi="360" verticalDpi="360" copies="0" r:id="rId1"/>
      <headerFooter alignWithMargins="0"/>
    </customSheetView>
    <customSheetView guid="{62777320-11E7-11D4-8B3D-00E098726125}" showRuler="0">
      <selection activeCell="E11" sqref="E11"/>
      <pageMargins left="0.75" right="0.75" top="1" bottom="1" header="0.5" footer="0.5"/>
      <pageSetup paperSize="9" orientation="portrait" horizontalDpi="360" verticalDpi="360" copies="0" r:id="rId2"/>
      <headerFooter alignWithMargins="0"/>
    </customSheetView>
  </customSheetViews>
  <mergeCells count="3">
    <mergeCell ref="B1:D1"/>
    <mergeCell ref="A15:D15"/>
    <mergeCell ref="B25:D25"/>
  </mergeCells>
  <phoneticPr fontId="2" type="noConversion"/>
  <pageMargins left="0.75" right="0.75" top="1" bottom="1" header="0.5" footer="0.5"/>
  <pageSetup paperSize="9" orientation="portrait" horizontalDpi="360" verticalDpi="360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5"/>
  <sheetViews>
    <sheetView zoomScaleNormal="100" zoomScaleSheetLayoutView="100" workbookViewId="0" xr3:uid="{78B4E459-6924-5F8B-B7BA-2DD04133E49E}">
      <selection activeCell="C29" sqref="C29:D29"/>
    </sheetView>
  </sheetViews>
  <sheetFormatPr defaultRowHeight="13.5"/>
  <cols>
    <col min="1" max="1" width="19.5" style="86" customWidth="1"/>
    <col min="2" max="2" width="5.625" style="86" customWidth="1"/>
    <col min="3" max="3" width="12.75" style="86" customWidth="1"/>
    <col min="4" max="4" width="14" style="276" customWidth="1"/>
    <col min="5" max="5" width="13.25" style="276" customWidth="1"/>
    <col min="6" max="6" width="12.875" style="276" customWidth="1"/>
    <col min="7" max="7" width="13.5" style="276" customWidth="1"/>
    <col min="8" max="8" width="21" style="86" customWidth="1"/>
    <col min="9" max="9" width="5.5" style="86" customWidth="1"/>
    <col min="10" max="10" width="5.25" style="86" customWidth="1"/>
    <col min="11" max="11" width="13.5" style="276" customWidth="1"/>
    <col min="12" max="13" width="13.75" style="276" customWidth="1"/>
    <col min="14" max="14" width="13.625" style="276" customWidth="1"/>
    <col min="15" max="15" width="9" style="86"/>
    <col min="16" max="16" width="11.5" style="337" customWidth="1"/>
    <col min="17" max="17" width="10.5" style="337" customWidth="1"/>
    <col min="18" max="18" width="9.875" style="337" customWidth="1"/>
    <col min="19" max="19" width="8.25" style="337" customWidth="1"/>
    <col min="20" max="20" width="10.375" style="337" customWidth="1"/>
    <col min="21" max="21" width="9" style="86"/>
    <col min="22" max="22" width="13.125" style="86" bestFit="1" customWidth="1"/>
    <col min="23" max="23" width="12.25" style="86" bestFit="1" customWidth="1"/>
    <col min="24" max="24" width="13.125" style="86" bestFit="1" customWidth="1"/>
    <col min="25" max="16384" width="9" style="86"/>
  </cols>
  <sheetData>
    <row r="1" spans="1:22">
      <c r="A1" s="85"/>
      <c r="B1" s="85"/>
      <c r="C1" s="85"/>
      <c r="D1" s="270"/>
      <c r="E1" s="277"/>
      <c r="F1" s="277"/>
      <c r="G1" s="277"/>
      <c r="K1" s="283"/>
      <c r="L1" s="283"/>
      <c r="M1" s="283"/>
    </row>
    <row r="2" spans="1:22">
      <c r="A2" s="87" t="str">
        <f>基础数据!C4</f>
        <v>安徽省芜湖市芜湖县荆江路以北 芜湖中路以东 世纪大道以西</v>
      </c>
      <c r="B2" s="88"/>
      <c r="C2" s="89"/>
      <c r="D2" s="271"/>
      <c r="E2" s="278"/>
      <c r="F2" s="90" t="s">
        <v>644</v>
      </c>
      <c r="G2" s="91"/>
      <c r="I2" s="92"/>
      <c r="L2" s="285"/>
      <c r="M2" s="90" t="s">
        <v>647</v>
      </c>
      <c r="P2" s="760" t="s">
        <v>743</v>
      </c>
      <c r="Q2" s="760"/>
      <c r="R2" s="760"/>
      <c r="S2" s="760"/>
      <c r="T2" s="340"/>
      <c r="U2" s="760" t="s">
        <v>744</v>
      </c>
      <c r="V2" s="760"/>
    </row>
    <row r="3" spans="1:22">
      <c r="A3" s="93" t="s">
        <v>544</v>
      </c>
      <c r="B3" s="94" t="s">
        <v>185</v>
      </c>
      <c r="C3" s="763" t="s">
        <v>923</v>
      </c>
      <c r="D3" s="764"/>
      <c r="E3" s="279" t="s">
        <v>922</v>
      </c>
      <c r="F3" s="281" t="s">
        <v>921</v>
      </c>
      <c r="G3" s="287" t="str">
        <f>"2016年6月"</f>
        <v>2016年6月</v>
      </c>
      <c r="H3" s="95" t="s">
        <v>544</v>
      </c>
      <c r="I3" s="94" t="s">
        <v>185</v>
      </c>
      <c r="J3" s="763" t="str">
        <f>C3</f>
        <v xml:space="preserve">2013年 </v>
      </c>
      <c r="K3" s="764"/>
      <c r="L3" s="279" t="str">
        <f>E3</f>
        <v>2014年</v>
      </c>
      <c r="M3" s="281" t="str">
        <f>F3</f>
        <v>2015年</v>
      </c>
      <c r="N3" s="290" t="str">
        <f>G3</f>
        <v>2016年6月</v>
      </c>
      <c r="P3" s="760"/>
      <c r="Q3" s="760"/>
      <c r="R3" s="760"/>
      <c r="S3" s="760"/>
      <c r="T3" s="340"/>
      <c r="U3" s="760"/>
      <c r="V3" s="760"/>
    </row>
    <row r="4" spans="1:22">
      <c r="A4" s="96" t="s">
        <v>545</v>
      </c>
      <c r="B4" s="97" t="s">
        <v>186</v>
      </c>
      <c r="C4" s="98" t="s">
        <v>261</v>
      </c>
      <c r="D4" s="98" t="s">
        <v>187</v>
      </c>
      <c r="E4" s="280"/>
      <c r="F4" s="97"/>
      <c r="G4" s="288"/>
      <c r="H4" s="99" t="s">
        <v>545</v>
      </c>
      <c r="I4" s="97" t="s">
        <v>186</v>
      </c>
      <c r="J4" s="98" t="s">
        <v>188</v>
      </c>
      <c r="K4" s="98" t="s">
        <v>187</v>
      </c>
      <c r="L4" s="280"/>
      <c r="M4" s="97"/>
      <c r="N4" s="291"/>
      <c r="P4" s="338" t="s">
        <v>676</v>
      </c>
      <c r="Q4" s="338" t="str">
        <f>C3</f>
        <v xml:space="preserve">2013年 </v>
      </c>
      <c r="R4" s="338" t="str">
        <f>E3</f>
        <v>2014年</v>
      </c>
      <c r="S4" s="374" t="str">
        <f>F3</f>
        <v>2015年</v>
      </c>
      <c r="T4" s="374" t="str">
        <f>N3</f>
        <v>2016年6月</v>
      </c>
      <c r="U4" s="292" t="s">
        <v>745</v>
      </c>
      <c r="V4" s="292" t="s">
        <v>746</v>
      </c>
    </row>
    <row r="5" spans="1:22">
      <c r="A5" s="100" t="s">
        <v>546</v>
      </c>
      <c r="B5" s="101"/>
      <c r="C5" s="101"/>
      <c r="D5" s="272"/>
      <c r="E5" s="272"/>
      <c r="F5" s="272"/>
      <c r="G5" s="289"/>
      <c r="H5" s="100" t="s">
        <v>547</v>
      </c>
      <c r="I5" s="101"/>
      <c r="J5" s="101"/>
      <c r="K5" s="272"/>
      <c r="L5" s="272"/>
      <c r="M5" s="272"/>
      <c r="N5" s="291"/>
      <c r="P5" s="338" t="s">
        <v>740</v>
      </c>
      <c r="Q5" s="375">
        <f>ROUND(D39/10000,0)</f>
        <v>0</v>
      </c>
      <c r="R5" s="338">
        <f>ROUND(E39/10000,0)</f>
        <v>0</v>
      </c>
      <c r="S5" s="338">
        <f>ROUND(F39/10000,0)</f>
        <v>0</v>
      </c>
      <c r="T5" s="338">
        <f>ROUND(G39/10000,0)</f>
        <v>834208</v>
      </c>
      <c r="U5" s="384" t="e">
        <f>(R5-Q5)/Q5</f>
        <v>#DIV/0!</v>
      </c>
      <c r="V5" s="384" t="e">
        <f>(S5-R5)/R5</f>
        <v>#DIV/0!</v>
      </c>
    </row>
    <row r="6" spans="1:22">
      <c r="A6" s="102" t="s">
        <v>548</v>
      </c>
      <c r="B6" s="101">
        <v>1</v>
      </c>
      <c r="C6" s="101"/>
      <c r="D6" s="269"/>
      <c r="E6" s="269"/>
      <c r="F6" s="274"/>
      <c r="G6" s="274">
        <v>2084234.72</v>
      </c>
      <c r="H6" s="102" t="s">
        <v>549</v>
      </c>
      <c r="I6" s="101">
        <v>46</v>
      </c>
      <c r="J6" s="101"/>
      <c r="K6" s="269"/>
      <c r="L6" s="269"/>
      <c r="M6" s="269"/>
      <c r="N6" s="269"/>
      <c r="P6" s="338" t="s">
        <v>747</v>
      </c>
      <c r="Q6" s="385">
        <f>ROUND(K27/10000,0)</f>
        <v>0</v>
      </c>
      <c r="R6" s="338">
        <f>ROUND(L27/10000,0)</f>
        <v>0</v>
      </c>
      <c r="S6" s="338">
        <f>ROUND(M27/10000,0)</f>
        <v>0</v>
      </c>
      <c r="T6" s="338">
        <f>ROUND(N27/10000,0)</f>
        <v>834642</v>
      </c>
      <c r="U6" s="384" t="e">
        <f t="shared" ref="U6:U11" si="0">(R6-Q6)/Q6</f>
        <v>#DIV/0!</v>
      </c>
      <c r="V6" s="384" t="e">
        <f t="shared" ref="V6:V11" si="1">(S6-R6)/R6</f>
        <v>#DIV/0!</v>
      </c>
    </row>
    <row r="7" spans="1:22">
      <c r="A7" s="102" t="s">
        <v>550</v>
      </c>
      <c r="B7" s="101">
        <v>2</v>
      </c>
      <c r="C7" s="101"/>
      <c r="D7" s="269"/>
      <c r="E7" s="269"/>
      <c r="F7" s="274"/>
      <c r="G7" s="274"/>
      <c r="H7" s="102" t="s">
        <v>551</v>
      </c>
      <c r="I7" s="101">
        <v>47</v>
      </c>
      <c r="J7" s="101"/>
      <c r="K7" s="269"/>
      <c r="L7" s="269"/>
      <c r="M7" s="269"/>
      <c r="N7" s="269"/>
      <c r="P7" s="338" t="s">
        <v>675</v>
      </c>
      <c r="Q7" s="385">
        <f>ROUND(K35/10000,)</f>
        <v>0</v>
      </c>
      <c r="R7" s="338">
        <f>ROUND(L35/10000,0)</f>
        <v>0</v>
      </c>
      <c r="S7" s="338">
        <f>ROUND(M35/10000,0)</f>
        <v>0</v>
      </c>
      <c r="T7" s="338">
        <f>ROUND(N35/10000,0)</f>
        <v>-433</v>
      </c>
      <c r="U7" s="384" t="e">
        <f t="shared" si="0"/>
        <v>#DIV/0!</v>
      </c>
      <c r="V7" s="384" t="e">
        <f t="shared" si="1"/>
        <v>#DIV/0!</v>
      </c>
    </row>
    <row r="8" spans="1:22">
      <c r="A8" s="102" t="s">
        <v>552</v>
      </c>
      <c r="B8" s="101">
        <v>3</v>
      </c>
      <c r="C8" s="101"/>
      <c r="D8" s="269"/>
      <c r="E8" s="274"/>
      <c r="F8" s="274"/>
      <c r="G8" s="274"/>
      <c r="H8" s="286" t="s">
        <v>648</v>
      </c>
      <c r="I8" s="101">
        <v>48</v>
      </c>
      <c r="J8" s="101"/>
      <c r="L8" s="269"/>
      <c r="M8" s="269"/>
      <c r="N8" s="269"/>
      <c r="P8" s="338" t="s">
        <v>748</v>
      </c>
      <c r="Q8" s="338">
        <f>ROUND(K29/10000,0)</f>
        <v>0</v>
      </c>
      <c r="R8" s="338">
        <f>ROUND(L29/10000,0)</f>
        <v>0</v>
      </c>
      <c r="S8" s="338">
        <f>ROUND(M29/10000,0)</f>
        <v>0</v>
      </c>
      <c r="T8" s="338">
        <f>ROUND(N29/10000,0)</f>
        <v>0</v>
      </c>
      <c r="U8" s="384" t="e">
        <f t="shared" si="0"/>
        <v>#DIV/0!</v>
      </c>
      <c r="V8" s="384" t="e">
        <f t="shared" si="1"/>
        <v>#DIV/0!</v>
      </c>
    </row>
    <row r="9" spans="1:22">
      <c r="A9" s="102" t="s">
        <v>553</v>
      </c>
      <c r="B9" s="101">
        <v>4</v>
      </c>
      <c r="C9" s="103"/>
      <c r="D9" s="269"/>
      <c r="E9" s="274"/>
      <c r="F9" s="274"/>
      <c r="G9" s="274"/>
      <c r="H9" s="102" t="s">
        <v>646</v>
      </c>
      <c r="I9" s="101">
        <v>49</v>
      </c>
      <c r="J9" s="101"/>
      <c r="K9" s="269"/>
      <c r="L9" s="269"/>
      <c r="M9" s="269"/>
      <c r="N9" s="269"/>
      <c r="P9" s="338" t="s">
        <v>741</v>
      </c>
      <c r="Q9" s="385">
        <f>ROUND(D21/10000,0)</f>
        <v>0</v>
      </c>
      <c r="R9" s="338">
        <f>ROUND(E21/10000,0)</f>
        <v>0</v>
      </c>
      <c r="S9" s="338">
        <f>ROUND(F21/10000,0)</f>
        <v>0</v>
      </c>
      <c r="T9" s="338">
        <f>ROUND(G21/10000,0)</f>
        <v>834208</v>
      </c>
      <c r="U9" s="384" t="e">
        <f t="shared" si="0"/>
        <v>#DIV/0!</v>
      </c>
      <c r="V9" s="384" t="e">
        <f t="shared" si="1"/>
        <v>#DIV/0!</v>
      </c>
    </row>
    <row r="10" spans="1:22">
      <c r="A10" s="102" t="s">
        <v>554</v>
      </c>
      <c r="B10" s="101">
        <v>5</v>
      </c>
      <c r="C10" s="101"/>
      <c r="D10" s="269"/>
      <c r="E10" s="274"/>
      <c r="F10" s="274"/>
      <c r="G10" s="274"/>
      <c r="H10" s="102" t="s">
        <v>555</v>
      </c>
      <c r="I10" s="101">
        <v>50</v>
      </c>
      <c r="J10" s="101"/>
      <c r="K10" s="269"/>
      <c r="L10" s="269"/>
      <c r="M10" s="269"/>
      <c r="N10" s="292">
        <v>8346415000</v>
      </c>
      <c r="P10" s="338" t="s">
        <v>742</v>
      </c>
      <c r="Q10" s="375">
        <f>ROUND(D14/10000,0)</f>
        <v>0</v>
      </c>
      <c r="R10" s="338">
        <f>ROUND(E14/10000,0)</f>
        <v>0</v>
      </c>
      <c r="S10" s="338">
        <f>ROUND(F14/10000,0)</f>
        <v>0</v>
      </c>
      <c r="T10" s="338">
        <f>ROUND(G14/10000,0)</f>
        <v>834000</v>
      </c>
      <c r="U10" s="384" t="e">
        <f t="shared" si="0"/>
        <v>#DIV/0!</v>
      </c>
      <c r="V10" s="384" t="e">
        <f t="shared" si="1"/>
        <v>#DIV/0!</v>
      </c>
    </row>
    <row r="11" spans="1:22">
      <c r="A11" s="102" t="s">
        <v>556</v>
      </c>
      <c r="B11" s="101">
        <v>6</v>
      </c>
      <c r="C11" s="101"/>
      <c r="D11" s="273">
        <f>D9-D10</f>
        <v>0</v>
      </c>
      <c r="E11" s="273">
        <f>E9-E10</f>
        <v>0</v>
      </c>
      <c r="F11" s="273">
        <f>F9-F10</f>
        <v>0</v>
      </c>
      <c r="G11" s="273">
        <f>G9-G10</f>
        <v>0</v>
      </c>
      <c r="H11" s="102" t="s">
        <v>868</v>
      </c>
      <c r="I11" s="101">
        <v>51</v>
      </c>
      <c r="J11" s="101"/>
      <c r="K11" s="269"/>
      <c r="L11" s="269"/>
      <c r="M11" s="269"/>
      <c r="N11" s="269"/>
      <c r="P11" s="338" t="s">
        <v>749</v>
      </c>
      <c r="Q11" s="375">
        <f>ROUND(K20/10000,0)</f>
        <v>0</v>
      </c>
      <c r="R11" s="338">
        <f>ROUND(L20/10000,0)</f>
        <v>0</v>
      </c>
      <c r="S11" s="338">
        <f>ROUND(M20/10000,0)</f>
        <v>0</v>
      </c>
      <c r="T11" s="338">
        <f>ROUND(N20/10000,0)</f>
        <v>834642</v>
      </c>
      <c r="U11" s="384" t="e">
        <f t="shared" si="0"/>
        <v>#DIV/0!</v>
      </c>
      <c r="V11" s="384" t="e">
        <f t="shared" si="1"/>
        <v>#DIV/0!</v>
      </c>
    </row>
    <row r="12" spans="1:22">
      <c r="A12" s="102" t="s">
        <v>557</v>
      </c>
      <c r="B12" s="101">
        <v>7</v>
      </c>
      <c r="C12" s="101"/>
      <c r="D12" s="269"/>
      <c r="E12" s="269"/>
      <c r="F12" s="274"/>
      <c r="G12" s="274"/>
      <c r="H12" s="102" t="s">
        <v>558</v>
      </c>
      <c r="I12" s="101">
        <v>52</v>
      </c>
      <c r="J12" s="101"/>
      <c r="K12" s="269"/>
      <c r="L12" s="269"/>
      <c r="M12" s="269"/>
      <c r="N12" s="269"/>
    </row>
    <row r="13" spans="1:22">
      <c r="A13" s="102" t="s">
        <v>559</v>
      </c>
      <c r="B13" s="101">
        <v>8</v>
      </c>
      <c r="C13" s="101"/>
      <c r="D13" s="269"/>
      <c r="E13" s="269"/>
      <c r="F13" s="274"/>
      <c r="G13" s="274"/>
      <c r="H13" s="102" t="s">
        <v>689</v>
      </c>
      <c r="I13" s="101">
        <v>53</v>
      </c>
      <c r="J13" s="101"/>
      <c r="K13" s="269"/>
      <c r="L13" s="269"/>
      <c r="M13" s="269"/>
      <c r="N13" s="269"/>
    </row>
    <row r="14" spans="1:22">
      <c r="A14" s="102" t="s">
        <v>560</v>
      </c>
      <c r="B14" s="101">
        <v>9</v>
      </c>
      <c r="C14" s="373">
        <v>0</v>
      </c>
      <c r="D14" s="269"/>
      <c r="E14" s="269"/>
      <c r="F14" s="274"/>
      <c r="G14" s="274">
        <v>8340000000</v>
      </c>
      <c r="H14" s="102" t="s">
        <v>561</v>
      </c>
      <c r="I14" s="101">
        <v>54</v>
      </c>
      <c r="J14" s="101"/>
      <c r="K14" s="269"/>
      <c r="L14" s="269"/>
      <c r="M14" s="269"/>
      <c r="N14" s="269"/>
    </row>
    <row r="15" spans="1:22">
      <c r="A15" s="102" t="s">
        <v>723</v>
      </c>
      <c r="B15" s="101"/>
      <c r="C15" s="101"/>
      <c r="D15" s="269"/>
      <c r="E15" s="269"/>
      <c r="F15" s="274"/>
      <c r="G15" s="274"/>
      <c r="H15" s="102" t="s">
        <v>690</v>
      </c>
      <c r="I15" s="101">
        <v>55</v>
      </c>
      <c r="J15" s="101"/>
      <c r="K15" s="269"/>
      <c r="L15" s="269"/>
      <c r="M15" s="369"/>
      <c r="N15" s="269"/>
      <c r="P15" s="760" t="s">
        <v>678</v>
      </c>
      <c r="Q15" s="761"/>
      <c r="R15" s="761"/>
      <c r="S15" s="761"/>
      <c r="T15" s="341"/>
    </row>
    <row r="16" spans="1:22">
      <c r="A16" s="98" t="s">
        <v>688</v>
      </c>
      <c r="B16" s="101"/>
      <c r="C16" s="101"/>
      <c r="D16" s="269"/>
      <c r="E16" s="274"/>
      <c r="F16" s="274"/>
      <c r="G16" s="274"/>
      <c r="H16" s="102" t="s">
        <v>562</v>
      </c>
      <c r="I16" s="101">
        <v>56</v>
      </c>
      <c r="J16" s="101"/>
      <c r="K16" s="269"/>
      <c r="L16" s="269"/>
      <c r="M16" s="269"/>
      <c r="N16" s="269"/>
      <c r="P16" s="761"/>
      <c r="Q16" s="761"/>
      <c r="R16" s="761"/>
      <c r="S16" s="761"/>
      <c r="T16" s="341"/>
    </row>
    <row r="17" spans="1:24">
      <c r="A17" s="102" t="s">
        <v>563</v>
      </c>
      <c r="B17" s="101"/>
      <c r="C17" s="101"/>
      <c r="D17" s="269"/>
      <c r="E17" s="274"/>
      <c r="F17" s="274"/>
      <c r="G17" s="274"/>
      <c r="H17" s="102" t="s">
        <v>564</v>
      </c>
      <c r="I17" s="101">
        <v>57</v>
      </c>
      <c r="J17" s="101"/>
      <c r="K17" s="269"/>
      <c r="L17" s="269"/>
      <c r="M17" s="269"/>
      <c r="N17" s="269"/>
      <c r="P17" s="338" t="s">
        <v>676</v>
      </c>
      <c r="Q17" s="338" t="str">
        <f>Q4</f>
        <v xml:space="preserve">2013年 </v>
      </c>
      <c r="R17" s="338" t="str">
        <f>R4</f>
        <v>2014年</v>
      </c>
      <c r="S17" s="374" t="str">
        <f>S4</f>
        <v>2015年</v>
      </c>
      <c r="T17" s="340"/>
      <c r="U17" s="276"/>
      <c r="V17" s="338" t="s">
        <v>676</v>
      </c>
      <c r="W17" s="374" t="str">
        <f>G3</f>
        <v>2016年6月</v>
      </c>
      <c r="X17" s="338" t="s">
        <v>750</v>
      </c>
    </row>
    <row r="18" spans="1:24">
      <c r="A18" s="102" t="s">
        <v>565</v>
      </c>
      <c r="B18" s="101">
        <v>10</v>
      </c>
      <c r="C18" s="101"/>
      <c r="D18" s="269"/>
      <c r="E18" s="274"/>
      <c r="F18" s="274"/>
      <c r="G18" s="274"/>
      <c r="H18" s="102" t="s">
        <v>566</v>
      </c>
      <c r="I18" s="101">
        <v>58</v>
      </c>
      <c r="J18" s="101"/>
      <c r="K18" s="269"/>
      <c r="L18" s="269"/>
      <c r="M18" s="269"/>
      <c r="N18" s="269"/>
      <c r="P18" s="338" t="s">
        <v>740</v>
      </c>
      <c r="Q18" s="375">
        <v>100</v>
      </c>
      <c r="R18" s="338">
        <v>100</v>
      </c>
      <c r="S18" s="338">
        <v>100</v>
      </c>
      <c r="T18" s="340"/>
      <c r="U18" s="276"/>
      <c r="V18" s="391" t="s">
        <v>751</v>
      </c>
      <c r="W18" s="392">
        <f>ROUND(G39/10000,0)</f>
        <v>834208</v>
      </c>
      <c r="X18" s="383">
        <v>1</v>
      </c>
    </row>
    <row r="19" spans="1:24">
      <c r="A19" s="102" t="s">
        <v>567</v>
      </c>
      <c r="B19" s="101">
        <v>12</v>
      </c>
      <c r="C19" s="101"/>
      <c r="D19" s="269"/>
      <c r="E19" s="274"/>
      <c r="F19" s="274"/>
      <c r="G19" s="274"/>
      <c r="H19" s="100" t="s">
        <v>773</v>
      </c>
      <c r="I19" s="101">
        <v>59</v>
      </c>
      <c r="J19" s="101"/>
      <c r="K19" s="269"/>
      <c r="L19" s="269"/>
      <c r="M19" s="269"/>
      <c r="N19" s="269"/>
      <c r="P19" s="338" t="s">
        <v>741</v>
      </c>
      <c r="Q19" s="376" t="e">
        <f>Q9/Q5*100</f>
        <v>#DIV/0!</v>
      </c>
      <c r="R19" s="376" t="e">
        <f>R9/R5*100</f>
        <v>#DIV/0!</v>
      </c>
      <c r="S19" s="376" t="e">
        <f>S9/S5*100</f>
        <v>#DIV/0!</v>
      </c>
      <c r="T19" s="377"/>
      <c r="U19" s="276"/>
      <c r="V19" s="393" t="s">
        <v>752</v>
      </c>
      <c r="W19" s="392">
        <f>ROUND(G21/10000,0)</f>
        <v>834208</v>
      </c>
      <c r="X19" s="394">
        <f>W19/$W$18</f>
        <v>1</v>
      </c>
    </row>
    <row r="20" spans="1:24">
      <c r="A20" s="102" t="s">
        <v>568</v>
      </c>
      <c r="B20" s="101">
        <v>13</v>
      </c>
      <c r="C20" s="101"/>
      <c r="D20" s="269"/>
      <c r="E20" s="274"/>
      <c r="F20" s="274"/>
      <c r="G20" s="274"/>
      <c r="H20" s="102" t="s">
        <v>569</v>
      </c>
      <c r="I20" s="101">
        <v>65</v>
      </c>
      <c r="J20" s="101"/>
      <c r="K20" s="273">
        <f>SUM(K6:K19)</f>
        <v>0</v>
      </c>
      <c r="L20" s="273">
        <f>SUM(L6:L19)</f>
        <v>0</v>
      </c>
      <c r="M20" s="273">
        <f>SUM(M6:M19)</f>
        <v>0</v>
      </c>
      <c r="N20" s="273">
        <f>SUM(N6:N19)</f>
        <v>8346415000</v>
      </c>
      <c r="P20" s="338" t="s">
        <v>742</v>
      </c>
      <c r="Q20" s="378" t="e">
        <f>Q10/Q5*100</f>
        <v>#DIV/0!</v>
      </c>
      <c r="R20" s="378" t="e">
        <f>R10/R5*100</f>
        <v>#DIV/0!</v>
      </c>
      <c r="S20" s="378" t="e">
        <f>S10/S5*100</f>
        <v>#DIV/0!</v>
      </c>
      <c r="T20" s="379"/>
      <c r="U20" s="276"/>
      <c r="V20" s="395" t="s">
        <v>753</v>
      </c>
      <c r="W20" s="392">
        <f>ROUND(G6/10000,0)</f>
        <v>208</v>
      </c>
      <c r="X20" s="394">
        <f t="shared" ref="X20:X41" si="2">W20/$W$18</f>
        <v>2.0000000000000001E-4</v>
      </c>
    </row>
    <row r="21" spans="1:24">
      <c r="A21" s="105" t="s">
        <v>603</v>
      </c>
      <c r="B21" s="101">
        <v>20</v>
      </c>
      <c r="C21" s="101"/>
      <c r="D21" s="273">
        <f>SUM(D6:D20)-D10-D15-D16-D17-D9</f>
        <v>0</v>
      </c>
      <c r="E21" s="273">
        <f>SUM(E6:E20)-E10-E15-E16-E17-E9</f>
        <v>0</v>
      </c>
      <c r="F21" s="273">
        <f>SUM(F6:F20)-F10-F15-F16-F17-F9</f>
        <v>0</v>
      </c>
      <c r="G21" s="273">
        <f>SUM(G6:G20)-G10-G15-G16-G17-G9</f>
        <v>8342084234.7200003</v>
      </c>
      <c r="H21" s="100" t="s">
        <v>570</v>
      </c>
      <c r="I21" s="101"/>
      <c r="J21" s="101"/>
      <c r="K21" s="273"/>
      <c r="L21" s="273"/>
      <c r="M21" s="273"/>
      <c r="N21" s="273"/>
      <c r="P21" s="338" t="s">
        <v>677</v>
      </c>
      <c r="Q21" s="376" t="e">
        <f>Q6/Q5*100</f>
        <v>#DIV/0!</v>
      </c>
      <c r="R21" s="376" t="e">
        <f>R6/R5*100</f>
        <v>#DIV/0!</v>
      </c>
      <c r="S21" s="376" t="e">
        <f>S6/S5*100</f>
        <v>#DIV/0!</v>
      </c>
      <c r="T21" s="377"/>
      <c r="U21" s="276"/>
      <c r="V21" s="395" t="s">
        <v>754</v>
      </c>
      <c r="W21" s="392">
        <f>ROUND(G12/10000,0)</f>
        <v>0</v>
      </c>
      <c r="X21" s="394">
        <f t="shared" si="2"/>
        <v>0</v>
      </c>
    </row>
    <row r="22" spans="1:24">
      <c r="A22" s="106" t="s">
        <v>604</v>
      </c>
      <c r="B22" s="101"/>
      <c r="C22" s="101"/>
      <c r="D22" s="273"/>
      <c r="E22" s="273"/>
      <c r="F22" s="273"/>
      <c r="G22" s="273"/>
      <c r="H22" s="102" t="s">
        <v>571</v>
      </c>
      <c r="I22" s="101">
        <v>66</v>
      </c>
      <c r="J22" s="101"/>
      <c r="K22" s="269"/>
      <c r="L22" s="269"/>
      <c r="M22" s="269"/>
      <c r="N22" s="269"/>
      <c r="P22" s="338" t="s">
        <v>675</v>
      </c>
      <c r="Q22" s="378" t="e">
        <f>Q7/Q5*100</f>
        <v>#DIV/0!</v>
      </c>
      <c r="R22" s="378" t="e">
        <f>R7/R5*100</f>
        <v>#DIV/0!</v>
      </c>
      <c r="S22" s="378" t="e">
        <f>S7/S5*100</f>
        <v>#DIV/0!</v>
      </c>
      <c r="T22" s="379"/>
      <c r="U22" s="276"/>
      <c r="V22" s="395" t="s">
        <v>755</v>
      </c>
      <c r="W22" s="392">
        <f>ROUND(G13/10000,0)</f>
        <v>0</v>
      </c>
      <c r="X22" s="394">
        <f t="shared" si="2"/>
        <v>0</v>
      </c>
    </row>
    <row r="23" spans="1:24">
      <c r="A23" s="105" t="s">
        <v>605</v>
      </c>
      <c r="B23" s="101">
        <v>21</v>
      </c>
      <c r="C23" s="101"/>
      <c r="D23" s="269"/>
      <c r="E23" s="269"/>
      <c r="F23" s="269"/>
      <c r="G23" s="269"/>
      <c r="H23" s="102" t="s">
        <v>572</v>
      </c>
      <c r="I23" s="101">
        <v>67</v>
      </c>
      <c r="J23" s="101"/>
      <c r="K23" s="269"/>
      <c r="L23" s="269"/>
      <c r="M23" s="269"/>
      <c r="N23" s="269"/>
      <c r="P23" s="340"/>
      <c r="Q23" s="380"/>
      <c r="R23" s="340"/>
      <c r="S23" s="340"/>
      <c r="T23" s="340"/>
      <c r="U23" s="276"/>
      <c r="V23" s="395" t="s">
        <v>742</v>
      </c>
      <c r="W23" s="392">
        <f>ROUND(G14/10000,0)</f>
        <v>834000</v>
      </c>
      <c r="X23" s="394">
        <f t="shared" si="2"/>
        <v>0.99980000000000002</v>
      </c>
    </row>
    <row r="24" spans="1:24">
      <c r="A24" s="106" t="s">
        <v>606</v>
      </c>
      <c r="B24" s="101"/>
      <c r="C24" s="101"/>
      <c r="D24" s="273"/>
      <c r="E24" s="273"/>
      <c r="F24" s="273"/>
      <c r="G24" s="273"/>
      <c r="H24" s="102" t="s">
        <v>573</v>
      </c>
      <c r="I24" s="101">
        <v>68</v>
      </c>
      <c r="J24" s="101"/>
      <c r="K24" s="269"/>
      <c r="L24" s="269"/>
      <c r="M24" s="269"/>
      <c r="N24" s="269"/>
      <c r="P24" s="340"/>
      <c r="Q24" s="380"/>
      <c r="R24" s="340"/>
      <c r="S24" s="340"/>
      <c r="T24" s="340"/>
      <c r="U24" s="276"/>
      <c r="V24" s="391" t="s">
        <v>756</v>
      </c>
      <c r="W24" s="392">
        <f>ROUND(G22/10000,0)</f>
        <v>0</v>
      </c>
      <c r="X24" s="394">
        <f t="shared" si="2"/>
        <v>0</v>
      </c>
    </row>
    <row r="25" spans="1:24">
      <c r="A25" s="105" t="s">
        <v>607</v>
      </c>
      <c r="B25" s="101">
        <v>24</v>
      </c>
      <c r="C25" s="101"/>
      <c r="D25" s="269"/>
      <c r="E25" s="269"/>
      <c r="F25" s="274"/>
      <c r="G25" s="274"/>
      <c r="H25" s="102" t="s">
        <v>574</v>
      </c>
      <c r="I25" s="101">
        <v>75</v>
      </c>
      <c r="J25" s="101"/>
      <c r="K25" s="269"/>
      <c r="L25" s="269"/>
      <c r="M25" s="269"/>
      <c r="N25" s="269"/>
      <c r="P25" s="381"/>
      <c r="Q25" s="381"/>
      <c r="R25" s="381"/>
      <c r="S25" s="381"/>
      <c r="T25" s="381"/>
      <c r="U25" s="276"/>
      <c r="V25" s="395" t="s">
        <v>757</v>
      </c>
      <c r="W25" s="392">
        <f>ROUND(G23/10000,0)</f>
        <v>0</v>
      </c>
      <c r="X25" s="394">
        <f t="shared" si="2"/>
        <v>0</v>
      </c>
    </row>
    <row r="26" spans="1:24">
      <c r="A26" s="105" t="s">
        <v>608</v>
      </c>
      <c r="B26" s="101">
        <v>25</v>
      </c>
      <c r="C26" s="104"/>
      <c r="D26" s="269"/>
      <c r="E26" s="269"/>
      <c r="F26" s="274"/>
      <c r="G26" s="274"/>
      <c r="H26" s="102" t="s">
        <v>575</v>
      </c>
      <c r="I26" s="101">
        <v>76</v>
      </c>
      <c r="J26" s="101"/>
      <c r="K26" s="273">
        <f>SUM(K22:K25)</f>
        <v>0</v>
      </c>
      <c r="L26" s="273">
        <f>SUM(L22:L25)</f>
        <v>0</v>
      </c>
      <c r="M26" s="273">
        <f>SUM(M22:M25)</f>
        <v>0</v>
      </c>
      <c r="N26" s="273">
        <f>SUM(N22:N25)</f>
        <v>0</v>
      </c>
      <c r="P26" s="760" t="s">
        <v>679</v>
      </c>
      <c r="Q26" s="760"/>
      <c r="R26" s="760"/>
      <c r="S26" s="760"/>
      <c r="T26" s="760"/>
      <c r="U26" s="760"/>
      <c r="V26" s="393" t="s">
        <v>758</v>
      </c>
      <c r="W26" s="392">
        <f>ROUND(G27/10000,0)</f>
        <v>0</v>
      </c>
      <c r="X26" s="394">
        <f t="shared" si="2"/>
        <v>0</v>
      </c>
    </row>
    <row r="27" spans="1:24">
      <c r="A27" s="105" t="s">
        <v>609</v>
      </c>
      <c r="B27" s="101">
        <v>26</v>
      </c>
      <c r="C27" s="101"/>
      <c r="D27" s="273">
        <f>D25-D26</f>
        <v>0</v>
      </c>
      <c r="E27" s="273">
        <f>E25-E26</f>
        <v>0</v>
      </c>
      <c r="F27" s="273">
        <f>F25-F26</f>
        <v>0</v>
      </c>
      <c r="G27" s="273">
        <f>G25-G26</f>
        <v>0</v>
      </c>
      <c r="H27" s="102" t="s">
        <v>576</v>
      </c>
      <c r="I27" s="101">
        <v>77</v>
      </c>
      <c r="J27" s="101"/>
      <c r="K27" s="273">
        <f>K20+K26</f>
        <v>0</v>
      </c>
      <c r="L27" s="273">
        <f>L26+L20</f>
        <v>0</v>
      </c>
      <c r="M27" s="273">
        <f>M26+M20</f>
        <v>0</v>
      </c>
      <c r="N27" s="273">
        <f>N26+N20</f>
        <v>8346415000</v>
      </c>
      <c r="P27" s="762"/>
      <c r="Q27" s="762"/>
      <c r="R27" s="762"/>
      <c r="S27" s="762"/>
      <c r="T27" s="762"/>
      <c r="U27" s="760"/>
      <c r="V27" s="395" t="s">
        <v>759</v>
      </c>
      <c r="W27" s="392">
        <f>ROUND(G27/10000,0)</f>
        <v>0</v>
      </c>
      <c r="X27" s="394">
        <f t="shared" si="2"/>
        <v>0</v>
      </c>
    </row>
    <row r="28" spans="1:24">
      <c r="A28" s="105" t="s">
        <v>610</v>
      </c>
      <c r="B28" s="101">
        <v>27</v>
      </c>
      <c r="C28" s="101"/>
      <c r="D28" s="269"/>
      <c r="E28" s="269"/>
      <c r="F28" s="269"/>
      <c r="G28" s="269"/>
      <c r="H28" s="100" t="s">
        <v>577</v>
      </c>
      <c r="I28" s="101"/>
      <c r="J28" s="101"/>
      <c r="K28" s="273"/>
      <c r="L28" s="273"/>
      <c r="M28" s="273"/>
      <c r="N28" s="273"/>
      <c r="P28" s="338" t="s">
        <v>676</v>
      </c>
      <c r="Q28" s="338" t="str">
        <f>Q4</f>
        <v xml:space="preserve">2013年 </v>
      </c>
      <c r="R28" s="338" t="str">
        <f>R4</f>
        <v>2014年</v>
      </c>
      <c r="S28" s="374" t="str">
        <f>S4</f>
        <v>2015年</v>
      </c>
      <c r="T28" s="382" t="str">
        <f>N3</f>
        <v>2016年6月</v>
      </c>
      <c r="U28" s="283"/>
      <c r="V28" s="393" t="s">
        <v>760</v>
      </c>
      <c r="W28" s="392">
        <f>ROUND(N27/10000,0)</f>
        <v>834642</v>
      </c>
      <c r="X28" s="394">
        <f t="shared" si="2"/>
        <v>1.0004999999999999</v>
      </c>
    </row>
    <row r="29" spans="1:24">
      <c r="A29" s="105" t="s">
        <v>698</v>
      </c>
      <c r="B29" s="101">
        <v>28</v>
      </c>
      <c r="C29" s="101"/>
      <c r="D29" s="269"/>
      <c r="E29" s="269"/>
      <c r="F29" s="269"/>
      <c r="G29" s="269"/>
      <c r="H29" s="102" t="s">
        <v>578</v>
      </c>
      <c r="I29" s="101">
        <v>78</v>
      </c>
      <c r="J29" s="101"/>
      <c r="K29" s="269"/>
      <c r="L29" s="269"/>
      <c r="M29" s="269"/>
      <c r="N29" s="269"/>
      <c r="P29" s="338" t="s">
        <v>680</v>
      </c>
      <c r="Q29" s="383" t="e">
        <f>Q6/Q5</f>
        <v>#DIV/0!</v>
      </c>
      <c r="R29" s="383" t="e">
        <f>R6/R5</f>
        <v>#DIV/0!</v>
      </c>
      <c r="S29" s="394" t="e">
        <f>S6/S5</f>
        <v>#DIV/0!</v>
      </c>
      <c r="T29" s="394">
        <f>T6/T5</f>
        <v>1.0004999999999999</v>
      </c>
      <c r="U29" s="283"/>
      <c r="V29" s="393" t="s">
        <v>761</v>
      </c>
      <c r="W29" s="392">
        <f>ROUND(N20/10000,0)</f>
        <v>834642</v>
      </c>
      <c r="X29" s="394">
        <f t="shared" si="2"/>
        <v>1.0004999999999999</v>
      </c>
    </row>
    <row r="30" spans="1:24">
      <c r="A30" s="105" t="s">
        <v>611</v>
      </c>
      <c r="B30" s="101">
        <v>29</v>
      </c>
      <c r="C30" s="101"/>
      <c r="D30" s="269"/>
      <c r="E30" s="269"/>
      <c r="F30" s="269"/>
      <c r="G30" s="269"/>
      <c r="H30" s="102" t="s">
        <v>579</v>
      </c>
      <c r="I30" s="101">
        <v>79</v>
      </c>
      <c r="J30" s="101"/>
      <c r="K30" s="269"/>
      <c r="L30" s="269"/>
      <c r="M30" s="269"/>
      <c r="N30" s="269"/>
      <c r="P30" s="338" t="s">
        <v>681</v>
      </c>
      <c r="Q30" s="383" t="e">
        <f>Q9/Q11</f>
        <v>#DIV/0!</v>
      </c>
      <c r="R30" s="383" t="e">
        <f>R9/R11</f>
        <v>#DIV/0!</v>
      </c>
      <c r="S30" s="394" t="e">
        <f>S9/S11</f>
        <v>#DIV/0!</v>
      </c>
      <c r="T30" s="394">
        <f>T9/T11</f>
        <v>0.99950000000000006</v>
      </c>
      <c r="U30" s="283"/>
      <c r="V30" s="395" t="s">
        <v>874</v>
      </c>
      <c r="W30" s="392">
        <f>ROUND(N11/10000,0)</f>
        <v>0</v>
      </c>
      <c r="X30" s="394">
        <f t="shared" si="2"/>
        <v>0</v>
      </c>
    </row>
    <row r="31" spans="1:24">
      <c r="A31" s="105" t="s">
        <v>612</v>
      </c>
      <c r="B31" s="101">
        <v>35</v>
      </c>
      <c r="C31" s="101"/>
      <c r="D31" s="273">
        <f>SUM(D27:D30)</f>
        <v>0</v>
      </c>
      <c r="E31" s="273">
        <f>SUM(E27:E30)</f>
        <v>0</v>
      </c>
      <c r="F31" s="273">
        <f>SUM(F27:F30)</f>
        <v>0</v>
      </c>
      <c r="G31" s="273">
        <f>SUM(G27:G30)</f>
        <v>0</v>
      </c>
      <c r="H31" s="102" t="s">
        <v>580</v>
      </c>
      <c r="I31" s="101">
        <v>80</v>
      </c>
      <c r="J31" s="101"/>
      <c r="K31" s="269"/>
      <c r="L31" s="269"/>
      <c r="M31" s="269"/>
      <c r="N31" s="269"/>
      <c r="P31" s="338" t="s">
        <v>682</v>
      </c>
      <c r="Q31" s="383" t="e">
        <f>(Q9-Q10)/Q11</f>
        <v>#DIV/0!</v>
      </c>
      <c r="R31" s="383" t="e">
        <f>(R9-R10)/R11</f>
        <v>#DIV/0!</v>
      </c>
      <c r="S31" s="394" t="e">
        <f>(S9-S10)/S11</f>
        <v>#DIV/0!</v>
      </c>
      <c r="T31" s="394">
        <f>(T9-T10)/T11</f>
        <v>2.0000000000000001E-4</v>
      </c>
      <c r="U31" s="283"/>
      <c r="V31" s="528" t="str">
        <f>H15</f>
        <v xml:space="preserve">    其它应交款</v>
      </c>
      <c r="W31" s="392">
        <f>ROUND(N15/10000,0)</f>
        <v>0</v>
      </c>
      <c r="X31" s="394">
        <f t="shared" si="2"/>
        <v>0</v>
      </c>
    </row>
    <row r="32" spans="1:24">
      <c r="A32" s="106" t="s">
        <v>613</v>
      </c>
      <c r="B32" s="101"/>
      <c r="C32" s="101"/>
      <c r="D32" s="273"/>
      <c r="E32" s="273"/>
      <c r="F32" s="273"/>
      <c r="G32" s="273"/>
      <c r="H32" s="102" t="s">
        <v>684</v>
      </c>
      <c r="I32" s="101"/>
      <c r="J32" s="101"/>
      <c r="K32" s="269"/>
      <c r="L32" s="269"/>
      <c r="M32" s="269"/>
      <c r="N32" s="269"/>
      <c r="P32" s="340"/>
      <c r="Q32" s="377"/>
      <c r="R32" s="377"/>
      <c r="S32" s="377"/>
      <c r="T32" s="377"/>
      <c r="U32" s="283"/>
      <c r="V32" s="395" t="s">
        <v>762</v>
      </c>
      <c r="W32" s="392">
        <f>ROUND(N9/10000,0)</f>
        <v>0</v>
      </c>
      <c r="X32" s="394">
        <f t="shared" si="2"/>
        <v>0</v>
      </c>
    </row>
    <row r="33" spans="1:24">
      <c r="A33" s="105" t="s">
        <v>614</v>
      </c>
      <c r="B33" s="101">
        <v>36</v>
      </c>
      <c r="C33" s="101"/>
      <c r="D33" s="269"/>
      <c r="E33" s="269"/>
      <c r="F33" s="274"/>
      <c r="G33" s="274"/>
      <c r="H33" s="102" t="s">
        <v>581</v>
      </c>
      <c r="I33" s="101">
        <v>81</v>
      </c>
      <c r="J33" s="101"/>
      <c r="K33" s="269"/>
      <c r="L33" s="269"/>
      <c r="M33" s="269"/>
      <c r="N33" s="269"/>
      <c r="P33" s="340"/>
      <c r="Q33" s="343"/>
      <c r="R33" s="343"/>
      <c r="S33" s="343"/>
      <c r="T33" s="343"/>
      <c r="U33" s="342"/>
      <c r="V33" s="395" t="s">
        <v>763</v>
      </c>
      <c r="W33" s="392">
        <f>ROUND(N10/10000,0)</f>
        <v>834642</v>
      </c>
      <c r="X33" s="394">
        <f t="shared" si="2"/>
        <v>1.0004999999999999</v>
      </c>
    </row>
    <row r="34" spans="1:24">
      <c r="A34" s="106" t="s">
        <v>687</v>
      </c>
      <c r="B34" s="101"/>
      <c r="C34" s="101"/>
      <c r="D34" s="269"/>
      <c r="E34" s="274"/>
      <c r="F34" s="274"/>
      <c r="G34" s="274"/>
      <c r="H34" s="102" t="s">
        <v>649</v>
      </c>
      <c r="I34" s="101"/>
      <c r="J34" s="101"/>
      <c r="K34" s="269"/>
      <c r="L34" s="269"/>
      <c r="M34" s="269"/>
      <c r="N34" s="269">
        <v>-4330765.28</v>
      </c>
      <c r="V34" s="393" t="s">
        <v>764</v>
      </c>
      <c r="W34" s="392">
        <f>ROUND(N26/10000,0)</f>
        <v>0</v>
      </c>
      <c r="X34" s="394">
        <f t="shared" si="2"/>
        <v>0</v>
      </c>
    </row>
    <row r="35" spans="1:24">
      <c r="A35" s="105" t="s">
        <v>615</v>
      </c>
      <c r="B35" s="101">
        <v>37</v>
      </c>
      <c r="C35" s="101"/>
      <c r="D35" s="269"/>
      <c r="E35" s="269"/>
      <c r="F35" s="274"/>
      <c r="G35" s="274"/>
      <c r="H35" s="102" t="s">
        <v>582</v>
      </c>
      <c r="I35" s="101">
        <v>85</v>
      </c>
      <c r="J35" s="101"/>
      <c r="K35" s="273">
        <f>SUM(K29:K33)-K32</f>
        <v>0</v>
      </c>
      <c r="L35" s="273">
        <f>SUM(L29:L33)-L32</f>
        <v>0</v>
      </c>
      <c r="M35" s="273">
        <f>SUM(M29:M33)-M32</f>
        <v>0</v>
      </c>
      <c r="N35" s="273">
        <f>SUM(N29:N34)-N32</f>
        <v>-4330765.28</v>
      </c>
      <c r="V35" s="395" t="s">
        <v>765</v>
      </c>
      <c r="W35" s="392">
        <f>ROUND(N22/10000,0)</f>
        <v>0</v>
      </c>
      <c r="X35" s="394">
        <f t="shared" si="2"/>
        <v>0</v>
      </c>
    </row>
    <row r="36" spans="1:24">
      <c r="A36" s="105" t="s">
        <v>616</v>
      </c>
      <c r="B36" s="101">
        <v>40</v>
      </c>
      <c r="C36" s="101"/>
      <c r="D36" s="273">
        <f>SUM(D33:D35)</f>
        <v>0</v>
      </c>
      <c r="E36" s="273">
        <f>SUM(E33:E35)</f>
        <v>0</v>
      </c>
      <c r="F36" s="273">
        <f>SUM(F33:F35)</f>
        <v>0</v>
      </c>
      <c r="G36" s="273">
        <f>SUM(G33:G35)</f>
        <v>0</v>
      </c>
      <c r="H36" s="102"/>
      <c r="I36" s="101"/>
      <c r="J36" s="101"/>
      <c r="K36" s="269"/>
      <c r="L36" s="269"/>
      <c r="M36" s="269"/>
      <c r="N36" s="269"/>
      <c r="P36" s="757" t="s">
        <v>736</v>
      </c>
      <c r="Q36" s="758"/>
      <c r="R36" s="758"/>
      <c r="S36" s="758"/>
      <c r="V36" s="393" t="s">
        <v>766</v>
      </c>
      <c r="W36" s="392">
        <f>ROUND(N35/10000,0)</f>
        <v>-433</v>
      </c>
      <c r="X36" s="394">
        <f t="shared" si="2"/>
        <v>-5.0000000000000001E-4</v>
      </c>
    </row>
    <row r="37" spans="1:24">
      <c r="A37" s="106" t="s">
        <v>617</v>
      </c>
      <c r="B37" s="101"/>
      <c r="C37" s="101"/>
      <c r="D37" s="273">
        <f>D38</f>
        <v>0</v>
      </c>
      <c r="E37" s="273">
        <f>E38</f>
        <v>0</v>
      </c>
      <c r="F37" s="273">
        <f>F38</f>
        <v>0</v>
      </c>
      <c r="G37" s="273">
        <f>G38</f>
        <v>0</v>
      </c>
      <c r="H37" s="102"/>
      <c r="I37" s="101"/>
      <c r="J37" s="101"/>
      <c r="K37" s="269"/>
      <c r="L37" s="269"/>
      <c r="M37" s="269"/>
      <c r="N37" s="269"/>
      <c r="P37" s="759"/>
      <c r="Q37" s="759"/>
      <c r="R37" s="759"/>
      <c r="S37" s="759"/>
      <c r="V37" s="395" t="s">
        <v>748</v>
      </c>
      <c r="W37" s="392">
        <f>ROUND(N29/10000,0)</f>
        <v>0</v>
      </c>
      <c r="X37" s="394">
        <f t="shared" si="2"/>
        <v>0</v>
      </c>
    </row>
    <row r="38" spans="1:24">
      <c r="A38" s="106" t="s">
        <v>645</v>
      </c>
      <c r="B38" s="101">
        <v>41</v>
      </c>
      <c r="C38" s="101"/>
      <c r="D38" s="269"/>
      <c r="E38" s="269"/>
      <c r="F38" s="269"/>
      <c r="G38" s="269"/>
      <c r="H38" s="102"/>
      <c r="I38" s="101"/>
      <c r="J38" s="101"/>
      <c r="K38" s="269"/>
      <c r="L38" s="269"/>
      <c r="M38" s="269"/>
      <c r="N38" s="269"/>
      <c r="P38" s="338" t="s">
        <v>676</v>
      </c>
      <c r="Q38" s="339" t="str">
        <f>Q28</f>
        <v xml:space="preserve">2013年 </v>
      </c>
      <c r="R38" s="339" t="str">
        <f>R28</f>
        <v>2014年</v>
      </c>
      <c r="S38" s="339" t="str">
        <f>S28</f>
        <v>2015年</v>
      </c>
      <c r="V38" s="395" t="s">
        <v>767</v>
      </c>
      <c r="W38" s="392">
        <f>ROUND(N30/10000,0)</f>
        <v>0</v>
      </c>
      <c r="X38" s="394">
        <f t="shared" si="2"/>
        <v>0</v>
      </c>
    </row>
    <row r="39" spans="1:24">
      <c r="A39" s="102" t="s">
        <v>583</v>
      </c>
      <c r="B39" s="101">
        <v>45</v>
      </c>
      <c r="C39" s="282"/>
      <c r="D39" s="282">
        <f>D21+D23+D31+D36+D37</f>
        <v>0</v>
      </c>
      <c r="E39" s="282">
        <f>E21+E23+E31+E36+E37</f>
        <v>0</v>
      </c>
      <c r="F39" s="282">
        <f>F21+F23+F31+F36+F37</f>
        <v>0</v>
      </c>
      <c r="G39" s="282">
        <f>G21+G23+G31+G36+G37</f>
        <v>8342084234.7200003</v>
      </c>
      <c r="H39" s="107" t="s">
        <v>584</v>
      </c>
      <c r="I39" s="101">
        <v>90</v>
      </c>
      <c r="J39" s="101"/>
      <c r="K39" s="282">
        <f>K27+K35</f>
        <v>0</v>
      </c>
      <c r="L39" s="282">
        <f>L35+L27</f>
        <v>0</v>
      </c>
      <c r="M39" s="282">
        <f>M35+M27</f>
        <v>0</v>
      </c>
      <c r="N39" s="282">
        <f>N35+N27</f>
        <v>8342084234.7200003</v>
      </c>
      <c r="P39" s="370" t="s">
        <v>737</v>
      </c>
      <c r="Q39" s="371" t="e">
        <f>三年损益!E5/(C39+D39)/2</f>
        <v>#DIV/0!</v>
      </c>
      <c r="R39" s="371" t="e">
        <f>三年损益!F5/(D39+E39)/2</f>
        <v>#DIV/0!</v>
      </c>
      <c r="S39" s="371" t="e">
        <f>三年损益!G5/(E39+F39)/2</f>
        <v>#DIV/0!</v>
      </c>
      <c r="V39" s="395" t="s">
        <v>768</v>
      </c>
      <c r="W39" s="392">
        <f>ROUND(N31/10000,0)</f>
        <v>0</v>
      </c>
      <c r="X39" s="394">
        <f t="shared" si="2"/>
        <v>0</v>
      </c>
    </row>
    <row r="40" spans="1:24">
      <c r="A40" s="102"/>
      <c r="B40" s="101"/>
      <c r="C40" s="101"/>
      <c r="D40" s="275"/>
      <c r="E40" s="275"/>
      <c r="F40" s="275"/>
      <c r="G40" s="275"/>
      <c r="H40" s="107"/>
      <c r="I40" s="108"/>
      <c r="J40" s="108"/>
      <c r="K40" s="284"/>
      <c r="L40" s="284"/>
      <c r="M40" s="284"/>
      <c r="N40" s="284"/>
      <c r="P40" s="370" t="s">
        <v>738</v>
      </c>
      <c r="Q40" s="372" t="e">
        <f>三年损益!E6/(C14+D14)/2</f>
        <v>#DIV/0!</v>
      </c>
      <c r="R40" s="372" t="e">
        <f>三年损益!F6/(D14+E14)/2</f>
        <v>#DIV/0!</v>
      </c>
      <c r="S40" s="372" t="e">
        <f>三年损益!G6/(E14+F14)/2</f>
        <v>#DIV/0!</v>
      </c>
      <c r="V40" s="395" t="s">
        <v>769</v>
      </c>
      <c r="W40" s="392">
        <f xml:space="preserve"> ROUND(N33/10000,0)</f>
        <v>0</v>
      </c>
      <c r="X40" s="394">
        <f t="shared" si="2"/>
        <v>0</v>
      </c>
    </row>
    <row r="41" spans="1:24">
      <c r="V41" s="395" t="s">
        <v>770</v>
      </c>
      <c r="W41" s="392">
        <f>ROUND(N34/10000,0)</f>
        <v>-433</v>
      </c>
      <c r="X41" s="394">
        <f t="shared" si="2"/>
        <v>-5.0000000000000001E-4</v>
      </c>
    </row>
    <row r="44" spans="1:24">
      <c r="N44" s="276">
        <f>N35/10000</f>
        <v>-433.076528</v>
      </c>
    </row>
    <row r="45" spans="1:24">
      <c r="N45" s="276">
        <f>N33/10000</f>
        <v>0</v>
      </c>
    </row>
  </sheetData>
  <customSheetViews>
    <customSheetView guid="{33FE80C0-0EDF-11D4-8B3D-001060002050}" showPageBreaks="1" showRuler="0">
      <selection activeCell="C3" sqref="C3:D3"/>
      <pageMargins left="0.75" right="0.75" top="1" bottom="1" header="0.5" footer="0.5"/>
      <pageSetup paperSize="9" orientation="portrait" horizontalDpi="360" verticalDpi="360" copies="0" r:id="rId1"/>
      <headerFooter alignWithMargins="0">
        <oddHeader>&amp;A</oddHeader>
        <oddFooter>第&amp;P页</oddFooter>
      </headerFooter>
    </customSheetView>
    <customSheetView guid="{62777320-11E7-11D4-8B3D-00E098726125}" showRuler="0">
      <selection activeCell="C3" sqref="C3:D3"/>
      <pageMargins left="0.75" right="0.75" top="1" bottom="1" header="0.5" footer="0.5"/>
      <pageSetup paperSize="9" orientation="portrait" horizontalDpi="360" verticalDpi="360" copies="0" r:id="rId2"/>
      <headerFooter alignWithMargins="0">
        <oddHeader>&amp;A</oddHeader>
        <oddFooter>第&amp;P页</oddFooter>
      </headerFooter>
    </customSheetView>
  </customSheetViews>
  <mergeCells count="7">
    <mergeCell ref="P36:S37"/>
    <mergeCell ref="P15:S16"/>
    <mergeCell ref="P26:U27"/>
    <mergeCell ref="C3:D3"/>
    <mergeCell ref="J3:K3"/>
    <mergeCell ref="P2:S3"/>
    <mergeCell ref="U2:V3"/>
  </mergeCells>
  <phoneticPr fontId="5" type="noConversion"/>
  <pageMargins left="0.75" right="0.75" top="1" bottom="1" header="0.5" footer="0.5"/>
  <pageSetup paperSize="9" scale="45" orientation="portrait" horizontalDpi="360" verticalDpi="360" r:id="rId3"/>
  <headerFooter alignWithMargins="0">
    <oddHeader>&amp;A</oddHeader>
    <oddFooter>第&amp;P页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zoomScale="70" zoomScaleNormal="75" zoomScaleSheetLayoutView="70" workbookViewId="0" xr3:uid="{9B253EF2-77E0-53E3-AE26-4D66ECD923F3}">
      <selection activeCell="C29" sqref="C29:D29"/>
    </sheetView>
  </sheetViews>
  <sheetFormatPr defaultRowHeight="15"/>
  <cols>
    <col min="1" max="1" width="3.875" style="109" customWidth="1"/>
    <col min="2" max="2" width="28" style="109" customWidth="1"/>
    <col min="3" max="3" width="11.625" style="110" customWidth="1"/>
    <col min="4" max="4" width="16.25" style="109" customWidth="1"/>
    <col min="5" max="5" width="16.5" style="293" customWidth="1"/>
    <col min="6" max="6" width="19.25" style="293" customWidth="1"/>
    <col min="7" max="7" width="17.25" style="293" customWidth="1"/>
    <col min="8" max="8" width="17.375" style="293" customWidth="1"/>
    <col min="9" max="9" width="11.75" style="109" customWidth="1"/>
    <col min="10" max="10" width="16.875" style="109" customWidth="1"/>
    <col min="11" max="11" width="16.375" style="109" customWidth="1"/>
    <col min="12" max="12" width="15.5" style="109" customWidth="1"/>
    <col min="13" max="13" width="15.125" style="109" customWidth="1"/>
    <col min="14" max="14" width="12.125" style="109" customWidth="1"/>
    <col min="15" max="16384" width="9" style="109"/>
  </cols>
  <sheetData>
    <row r="1" spans="1:14" s="297" customFormat="1" ht="18">
      <c r="A1" s="294" t="s">
        <v>189</v>
      </c>
      <c r="B1" s="295"/>
      <c r="C1" s="295"/>
      <c r="D1" s="295"/>
      <c r="E1" s="296"/>
      <c r="F1" s="296"/>
      <c r="G1" s="296"/>
      <c r="H1" s="296"/>
    </row>
    <row r="2" spans="1:14" s="297" customFormat="1" ht="18">
      <c r="A2" s="298"/>
      <c r="B2" s="299">
        <f>基础数据!C7</f>
        <v>0</v>
      </c>
      <c r="C2" s="300"/>
      <c r="D2" s="299"/>
      <c r="E2" s="301"/>
      <c r="F2" s="301"/>
      <c r="G2" s="301" t="s">
        <v>634</v>
      </c>
      <c r="H2" s="302"/>
    </row>
    <row r="3" spans="1:14" s="297" customFormat="1" ht="18">
      <c r="A3" s="303" t="s">
        <v>190</v>
      </c>
      <c r="B3" s="304" t="s">
        <v>651</v>
      </c>
      <c r="C3" s="305" t="s">
        <v>185</v>
      </c>
      <c r="D3" s="765" t="str">
        <f>三年资产负债!C3</f>
        <v xml:space="preserve">2013年 </v>
      </c>
      <c r="E3" s="766"/>
      <c r="F3" s="306" t="str">
        <f>三年资产负债!E3</f>
        <v>2014年</v>
      </c>
      <c r="G3" s="306" t="str">
        <f>三年资产负债!F3</f>
        <v>2015年</v>
      </c>
      <c r="H3" s="307" t="str">
        <f>三年资产负债!G3</f>
        <v>2016年6月</v>
      </c>
      <c r="I3" s="308"/>
    </row>
    <row r="4" spans="1:14" s="297" customFormat="1" ht="18">
      <c r="A4" s="309" t="s">
        <v>191</v>
      </c>
      <c r="B4" s="310" t="s">
        <v>652</v>
      </c>
      <c r="C4" s="311" t="s">
        <v>191</v>
      </c>
      <c r="D4" s="312" t="s">
        <v>653</v>
      </c>
      <c r="E4" s="313" t="s">
        <v>650</v>
      </c>
      <c r="F4" s="314"/>
      <c r="G4" s="314"/>
      <c r="H4" s="314"/>
    </row>
    <row r="5" spans="1:14" s="297" customFormat="1" ht="18">
      <c r="A5" s="315"/>
      <c r="B5" s="316" t="s">
        <v>259</v>
      </c>
      <c r="C5" s="317">
        <v>1</v>
      </c>
      <c r="D5" s="318"/>
      <c r="E5" s="319"/>
      <c r="F5" s="319"/>
      <c r="G5" s="319"/>
      <c r="H5" s="323"/>
      <c r="I5" s="409">
        <f>SUM(F5:H5)/10000</f>
        <v>0</v>
      </c>
      <c r="J5" s="141" t="s">
        <v>777</v>
      </c>
      <c r="K5" s="403" t="str">
        <f>D3</f>
        <v xml:space="preserve">2013年 </v>
      </c>
      <c r="L5" s="403" t="str">
        <f>F3</f>
        <v>2014年</v>
      </c>
      <c r="M5" s="403" t="str">
        <f>G3</f>
        <v>2015年</v>
      </c>
      <c r="N5" s="403" t="str">
        <f>H3</f>
        <v>2016年6月</v>
      </c>
    </row>
    <row r="6" spans="1:14" s="297" customFormat="1" ht="18">
      <c r="A6" s="315" t="s">
        <v>192</v>
      </c>
      <c r="B6" s="320" t="s">
        <v>654</v>
      </c>
      <c r="C6" s="321">
        <v>2</v>
      </c>
      <c r="D6" s="322"/>
      <c r="E6" s="323"/>
      <c r="F6" s="323"/>
      <c r="G6" s="323"/>
      <c r="H6" s="402"/>
      <c r="I6" s="409">
        <f>SUM(F6:H6)/10000</f>
        <v>0</v>
      </c>
      <c r="J6" s="404" t="s">
        <v>9</v>
      </c>
      <c r="K6" s="405">
        <f>ROUND(E5/10000,0)</f>
        <v>0</v>
      </c>
      <c r="L6" s="405">
        <f>ROUND(F5/10000,0)</f>
        <v>0</v>
      </c>
      <c r="M6" s="405">
        <f>ROUND(G5/10000,0)</f>
        <v>0</v>
      </c>
      <c r="N6" s="405">
        <f>ROUND(H5/10000,0)</f>
        <v>0</v>
      </c>
    </row>
    <row r="7" spans="1:14" s="297" customFormat="1" ht="18">
      <c r="A7" s="315" t="s">
        <v>193</v>
      </c>
      <c r="B7" s="320" t="s">
        <v>655</v>
      </c>
      <c r="C7" s="321">
        <v>3</v>
      </c>
      <c r="D7" s="322"/>
      <c r="E7" s="323"/>
      <c r="F7" s="323"/>
      <c r="G7" s="323"/>
      <c r="H7" s="323"/>
      <c r="J7" s="404" t="s">
        <v>285</v>
      </c>
      <c r="K7" s="405">
        <f>ROUND((E6+E7)/10000,0)</f>
        <v>0</v>
      </c>
      <c r="L7" s="405">
        <f>ROUND((F6+F7)/10000,0)</f>
        <v>0</v>
      </c>
      <c r="M7" s="405">
        <f>ROUND((G6+G7)/10000,0)</f>
        <v>0</v>
      </c>
      <c r="N7" s="405">
        <f>ROUND((H6+H7)/10000,0)</f>
        <v>0</v>
      </c>
    </row>
    <row r="8" spans="1:14" s="297" customFormat="1" ht="18">
      <c r="A8" s="315" t="s">
        <v>194</v>
      </c>
      <c r="B8" s="320" t="s">
        <v>656</v>
      </c>
      <c r="C8" s="321">
        <v>4</v>
      </c>
      <c r="D8" s="322"/>
      <c r="E8" s="323"/>
      <c r="F8" s="323"/>
      <c r="G8" s="323"/>
      <c r="H8" s="323"/>
      <c r="J8" s="404" t="s">
        <v>286</v>
      </c>
      <c r="K8" s="406">
        <f>ROUND(E9/10000,0)</f>
        <v>0</v>
      </c>
      <c r="L8" s="406">
        <f>ROUND(F9/10000,0)</f>
        <v>0</v>
      </c>
      <c r="M8" s="406">
        <f>ROUND(G9/10000,0)</f>
        <v>0</v>
      </c>
      <c r="N8" s="406">
        <f>ROUND(H9/10000,0)</f>
        <v>0</v>
      </c>
    </row>
    <row r="9" spans="1:14" s="297" customFormat="1" ht="18">
      <c r="A9" s="315" t="s">
        <v>195</v>
      </c>
      <c r="B9" s="316" t="s">
        <v>260</v>
      </c>
      <c r="C9" s="321">
        <v>7</v>
      </c>
      <c r="D9" s="322"/>
      <c r="E9" s="324">
        <f>E5-E6-E7-E8</f>
        <v>0</v>
      </c>
      <c r="F9" s="324">
        <f>F5-F6-F7-F8</f>
        <v>0</v>
      </c>
      <c r="G9" s="324">
        <f>G5-G6-G7-G8</f>
        <v>0</v>
      </c>
      <c r="H9" s="324">
        <f>H5-H6-H7-H8</f>
        <v>0</v>
      </c>
      <c r="J9" s="404" t="s">
        <v>287</v>
      </c>
      <c r="K9" s="406">
        <f t="shared" ref="K9:N10" si="0">ROUND(E14/10000,0)</f>
        <v>0</v>
      </c>
      <c r="L9" s="406">
        <f t="shared" si="0"/>
        <v>0</v>
      </c>
      <c r="M9" s="406">
        <f t="shared" si="0"/>
        <v>0</v>
      </c>
      <c r="N9" s="406">
        <f t="shared" si="0"/>
        <v>0</v>
      </c>
    </row>
    <row r="10" spans="1:14" s="297" customFormat="1" ht="18">
      <c r="A10" s="315" t="s">
        <v>196</v>
      </c>
      <c r="B10" s="320" t="s">
        <v>657</v>
      </c>
      <c r="C10" s="321">
        <v>9</v>
      </c>
      <c r="D10" s="322"/>
      <c r="E10" s="323"/>
      <c r="F10" s="323"/>
      <c r="G10" s="323"/>
      <c r="H10" s="323"/>
      <c r="J10" s="404" t="s">
        <v>288</v>
      </c>
      <c r="K10" s="405">
        <f t="shared" si="0"/>
        <v>0</v>
      </c>
      <c r="L10" s="405">
        <f t="shared" si="0"/>
        <v>0</v>
      </c>
      <c r="M10" s="406">
        <f t="shared" si="0"/>
        <v>0</v>
      </c>
      <c r="N10" s="405">
        <f t="shared" si="0"/>
        <v>0</v>
      </c>
    </row>
    <row r="11" spans="1:14" s="297" customFormat="1" ht="18">
      <c r="A11" s="315" t="s">
        <v>197</v>
      </c>
      <c r="B11" s="320" t="s">
        <v>658</v>
      </c>
      <c r="C11" s="321">
        <v>10</v>
      </c>
      <c r="D11" s="322"/>
      <c r="E11" s="323"/>
      <c r="F11" s="323"/>
      <c r="G11" s="323"/>
      <c r="H11" s="323"/>
      <c r="I11" s="409">
        <f>SUM(F11:H11)/10000</f>
        <v>0</v>
      </c>
      <c r="J11" s="404" t="s">
        <v>10</v>
      </c>
      <c r="K11" s="406">
        <f>ROUND(E20/10000,0)</f>
        <v>0</v>
      </c>
      <c r="L11" s="406">
        <f>ROUND(F20/10000,0)</f>
        <v>0</v>
      </c>
      <c r="M11" s="406">
        <f>ROUND(G20/10000,0)</f>
        <v>0</v>
      </c>
      <c r="N11" s="406">
        <f>ROUND(H20/10000,0)</f>
        <v>0</v>
      </c>
    </row>
    <row r="12" spans="1:14" s="297" customFormat="1" ht="18">
      <c r="A12" s="315" t="s">
        <v>198</v>
      </c>
      <c r="B12" s="320" t="s">
        <v>659</v>
      </c>
      <c r="C12" s="321">
        <v>11</v>
      </c>
      <c r="D12" s="322"/>
      <c r="E12" s="323"/>
      <c r="F12" s="323"/>
      <c r="G12" s="323"/>
      <c r="H12" s="323"/>
      <c r="I12" s="409">
        <f>SUM(F12:H12)/10000</f>
        <v>0</v>
      </c>
      <c r="J12" s="404" t="s">
        <v>111</v>
      </c>
      <c r="K12" s="406">
        <f>ROUND(E22/10000,0)</f>
        <v>0</v>
      </c>
      <c r="L12" s="406">
        <f>ROUND(F22/10000,0)</f>
        <v>0</v>
      </c>
      <c r="M12" s="406">
        <f>ROUND(G22/10000,0)</f>
        <v>0</v>
      </c>
      <c r="N12" s="406">
        <f>ROUND(H22/10000,0)</f>
        <v>0</v>
      </c>
    </row>
    <row r="13" spans="1:14" s="297" customFormat="1" ht="18">
      <c r="A13" s="315">
        <v>9</v>
      </c>
      <c r="B13" s="320" t="s">
        <v>660</v>
      </c>
      <c r="C13" s="321">
        <v>12</v>
      </c>
      <c r="D13" s="322"/>
      <c r="E13" s="368"/>
      <c r="F13" s="368"/>
      <c r="G13" s="323"/>
      <c r="H13" s="345"/>
      <c r="I13" s="409">
        <f>SUM(F13:H13)/10000</f>
        <v>0</v>
      </c>
      <c r="J13" s="404" t="s">
        <v>11</v>
      </c>
      <c r="K13" s="407" t="e">
        <f>K11/K6</f>
        <v>#DIV/0!</v>
      </c>
      <c r="L13" s="407" t="e">
        <f>L11/L6</f>
        <v>#DIV/0!</v>
      </c>
      <c r="M13" s="407" t="e">
        <f>M11/M6</f>
        <v>#DIV/0!</v>
      </c>
      <c r="N13" s="407" t="e">
        <f>N11/N6</f>
        <v>#DIV/0!</v>
      </c>
    </row>
    <row r="14" spans="1:14" s="297" customFormat="1" ht="18">
      <c r="A14" s="315" t="s">
        <v>199</v>
      </c>
      <c r="B14" s="316" t="s">
        <v>200</v>
      </c>
      <c r="C14" s="321">
        <v>14</v>
      </c>
      <c r="D14" s="322"/>
      <c r="E14" s="324">
        <f>E9+E10-E11-E12-E13</f>
        <v>0</v>
      </c>
      <c r="F14" s="324">
        <f>F9+F10-F11-F12-F13</f>
        <v>0</v>
      </c>
      <c r="G14" s="324">
        <f>G9+G10-G11-G12-G13</f>
        <v>0</v>
      </c>
      <c r="H14" s="324">
        <f>H9+H10-H11-H12-H13</f>
        <v>0</v>
      </c>
      <c r="J14" s="404" t="s">
        <v>2</v>
      </c>
      <c r="K14" s="408" t="e">
        <f>E22/三年资产负债!K29</f>
        <v>#DIV/0!</v>
      </c>
      <c r="L14" s="408" t="e">
        <f>F22/三年资产负债!L29</f>
        <v>#DIV/0!</v>
      </c>
      <c r="M14" s="408" t="e">
        <f>G22/三年资产负债!M29</f>
        <v>#DIV/0!</v>
      </c>
      <c r="N14" s="408" t="e">
        <f>H22/三年资产负债!N29</f>
        <v>#DIV/0!</v>
      </c>
    </row>
    <row r="15" spans="1:14" s="297" customFormat="1" ht="18">
      <c r="A15" s="315" t="s">
        <v>201</v>
      </c>
      <c r="B15" s="320" t="s">
        <v>661</v>
      </c>
      <c r="C15" s="321">
        <v>15</v>
      </c>
      <c r="D15" s="322"/>
      <c r="E15" s="368"/>
      <c r="F15" s="323"/>
      <c r="G15" s="323"/>
      <c r="H15" s="323"/>
    </row>
    <row r="16" spans="1:14" s="297" customFormat="1" ht="18">
      <c r="A16" s="315" t="s">
        <v>202</v>
      </c>
      <c r="B16" s="320" t="s">
        <v>662</v>
      </c>
      <c r="C16" s="321">
        <v>16</v>
      </c>
      <c r="D16" s="322"/>
      <c r="E16" s="323"/>
      <c r="F16" s="323"/>
      <c r="G16" s="323"/>
      <c r="H16" s="323"/>
    </row>
    <row r="17" spans="1:10" s="297" customFormat="1" ht="18">
      <c r="A17" s="315" t="s">
        <v>203</v>
      </c>
      <c r="B17" s="320" t="s">
        <v>663</v>
      </c>
      <c r="C17" s="321">
        <v>17</v>
      </c>
      <c r="D17" s="322"/>
      <c r="E17" s="323"/>
      <c r="F17" s="323"/>
      <c r="G17" s="323"/>
      <c r="H17" s="323"/>
    </row>
    <row r="18" spans="1:10" s="297" customFormat="1" ht="18">
      <c r="A18" s="315" t="s">
        <v>204</v>
      </c>
      <c r="B18" s="320" t="s">
        <v>664</v>
      </c>
      <c r="C18" s="321">
        <v>18</v>
      </c>
      <c r="D18" s="322"/>
      <c r="E18" s="323"/>
      <c r="F18" s="323"/>
      <c r="G18" s="323"/>
      <c r="H18" s="323"/>
      <c r="I18" s="410" t="s">
        <v>778</v>
      </c>
      <c r="J18" s="410">
        <f>ROUND(三年资产负债!G14/10000+I6+I11+I12+I13,0)</f>
        <v>834000</v>
      </c>
    </row>
    <row r="19" spans="1:10" s="297" customFormat="1" ht="18">
      <c r="A19" s="315" t="s">
        <v>205</v>
      </c>
      <c r="B19" s="320" t="s">
        <v>665</v>
      </c>
      <c r="C19" s="321"/>
      <c r="D19" s="322"/>
      <c r="E19" s="323"/>
      <c r="F19" s="323"/>
      <c r="G19" s="323"/>
      <c r="H19" s="323"/>
    </row>
    <row r="20" spans="1:10" s="297" customFormat="1" ht="18">
      <c r="A20" s="315" t="s">
        <v>207</v>
      </c>
      <c r="B20" s="316" t="s">
        <v>206</v>
      </c>
      <c r="C20" s="321">
        <v>20</v>
      </c>
      <c r="D20" s="322"/>
      <c r="E20" s="324">
        <f>E14+E15+E16+E17-E18+E19</f>
        <v>0</v>
      </c>
      <c r="F20" s="324">
        <f>F14+F15+F16+F17-F18+F19</f>
        <v>0</v>
      </c>
      <c r="G20" s="324">
        <f>G14+G15+G16+G17-G18+G19</f>
        <v>0</v>
      </c>
      <c r="H20" s="324">
        <f>H14+H15+H16+H17-H18+H19</f>
        <v>0</v>
      </c>
    </row>
    <row r="21" spans="1:10" s="297" customFormat="1" ht="18">
      <c r="A21" s="315" t="s">
        <v>208</v>
      </c>
      <c r="B21" s="320" t="s">
        <v>666</v>
      </c>
      <c r="C21" s="321">
        <v>2</v>
      </c>
      <c r="D21" s="322"/>
      <c r="E21" s="323"/>
      <c r="F21" s="323"/>
      <c r="G21" s="323"/>
      <c r="H21" s="323"/>
    </row>
    <row r="22" spans="1:10" s="297" customFormat="1" ht="18">
      <c r="A22" s="315" t="s">
        <v>210</v>
      </c>
      <c r="B22" s="316" t="s">
        <v>209</v>
      </c>
      <c r="C22" s="321">
        <v>3</v>
      </c>
      <c r="D22" s="322"/>
      <c r="E22" s="324">
        <f>E20-E21</f>
        <v>0</v>
      </c>
      <c r="F22" s="324">
        <f>F20-F21</f>
        <v>0</v>
      </c>
      <c r="G22" s="324">
        <f>G20-G21</f>
        <v>0</v>
      </c>
      <c r="H22" s="324">
        <f>H20-H21</f>
        <v>0</v>
      </c>
    </row>
    <row r="23" spans="1:10" s="297" customFormat="1" ht="18">
      <c r="A23" s="315" t="s">
        <v>211</v>
      </c>
      <c r="B23" s="320" t="s">
        <v>667</v>
      </c>
      <c r="C23" s="321">
        <v>4</v>
      </c>
      <c r="D23" s="322"/>
      <c r="E23" s="324">
        <v>0</v>
      </c>
      <c r="F23" s="324">
        <v>0</v>
      </c>
      <c r="G23" s="324">
        <v>0</v>
      </c>
      <c r="H23" s="324">
        <v>0</v>
      </c>
    </row>
    <row r="24" spans="1:10" s="297" customFormat="1" ht="18">
      <c r="A24" s="315" t="s">
        <v>212</v>
      </c>
      <c r="B24" s="320" t="s">
        <v>668</v>
      </c>
      <c r="C24" s="321">
        <v>67</v>
      </c>
      <c r="D24" s="322"/>
      <c r="E24" s="323"/>
      <c r="F24" s="323"/>
      <c r="G24" s="323"/>
      <c r="H24" s="323"/>
    </row>
    <row r="25" spans="1:10" s="297" customFormat="1" ht="18">
      <c r="A25" s="315" t="s">
        <v>213</v>
      </c>
      <c r="B25" s="320" t="s">
        <v>669</v>
      </c>
      <c r="C25" s="321">
        <v>8</v>
      </c>
      <c r="D25" s="322"/>
      <c r="E25" s="323"/>
      <c r="F25" s="323"/>
      <c r="G25" s="323"/>
      <c r="H25" s="323"/>
    </row>
    <row r="26" spans="1:10" s="297" customFormat="1" ht="18">
      <c r="A26" s="315" t="s">
        <v>215</v>
      </c>
      <c r="B26" s="316" t="s">
        <v>214</v>
      </c>
      <c r="C26" s="321">
        <v>12</v>
      </c>
      <c r="D26" s="322"/>
      <c r="E26" s="324">
        <f>E22+E23+E24-E25</f>
        <v>0</v>
      </c>
      <c r="F26" s="324">
        <f>F22+F23+F24-F25</f>
        <v>0</v>
      </c>
      <c r="G26" s="324">
        <f>G22+G23+G24-G25</f>
        <v>0</v>
      </c>
      <c r="H26" s="324">
        <f>H22+H23+H24-H25</f>
        <v>0</v>
      </c>
    </row>
    <row r="27" spans="1:10" s="297" customFormat="1" ht="18">
      <c r="A27" s="315" t="s">
        <v>216</v>
      </c>
      <c r="B27" s="320" t="s">
        <v>670</v>
      </c>
      <c r="C27" s="321">
        <v>13</v>
      </c>
      <c r="D27" s="322"/>
      <c r="E27" s="323"/>
      <c r="F27" s="323"/>
      <c r="G27" s="323"/>
      <c r="H27" s="323"/>
    </row>
    <row r="28" spans="1:10" s="297" customFormat="1" ht="18">
      <c r="A28" s="315" t="s">
        <v>217</v>
      </c>
      <c r="B28" s="320" t="s">
        <v>671</v>
      </c>
      <c r="C28" s="321">
        <v>15</v>
      </c>
      <c r="D28" s="322"/>
      <c r="E28" s="323"/>
      <c r="F28" s="323"/>
      <c r="G28" s="323"/>
      <c r="H28" s="323"/>
    </row>
    <row r="29" spans="1:10" s="297" customFormat="1" ht="18">
      <c r="A29" s="315" t="s">
        <v>218</v>
      </c>
      <c r="B29" s="320" t="s">
        <v>672</v>
      </c>
      <c r="C29" s="321"/>
      <c r="D29" s="322"/>
      <c r="E29" s="323"/>
      <c r="F29" s="323"/>
      <c r="G29" s="323"/>
      <c r="H29" s="323"/>
    </row>
    <row r="30" spans="1:10" s="297" customFormat="1" ht="18">
      <c r="A30" s="315" t="s">
        <v>219</v>
      </c>
      <c r="B30" s="320" t="s">
        <v>673</v>
      </c>
      <c r="C30" s="321">
        <v>16</v>
      </c>
      <c r="D30" s="322"/>
      <c r="E30" s="323"/>
      <c r="F30" s="323"/>
      <c r="G30" s="323"/>
      <c r="H30" s="323"/>
    </row>
    <row r="31" spans="1:10" s="297" customFormat="1" ht="18">
      <c r="A31" s="315" t="s">
        <v>221</v>
      </c>
      <c r="B31" s="316" t="s">
        <v>220</v>
      </c>
      <c r="C31" s="321">
        <v>20</v>
      </c>
      <c r="D31" s="347"/>
      <c r="E31" s="324">
        <f>E26+E27-E28-E30</f>
        <v>0</v>
      </c>
      <c r="F31" s="324">
        <f>F26+F27-F28-F30</f>
        <v>0</v>
      </c>
      <c r="G31" s="324">
        <f>G26+G27-G28-G30</f>
        <v>0</v>
      </c>
      <c r="H31" s="324">
        <f>H26+H27-H28-H30</f>
        <v>0</v>
      </c>
    </row>
    <row r="32" spans="1:10" s="297" customFormat="1" ht="18">
      <c r="A32" s="315" t="s">
        <v>629</v>
      </c>
      <c r="B32" s="325" t="s">
        <v>674</v>
      </c>
      <c r="C32" s="326"/>
      <c r="D32" s="327"/>
      <c r="E32" s="328" t="e">
        <f>E20/E5</f>
        <v>#DIV/0!</v>
      </c>
      <c r="F32" s="328" t="e">
        <f>F20/F5</f>
        <v>#DIV/0!</v>
      </c>
      <c r="G32" s="328" t="e">
        <f>G20/G5</f>
        <v>#DIV/0!</v>
      </c>
      <c r="H32" s="328" t="e">
        <f>H20/#REF!</f>
        <v>#REF!</v>
      </c>
    </row>
    <row r="33" spans="3:8" s="297" customFormat="1" ht="18">
      <c r="C33" s="329"/>
      <c r="E33" s="330"/>
      <c r="F33" s="330" t="s">
        <v>685</v>
      </c>
      <c r="G33" s="330"/>
      <c r="H33" s="330"/>
    </row>
  </sheetData>
  <customSheetViews>
    <customSheetView guid="{33FE80C0-0EDF-11D4-8B3D-001060002050}" scale="75" showPageBreaks="1" showRuler="0">
      <selection activeCell="E3" sqref="E3"/>
      <pageMargins left="0.75" right="0.75" top="1" bottom="1" header="0.5" footer="0.5"/>
      <pageSetup paperSize="9" scale="95" orientation="portrait" horizontalDpi="360" verticalDpi="360" copies="0" r:id="rId1"/>
      <headerFooter alignWithMargins="0">
        <oddHeader>&amp;A</oddHeader>
        <oddFooter>第&amp;P页</oddFooter>
      </headerFooter>
    </customSheetView>
    <customSheetView guid="{62777320-11E7-11D4-8B3D-00E098726125}" scale="75" showRuler="0">
      <selection activeCell="E3" sqref="E3"/>
      <pageMargins left="0.75" right="0.75" top="1" bottom="1" header="0.5" footer="0.5"/>
      <pageSetup paperSize="9" scale="95" orientation="portrait" horizontalDpi="360" verticalDpi="360" copies="0" r:id="rId2"/>
      <headerFooter alignWithMargins="0">
        <oddHeader>&amp;A</oddHeader>
        <oddFooter>第&amp;P页</oddFooter>
      </headerFooter>
    </customSheetView>
  </customSheetViews>
  <mergeCells count="1">
    <mergeCell ref="D3:E3"/>
  </mergeCells>
  <phoneticPr fontId="5" type="noConversion"/>
  <pageMargins left="0.75" right="0.75" top="1" bottom="1" header="0.5" footer="0.5"/>
  <pageSetup paperSize="9" scale="62" orientation="portrait" horizontalDpi="360" verticalDpi="360" r:id="rId3"/>
  <headerFooter alignWithMargins="0">
    <oddHeader>&amp;A</oddHeader>
    <oddFooter>第&amp;P页</oddFooter>
  </headerFooter>
  <colBreaks count="1" manualBreakCount="1">
    <brk id="8" max="1048575" man="1"/>
  </col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40"/>
  <sheetViews>
    <sheetView zoomScale="115" zoomScaleNormal="100" zoomScaleSheetLayoutView="115" workbookViewId="0" xr3:uid="{85D5C41F-068E-5C55-9968-509E7C2A5619}">
      <selection activeCell="C29" sqref="C29:D29"/>
    </sheetView>
  </sheetViews>
  <sheetFormatPr defaultRowHeight="14.25"/>
  <cols>
    <col min="1" max="1" width="2" style="111" customWidth="1"/>
    <col min="2" max="2" width="41.375" style="111" customWidth="1"/>
    <col min="3" max="3" width="14.875" style="111" customWidth="1"/>
    <col min="4" max="4" width="16" style="111" customWidth="1"/>
    <col min="5" max="5" width="16.625" style="111" customWidth="1"/>
    <col min="6" max="6" width="6.125" customWidth="1"/>
    <col min="7" max="7" width="4.125" style="111" customWidth="1"/>
    <col min="8" max="8" width="7" style="111" customWidth="1"/>
    <col min="9" max="9" width="14.125" style="111" bestFit="1" customWidth="1"/>
    <col min="10" max="10" width="8.625" style="111" customWidth="1"/>
    <col min="11" max="11" width="13" style="111" bestFit="1" customWidth="1"/>
    <col min="12" max="12" width="9.125" style="111" bestFit="1" customWidth="1"/>
    <col min="13" max="13" width="14" style="111" bestFit="1" customWidth="1"/>
    <col min="14" max="14" width="7" style="111" customWidth="1"/>
    <col min="15" max="16384" width="9" style="111"/>
  </cols>
  <sheetData>
    <row r="1" spans="2:14" ht="18.75">
      <c r="B1" s="770" t="s">
        <v>329</v>
      </c>
      <c r="C1" s="770"/>
      <c r="D1" s="770"/>
      <c r="E1" s="770"/>
    </row>
    <row r="2" spans="2:14">
      <c r="B2" s="112" t="str">
        <f>基础数据!C4</f>
        <v>安徽省芜湖市芜湖县荆江路以北 芜湖中路以东 世纪大道以西</v>
      </c>
      <c r="C2" s="113"/>
      <c r="D2" s="113"/>
      <c r="E2" s="111" t="s">
        <v>27</v>
      </c>
    </row>
    <row r="3" spans="2:14" ht="15">
      <c r="B3" s="114" t="s">
        <v>349</v>
      </c>
      <c r="C3" s="115" t="str">
        <f>三年损益!D3</f>
        <v xml:space="preserve">2013年 </v>
      </c>
      <c r="D3" s="116" t="str">
        <f>三年损益!F3</f>
        <v>2014年</v>
      </c>
      <c r="E3" s="115" t="str">
        <f>三年资产负债!F3</f>
        <v>2015年</v>
      </c>
      <c r="G3" s="773" t="s">
        <v>637</v>
      </c>
      <c r="H3" s="774"/>
      <c r="I3" s="771" t="str">
        <f>C3</f>
        <v xml:space="preserve">2013年 </v>
      </c>
      <c r="J3" s="772"/>
      <c r="K3" s="771" t="str">
        <f>D3</f>
        <v>2014年</v>
      </c>
      <c r="L3" s="772"/>
      <c r="M3" s="771" t="str">
        <f>E3</f>
        <v>2015年</v>
      </c>
      <c r="N3" s="772"/>
    </row>
    <row r="4" spans="2:14" ht="40.5">
      <c r="B4" s="46" t="s">
        <v>322</v>
      </c>
      <c r="C4" s="117"/>
      <c r="D4" s="118"/>
      <c r="E4" s="117"/>
      <c r="G4" s="773" t="s">
        <v>623</v>
      </c>
      <c r="H4" s="774"/>
      <c r="I4" s="261" t="s">
        <v>692</v>
      </c>
      <c r="J4" s="262" t="s">
        <v>639</v>
      </c>
      <c r="K4" s="261" t="s">
        <v>638</v>
      </c>
      <c r="L4" s="261" t="s">
        <v>639</v>
      </c>
      <c r="M4" s="261" t="s">
        <v>692</v>
      </c>
      <c r="N4" s="261" t="s">
        <v>639</v>
      </c>
    </row>
    <row r="5" spans="2:14" ht="15.75" customHeight="1">
      <c r="B5" s="57" t="s">
        <v>330</v>
      </c>
      <c r="C5" s="222"/>
      <c r="D5" s="222"/>
      <c r="E5" s="222"/>
      <c r="G5" s="767" t="s">
        <v>32</v>
      </c>
      <c r="H5" s="148" t="s">
        <v>635</v>
      </c>
      <c r="I5" s="344">
        <v>0</v>
      </c>
      <c r="J5" s="262" t="e">
        <f>I5/$I$8</f>
        <v>#DIV/0!</v>
      </c>
      <c r="K5" s="344">
        <v>0</v>
      </c>
      <c r="L5" s="262" t="e">
        <f>K5/$K$8</f>
        <v>#DIV/0!</v>
      </c>
      <c r="M5" s="344"/>
      <c r="N5" s="262" t="e">
        <f>M5/$M$8</f>
        <v>#DIV/0!</v>
      </c>
    </row>
    <row r="6" spans="2:14" ht="15">
      <c r="B6" s="57" t="s">
        <v>331</v>
      </c>
      <c r="C6" s="222"/>
      <c r="D6" s="222"/>
      <c r="E6" s="222"/>
      <c r="G6" s="768"/>
      <c r="H6" s="148" t="s">
        <v>630</v>
      </c>
      <c r="I6" s="344">
        <v>0</v>
      </c>
      <c r="J6" s="262" t="e">
        <f>I6/$I$8</f>
        <v>#DIV/0!</v>
      </c>
      <c r="K6" s="344">
        <v>0</v>
      </c>
      <c r="L6" s="262" t="e">
        <f>K6/$K$8</f>
        <v>#DIV/0!</v>
      </c>
      <c r="M6" s="344"/>
      <c r="N6" s="262" t="e">
        <f>M6/$M$8</f>
        <v>#DIV/0!</v>
      </c>
    </row>
    <row r="7" spans="2:14" ht="15">
      <c r="B7" s="57" t="s">
        <v>332</v>
      </c>
      <c r="C7" s="222"/>
      <c r="D7" s="222"/>
      <c r="E7" s="222"/>
      <c r="G7" s="768"/>
      <c r="H7" s="148" t="s">
        <v>631</v>
      </c>
      <c r="I7" s="344">
        <v>0</v>
      </c>
      <c r="J7" s="262" t="e">
        <f>I7/$I$8</f>
        <v>#DIV/0!</v>
      </c>
      <c r="K7" s="344">
        <v>0</v>
      </c>
      <c r="L7" s="262" t="e">
        <f>K7/$K$8</f>
        <v>#DIV/0!</v>
      </c>
      <c r="M7" s="344"/>
      <c r="N7" s="262" t="e">
        <f>M7/$M$8</f>
        <v>#DIV/0!</v>
      </c>
    </row>
    <row r="8" spans="2:14" ht="15">
      <c r="B8" s="57" t="s">
        <v>333</v>
      </c>
      <c r="C8" s="222"/>
      <c r="D8" s="222"/>
      <c r="E8" s="222"/>
      <c r="G8" s="769"/>
      <c r="H8" s="148" t="s">
        <v>636</v>
      </c>
      <c r="I8" s="344">
        <f>SUM(I5:I7)</f>
        <v>0</v>
      </c>
      <c r="J8" s="262" t="e">
        <f>I8/$I$8</f>
        <v>#DIV/0!</v>
      </c>
      <c r="K8" s="344">
        <f>SUM(K5:K7)</f>
        <v>0</v>
      </c>
      <c r="L8" s="262" t="e">
        <f>K8/$K$8</f>
        <v>#DIV/0!</v>
      </c>
      <c r="M8" s="344"/>
      <c r="N8" s="262" t="e">
        <f>M8/$M$8</f>
        <v>#DIV/0!</v>
      </c>
    </row>
    <row r="9" spans="2:14" ht="14.25" customHeight="1">
      <c r="B9" s="67" t="s">
        <v>327</v>
      </c>
      <c r="C9" s="224">
        <f>SUM(C5,C6,C7,C8)</f>
        <v>0</v>
      </c>
      <c r="D9" s="224">
        <f>SUM(D5,D6,D7,D8)</f>
        <v>0</v>
      </c>
      <c r="E9" s="224">
        <f>SUM(E5,E6,E7,E8)</f>
        <v>0</v>
      </c>
      <c r="G9" s="767" t="s">
        <v>34</v>
      </c>
      <c r="H9" s="148" t="s">
        <v>635</v>
      </c>
      <c r="I9" s="344">
        <v>0</v>
      </c>
      <c r="J9" s="262" t="e">
        <f>I9/$I$12</f>
        <v>#DIV/0!</v>
      </c>
      <c r="K9" s="344">
        <v>0</v>
      </c>
      <c r="L9" s="262" t="e">
        <f>K9/$K$12</f>
        <v>#DIV/0!</v>
      </c>
      <c r="M9" s="344"/>
      <c r="N9" s="262" t="e">
        <f>M9/$M$12</f>
        <v>#DIV/0!</v>
      </c>
    </row>
    <row r="10" spans="2:14" ht="15">
      <c r="B10" s="57" t="s">
        <v>334</v>
      </c>
      <c r="C10" s="222"/>
      <c r="D10" s="222"/>
      <c r="E10" s="222"/>
      <c r="G10" s="768"/>
      <c r="H10" s="148" t="s">
        <v>630</v>
      </c>
      <c r="I10" s="344">
        <v>0</v>
      </c>
      <c r="J10" s="262" t="e">
        <f>I10/$I$12</f>
        <v>#DIV/0!</v>
      </c>
      <c r="K10" s="344">
        <v>0</v>
      </c>
      <c r="L10" s="262" t="e">
        <f>K10/$K$12</f>
        <v>#DIV/0!</v>
      </c>
      <c r="M10" s="344"/>
      <c r="N10" s="262" t="e">
        <f>M10/$M$12</f>
        <v>#DIV/0!</v>
      </c>
    </row>
    <row r="11" spans="2:14" ht="15">
      <c r="B11" s="57" t="s">
        <v>335</v>
      </c>
      <c r="C11" s="222"/>
      <c r="D11" s="222"/>
      <c r="E11" s="222"/>
      <c r="G11" s="768"/>
      <c r="H11" s="148" t="s">
        <v>631</v>
      </c>
      <c r="I11" s="344">
        <v>0</v>
      </c>
      <c r="J11" s="262" t="e">
        <f>I11/$I$12</f>
        <v>#DIV/0!</v>
      </c>
      <c r="K11" s="344">
        <v>0</v>
      </c>
      <c r="L11" s="262" t="e">
        <f>K11/$K$12</f>
        <v>#DIV/0!</v>
      </c>
      <c r="M11" s="344"/>
      <c r="N11" s="262" t="e">
        <f>M11/$M$12</f>
        <v>#DIV/0!</v>
      </c>
    </row>
    <row r="12" spans="2:14" ht="15">
      <c r="B12" s="57" t="s">
        <v>336</v>
      </c>
      <c r="C12" s="222"/>
      <c r="D12" s="222"/>
      <c r="E12" s="222"/>
      <c r="G12" s="769"/>
      <c r="H12" s="148" t="s">
        <v>636</v>
      </c>
      <c r="I12" s="344">
        <f>SUM(I9:I11)</f>
        <v>0</v>
      </c>
      <c r="J12" s="262" t="e">
        <f>I12/$I$12</f>
        <v>#DIV/0!</v>
      </c>
      <c r="K12" s="344">
        <f>SUM(K9:K11)</f>
        <v>0</v>
      </c>
      <c r="L12" s="262" t="e">
        <f>K12/$K$12</f>
        <v>#DIV/0!</v>
      </c>
      <c r="M12" s="344">
        <f>SUM(M9:M11)</f>
        <v>0</v>
      </c>
      <c r="N12" s="262" t="e">
        <f>M12/$M$12</f>
        <v>#DIV/0!</v>
      </c>
    </row>
    <row r="13" spans="2:14" ht="15.75" customHeight="1">
      <c r="B13" s="57" t="s">
        <v>337</v>
      </c>
      <c r="C13" s="222"/>
      <c r="D13" s="222"/>
      <c r="E13" s="222"/>
      <c r="G13" s="767" t="s">
        <v>640</v>
      </c>
      <c r="H13" s="148" t="s">
        <v>635</v>
      </c>
      <c r="I13" s="344">
        <f>I5-I9</f>
        <v>0</v>
      </c>
      <c r="J13" s="263" t="e">
        <f>I5/I9</f>
        <v>#DIV/0!</v>
      </c>
      <c r="K13" s="344">
        <f>K5-K9</f>
        <v>0</v>
      </c>
      <c r="L13" s="263" t="e">
        <f>K5/K9</f>
        <v>#DIV/0!</v>
      </c>
      <c r="M13" s="344">
        <f>M5-M9</f>
        <v>0</v>
      </c>
      <c r="N13" s="263" t="e">
        <f>M5/M9</f>
        <v>#DIV/0!</v>
      </c>
    </row>
    <row r="14" spans="2:14">
      <c r="B14" s="67" t="s">
        <v>643</v>
      </c>
      <c r="C14" s="222"/>
      <c r="D14" s="222"/>
      <c r="E14" s="222"/>
      <c r="G14" s="768"/>
      <c r="H14" s="148" t="s">
        <v>630</v>
      </c>
      <c r="I14" s="344">
        <f>I6-I10</f>
        <v>0</v>
      </c>
      <c r="J14" s="263" t="e">
        <f>I6/I10</f>
        <v>#DIV/0!</v>
      </c>
      <c r="K14" s="344">
        <f>K6-K10</f>
        <v>0</v>
      </c>
      <c r="L14" s="263" t="e">
        <f>K6/K10</f>
        <v>#DIV/0!</v>
      </c>
      <c r="M14" s="344">
        <f>M6-M10</f>
        <v>0</v>
      </c>
      <c r="N14" s="263" t="e">
        <f>M6/M10</f>
        <v>#DIV/0!</v>
      </c>
    </row>
    <row r="15" spans="2:14" ht="15.75" customHeight="1">
      <c r="B15" s="57" t="s">
        <v>338</v>
      </c>
      <c r="C15" s="222"/>
      <c r="D15" s="222"/>
      <c r="E15" s="222"/>
      <c r="G15" s="768"/>
      <c r="H15" s="148" t="s">
        <v>631</v>
      </c>
      <c r="I15" s="344">
        <f>I7-I11</f>
        <v>0</v>
      </c>
      <c r="J15" s="263" t="e">
        <f>I7/I11</f>
        <v>#DIV/0!</v>
      </c>
      <c r="K15" s="344">
        <f>K7-K11</f>
        <v>0</v>
      </c>
      <c r="L15" s="263" t="e">
        <f>K7/K11</f>
        <v>#DIV/0!</v>
      </c>
      <c r="M15" s="344">
        <f>M7-M11</f>
        <v>0</v>
      </c>
      <c r="N15" s="263" t="e">
        <f>M7/M11</f>
        <v>#DIV/0!</v>
      </c>
    </row>
    <row r="16" spans="2:14">
      <c r="B16" s="67" t="s">
        <v>325</v>
      </c>
      <c r="C16" s="224">
        <f>SUM(C10:C15)</f>
        <v>0</v>
      </c>
      <c r="D16" s="224">
        <f>SUM(D10:D15)</f>
        <v>0</v>
      </c>
      <c r="E16" s="224">
        <f>SUM(E10:E15)</f>
        <v>0</v>
      </c>
      <c r="G16" s="768"/>
      <c r="H16" s="148" t="s">
        <v>641</v>
      </c>
      <c r="I16" s="344">
        <f>ROUND(C38/10000,2)</f>
        <v>0</v>
      </c>
      <c r="J16" s="262"/>
      <c r="K16" s="344">
        <f>ROUND(D38/10000,0)</f>
        <v>0</v>
      </c>
      <c r="L16" s="264"/>
      <c r="M16" s="344">
        <f>ROUND(E38/10000,0)</f>
        <v>0</v>
      </c>
      <c r="N16" s="261"/>
    </row>
    <row r="17" spans="2:14" ht="15">
      <c r="B17" s="57" t="s">
        <v>339</v>
      </c>
      <c r="C17" s="224">
        <f>C9-C16</f>
        <v>0</v>
      </c>
      <c r="D17" s="224">
        <f>D9-D16</f>
        <v>0</v>
      </c>
      <c r="E17" s="224">
        <f>E9-E16</f>
        <v>0</v>
      </c>
      <c r="G17" s="769"/>
      <c r="H17" s="148" t="s">
        <v>636</v>
      </c>
      <c r="I17" s="344">
        <f>SUM(I13:I16)</f>
        <v>0</v>
      </c>
      <c r="J17" s="262"/>
      <c r="K17" s="344">
        <f>SUM(K13:K16)</f>
        <v>0</v>
      </c>
      <c r="L17" s="261"/>
      <c r="M17" s="344">
        <f>SUM(M13:M16)</f>
        <v>0</v>
      </c>
      <c r="N17" s="261"/>
    </row>
    <row r="18" spans="2:14">
      <c r="B18" s="67" t="s">
        <v>323</v>
      </c>
      <c r="C18" s="224"/>
      <c r="D18" s="225"/>
      <c r="E18" s="224"/>
    </row>
    <row r="19" spans="2:14" ht="15">
      <c r="B19" s="57" t="s">
        <v>505</v>
      </c>
      <c r="C19" s="222"/>
      <c r="D19" s="223"/>
      <c r="E19" s="222"/>
    </row>
    <row r="20" spans="2:14" ht="15">
      <c r="B20" s="57" t="s">
        <v>506</v>
      </c>
      <c r="C20" s="222"/>
      <c r="D20" s="222"/>
      <c r="E20" s="222"/>
    </row>
    <row r="21" spans="2:14" ht="15">
      <c r="B21" s="57" t="s">
        <v>341</v>
      </c>
      <c r="C21" s="222"/>
      <c r="D21" s="223"/>
      <c r="E21" s="222"/>
    </row>
    <row r="22" spans="2:14" ht="15">
      <c r="B22" s="67" t="s">
        <v>324</v>
      </c>
      <c r="C22" s="224">
        <f>SUM(C19:C21)</f>
        <v>0</v>
      </c>
      <c r="D22" s="224">
        <f>SUM(D19:D21)</f>
        <v>0</v>
      </c>
      <c r="E22" s="224">
        <f>SUM(E19:E21)</f>
        <v>0</v>
      </c>
    </row>
    <row r="23" spans="2:14" ht="15">
      <c r="B23" s="57" t="s">
        <v>342</v>
      </c>
      <c r="C23" s="222"/>
      <c r="D23" s="222"/>
      <c r="E23" s="222"/>
    </row>
    <row r="24" spans="2:14" ht="15">
      <c r="B24" s="57" t="s">
        <v>774</v>
      </c>
      <c r="C24" s="223"/>
      <c r="D24" s="222"/>
      <c r="E24" s="222"/>
    </row>
    <row r="25" spans="2:14" ht="15">
      <c r="B25" s="57" t="s">
        <v>343</v>
      </c>
      <c r="C25" s="222"/>
      <c r="D25" s="222"/>
      <c r="E25" s="222"/>
    </row>
    <row r="26" spans="2:14">
      <c r="B26" s="67" t="s">
        <v>325</v>
      </c>
      <c r="C26" s="224">
        <f>SUM(C23:C25)</f>
        <v>0</v>
      </c>
      <c r="D26" s="224">
        <f>SUM(D23:D25)</f>
        <v>0</v>
      </c>
      <c r="E26" s="224">
        <f>SUM(E23:E25)</f>
        <v>0</v>
      </c>
    </row>
    <row r="27" spans="2:14" ht="15">
      <c r="B27" s="57" t="s">
        <v>344</v>
      </c>
      <c r="C27" s="224">
        <f>C22-C26</f>
        <v>0</v>
      </c>
      <c r="D27" s="224">
        <f>D22-D26</f>
        <v>0</v>
      </c>
      <c r="E27" s="224">
        <f>E22-E26</f>
        <v>0</v>
      </c>
    </row>
    <row r="28" spans="2:14">
      <c r="B28" s="67" t="s">
        <v>326</v>
      </c>
      <c r="C28" s="224"/>
      <c r="D28" s="225"/>
      <c r="E28" s="224"/>
    </row>
    <row r="29" spans="2:14" ht="15">
      <c r="B29" s="57" t="s">
        <v>340</v>
      </c>
      <c r="C29" s="222"/>
      <c r="D29" s="222"/>
      <c r="E29" s="222"/>
    </row>
    <row r="30" spans="2:14" ht="15">
      <c r="B30" s="57" t="s">
        <v>691</v>
      </c>
      <c r="C30" s="223"/>
      <c r="D30" s="222"/>
      <c r="E30" s="222"/>
    </row>
    <row r="31" spans="2:14" ht="15">
      <c r="B31" s="57" t="s">
        <v>699</v>
      </c>
      <c r="C31" s="331"/>
      <c r="D31" s="222"/>
      <c r="E31" s="222"/>
    </row>
    <row r="32" spans="2:14">
      <c r="B32" s="67" t="s">
        <v>327</v>
      </c>
      <c r="C32" s="224">
        <f>SUM(C29:C31)</f>
        <v>0</v>
      </c>
      <c r="D32" s="224">
        <f>SUM(D29:D31)</f>
        <v>0</v>
      </c>
      <c r="E32" s="224">
        <f>SUM(E29:E31)</f>
        <v>0</v>
      </c>
    </row>
    <row r="33" spans="2:5" ht="15">
      <c r="B33" s="57" t="s">
        <v>345</v>
      </c>
      <c r="C33" s="222"/>
      <c r="D33" s="222"/>
      <c r="E33" s="222"/>
    </row>
    <row r="34" spans="2:5" ht="15">
      <c r="B34" s="57" t="s">
        <v>700</v>
      </c>
      <c r="C34" s="222"/>
      <c r="D34" s="223"/>
      <c r="E34" s="222"/>
    </row>
    <row r="35" spans="2:5" ht="15">
      <c r="B35" s="57" t="s">
        <v>633</v>
      </c>
      <c r="C35" s="222"/>
      <c r="D35" s="223"/>
      <c r="E35" s="222"/>
    </row>
    <row r="36" spans="2:5">
      <c r="B36" s="67" t="s">
        <v>325</v>
      </c>
      <c r="C36" s="224">
        <f>SUM(C33:C35)</f>
        <v>0</v>
      </c>
      <c r="D36" s="224">
        <f>SUM(D33:D35)</f>
        <v>0</v>
      </c>
      <c r="E36" s="224">
        <f>SUM(E33:E35)</f>
        <v>0</v>
      </c>
    </row>
    <row r="37" spans="2:5" ht="15">
      <c r="B37" s="57" t="s">
        <v>346</v>
      </c>
      <c r="C37" s="224">
        <f>C32-C36</f>
        <v>0</v>
      </c>
      <c r="D37" s="224">
        <f>D32-D36</f>
        <v>0</v>
      </c>
      <c r="E37" s="224">
        <f>E32-E36</f>
        <v>0</v>
      </c>
    </row>
    <row r="38" spans="2:5">
      <c r="B38" s="67" t="s">
        <v>164</v>
      </c>
      <c r="C38" s="222"/>
      <c r="D38" s="222"/>
      <c r="E38" s="222"/>
    </row>
    <row r="39" spans="2:5">
      <c r="B39" s="67" t="s">
        <v>328</v>
      </c>
      <c r="C39" s="222">
        <f>C17+C27+C37+C38</f>
        <v>0</v>
      </c>
      <c r="D39" s="222">
        <f>D17+D27+D37+D38</f>
        <v>0</v>
      </c>
      <c r="E39" s="222">
        <f>E17+E27+E37+E38</f>
        <v>0</v>
      </c>
    </row>
    <row r="40" spans="2:5">
      <c r="B40" s="48" t="s">
        <v>347</v>
      </c>
      <c r="C40" s="224">
        <f>SUM(C17,C27,C37)</f>
        <v>0</v>
      </c>
      <c r="D40" s="224">
        <f>SUM(D17,D27,D37)</f>
        <v>0</v>
      </c>
      <c r="E40" s="224">
        <f>SUM(E17,E27,E37)</f>
        <v>0</v>
      </c>
    </row>
  </sheetData>
  <customSheetViews>
    <customSheetView guid="{33FE80C0-0EDF-11D4-8B3D-001060002050}" showPageBreaks="1" showRuler="0" topLeftCell="A24">
      <selection activeCell="E37" sqref="A1:E37"/>
      <pageMargins left="0.75" right="0.75" top="1" bottom="1" header="0.5" footer="0.5"/>
      <pageSetup paperSize="9" orientation="portrait" horizontalDpi="360" verticalDpi="360" copies="0" r:id="rId1"/>
      <headerFooter alignWithMargins="0"/>
    </customSheetView>
    <customSheetView guid="{62777320-11E7-11D4-8B3D-00E098726125}" showRuler="0" topLeftCell="A24">
      <selection activeCell="E37" sqref="A1:E37"/>
      <pageMargins left="0.75" right="0.75" top="1" bottom="1" header="0.5" footer="0.5"/>
      <pageSetup paperSize="9" orientation="portrait" horizontalDpi="360" verticalDpi="360" copies="0" r:id="rId2"/>
      <headerFooter alignWithMargins="0"/>
    </customSheetView>
  </customSheetViews>
  <mergeCells count="9">
    <mergeCell ref="G13:G17"/>
    <mergeCell ref="B1:E1"/>
    <mergeCell ref="M3:N3"/>
    <mergeCell ref="G4:H4"/>
    <mergeCell ref="G5:G8"/>
    <mergeCell ref="G9:G12"/>
    <mergeCell ref="G3:H3"/>
    <mergeCell ref="I3:J3"/>
    <mergeCell ref="K3:L3"/>
  </mergeCells>
  <phoneticPr fontId="2" type="noConversion"/>
  <pageMargins left="0.75" right="0.75" top="1" bottom="1" header="0.5" footer="0.5"/>
  <pageSetup paperSize="9" scale="83" orientation="portrait" horizontalDpi="360" verticalDpi="360" r:id="rId3"/>
  <headerFooter alignWithMargins="0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6"/>
  <sheetViews>
    <sheetView zoomScale="115" zoomScaleNormal="100" zoomScaleSheetLayoutView="115" workbookViewId="0" xr3:uid="{44B22561-5205-5C8A-B808-2C70100D228F}">
      <selection activeCell="G27" sqref="G27:H27"/>
    </sheetView>
  </sheetViews>
  <sheetFormatPr defaultRowHeight="13.5"/>
  <cols>
    <col min="1" max="1" width="1.625" style="120" customWidth="1"/>
    <col min="2" max="2" width="7.25" style="120" customWidth="1"/>
    <col min="3" max="3" width="8.625" style="120" customWidth="1"/>
    <col min="4" max="4" width="9.875" style="120" customWidth="1"/>
    <col min="5" max="5" width="11" style="120" customWidth="1"/>
    <col min="6" max="6" width="12.125" style="120" customWidth="1"/>
    <col min="7" max="7" width="11.75" style="120" customWidth="1"/>
    <col min="8" max="8" width="7.75" style="120" customWidth="1"/>
    <col min="9" max="9" width="8.25" style="120" customWidth="1"/>
    <col min="10" max="11" width="11.125" style="134" customWidth="1"/>
    <col min="12" max="12" width="11.75" style="134" customWidth="1"/>
    <col min="13" max="13" width="11.625" style="120" customWidth="1"/>
    <col min="14" max="14" width="11.125" style="120" customWidth="1"/>
    <col min="15" max="15" width="10.75" style="120" customWidth="1"/>
    <col min="16" max="16384" width="9" style="120"/>
  </cols>
  <sheetData>
    <row r="1" spans="1:31" ht="22.5" customHeight="1">
      <c r="A1" s="75"/>
      <c r="B1" s="753" t="s">
        <v>739</v>
      </c>
      <c r="C1" s="754"/>
      <c r="D1" s="754"/>
      <c r="E1" s="754"/>
      <c r="F1" s="754"/>
      <c r="G1" s="754"/>
      <c r="H1" s="754"/>
      <c r="I1" s="754"/>
      <c r="J1" s="754"/>
      <c r="K1" s="754"/>
      <c r="L1" s="754"/>
    </row>
    <row r="2" spans="1:31" ht="43.5" customHeight="1">
      <c r="A2" s="75"/>
      <c r="B2" s="827" t="s">
        <v>585</v>
      </c>
      <c r="C2" s="827"/>
      <c r="D2" s="825" t="str">
        <f>基础数据!C4</f>
        <v>安徽省芜湖市芜湖县荆江路以北 芜湖中路以东 世纪大道以西</v>
      </c>
      <c r="E2" s="825"/>
      <c r="F2" s="825"/>
      <c r="G2" s="825"/>
      <c r="H2" s="825"/>
      <c r="I2" s="825"/>
      <c r="J2" s="121"/>
      <c r="K2" s="73" t="s">
        <v>513</v>
      </c>
      <c r="L2" s="73" t="s">
        <v>632</v>
      </c>
      <c r="P2" s="819"/>
      <c r="Q2" s="820"/>
      <c r="R2" s="820"/>
      <c r="S2" s="820"/>
      <c r="T2" s="820"/>
      <c r="U2" s="820"/>
      <c r="V2" s="821"/>
      <c r="W2" s="821"/>
      <c r="X2" s="821"/>
      <c r="Y2" s="821"/>
      <c r="Z2" s="821"/>
      <c r="AA2" s="821"/>
      <c r="AB2" s="821"/>
      <c r="AC2" s="821"/>
      <c r="AD2" s="821"/>
      <c r="AE2" s="821"/>
    </row>
    <row r="3" spans="1:31" ht="16.5" customHeight="1">
      <c r="A3" s="75"/>
      <c r="B3" s="828" t="s">
        <v>703</v>
      </c>
      <c r="C3" s="122" t="s">
        <v>511</v>
      </c>
      <c r="D3" s="829"/>
      <c r="E3" s="122" t="s">
        <v>522</v>
      </c>
      <c r="F3" s="822"/>
      <c r="G3" s="795" t="s">
        <v>523</v>
      </c>
      <c r="H3" s="824"/>
      <c r="I3" s="824"/>
      <c r="J3" s="795" t="s">
        <v>524</v>
      </c>
      <c r="K3" s="795"/>
      <c r="L3" s="824"/>
      <c r="M3" s="124"/>
      <c r="N3" s="124"/>
      <c r="O3" s="124"/>
      <c r="P3" s="124"/>
    </row>
    <row r="4" spans="1:31" ht="15" customHeight="1">
      <c r="A4" s="75"/>
      <c r="B4" s="828"/>
      <c r="C4" s="125" t="s">
        <v>525</v>
      </c>
      <c r="D4" s="829"/>
      <c r="E4" s="125" t="s">
        <v>526</v>
      </c>
      <c r="F4" s="822"/>
      <c r="G4" s="795"/>
      <c r="H4" s="824"/>
      <c r="I4" s="824"/>
      <c r="J4" s="795"/>
      <c r="K4" s="795"/>
      <c r="L4" s="824"/>
      <c r="M4" s="126"/>
      <c r="N4" s="124"/>
      <c r="O4" s="124"/>
      <c r="P4" s="124"/>
    </row>
    <row r="5" spans="1:31" ht="15.75" customHeight="1">
      <c r="A5" s="75"/>
      <c r="B5" s="795"/>
      <c r="C5" s="799" t="s">
        <v>512</v>
      </c>
      <c r="D5" s="798"/>
      <c r="E5" s="823" t="s">
        <v>527</v>
      </c>
      <c r="F5" s="787"/>
      <c r="G5" s="787"/>
      <c r="H5" s="798" t="s">
        <v>512</v>
      </c>
      <c r="I5" s="798"/>
      <c r="J5" s="787" t="s">
        <v>527</v>
      </c>
      <c r="K5" s="787"/>
      <c r="L5" s="787"/>
      <c r="M5" s="127"/>
      <c r="Q5" s="128"/>
      <c r="R5" s="128"/>
    </row>
    <row r="6" spans="1:31" ht="16.5" customHeight="1">
      <c r="A6" s="75"/>
      <c r="B6" s="795"/>
      <c r="C6" s="798"/>
      <c r="D6" s="798"/>
      <c r="E6" s="359" t="str">
        <f>三年资产负债!C3</f>
        <v xml:space="preserve">2013年 </v>
      </c>
      <c r="F6" s="359" t="str">
        <f>三年资产负债!E3</f>
        <v>2014年</v>
      </c>
      <c r="G6" s="359" t="str">
        <f>三年资产负债!F3</f>
        <v>2015年</v>
      </c>
      <c r="H6" s="798"/>
      <c r="I6" s="798"/>
      <c r="J6" s="359" t="str">
        <f>三年资产负债!C3</f>
        <v xml:space="preserve">2013年 </v>
      </c>
      <c r="K6" s="359" t="str">
        <f>三年资产负债!E3</f>
        <v>2014年</v>
      </c>
      <c r="L6" s="359" t="str">
        <f>三年资产负债!F3</f>
        <v>2015年</v>
      </c>
      <c r="M6" s="129"/>
      <c r="N6" s="130"/>
      <c r="O6" s="130"/>
      <c r="P6" s="128"/>
      <c r="Q6" s="128"/>
      <c r="R6" s="128"/>
    </row>
    <row r="7" spans="1:31">
      <c r="A7" s="75"/>
      <c r="B7" s="795"/>
      <c r="C7" s="794" t="s">
        <v>528</v>
      </c>
      <c r="D7" s="794"/>
      <c r="E7" s="82">
        <f>三年资产负债!D21</f>
        <v>0</v>
      </c>
      <c r="F7" s="82">
        <f>三年资产负债!E21</f>
        <v>0</v>
      </c>
      <c r="G7" s="82">
        <f>三年资产负债!F21</f>
        <v>0</v>
      </c>
      <c r="H7" s="784" t="s">
        <v>510</v>
      </c>
      <c r="I7" s="784"/>
      <c r="J7" s="82">
        <f>三年资产负债!K20</f>
        <v>0</v>
      </c>
      <c r="K7" s="82">
        <f>三年资产负债!L20</f>
        <v>0</v>
      </c>
      <c r="L7" s="82">
        <f>三年资产负债!M20</f>
        <v>0</v>
      </c>
      <c r="M7" s="131"/>
      <c r="N7" s="128"/>
      <c r="O7" s="128"/>
      <c r="P7" s="128"/>
      <c r="Q7" s="128"/>
      <c r="R7" s="128"/>
    </row>
    <row r="8" spans="1:31">
      <c r="A8" s="75"/>
      <c r="B8" s="795"/>
      <c r="C8" s="794" t="s">
        <v>704</v>
      </c>
      <c r="D8" s="794"/>
      <c r="E8" s="82">
        <f>三年资产负债!D14</f>
        <v>0</v>
      </c>
      <c r="F8" s="82">
        <f>三年资产负债!E14</f>
        <v>0</v>
      </c>
      <c r="G8" s="82">
        <f>三年资产负债!F14</f>
        <v>0</v>
      </c>
      <c r="H8" s="784" t="s">
        <v>705</v>
      </c>
      <c r="I8" s="784"/>
      <c r="J8" s="82">
        <f>三年资产负债!K6</f>
        <v>0</v>
      </c>
      <c r="K8" s="82">
        <f>三年资产负债!L6</f>
        <v>0</v>
      </c>
      <c r="L8" s="82">
        <f>三年资产负债!M6</f>
        <v>0</v>
      </c>
      <c r="M8" s="131"/>
      <c r="N8" s="128"/>
      <c r="O8" s="128"/>
      <c r="P8" s="128"/>
      <c r="Q8" s="128"/>
      <c r="R8" s="128"/>
    </row>
    <row r="9" spans="1:31">
      <c r="A9" s="75"/>
      <c r="B9" s="795"/>
      <c r="C9" s="794" t="s">
        <v>706</v>
      </c>
      <c r="D9" s="794"/>
      <c r="E9" s="82">
        <f>三年资产负债!D9</f>
        <v>0</v>
      </c>
      <c r="F9" s="82">
        <f>三年资产负债!E9</f>
        <v>0</v>
      </c>
      <c r="G9" s="82">
        <f>三年资产负债!F9</f>
        <v>0</v>
      </c>
      <c r="H9" s="784" t="s">
        <v>707</v>
      </c>
      <c r="I9" s="784"/>
      <c r="J9" s="82">
        <f>三年资产负债!K8</f>
        <v>0</v>
      </c>
      <c r="K9" s="82">
        <f>三年资产负债!L8</f>
        <v>0</v>
      </c>
      <c r="L9" s="82">
        <f>三年资产负债!M8</f>
        <v>0</v>
      </c>
      <c r="M9" s="131"/>
      <c r="N9" s="128"/>
      <c r="O9" s="128"/>
      <c r="P9" s="128"/>
    </row>
    <row r="10" spans="1:31">
      <c r="A10" s="75"/>
      <c r="B10" s="795"/>
      <c r="C10" s="794" t="s">
        <v>708</v>
      </c>
      <c r="D10" s="794"/>
      <c r="E10" s="82">
        <f>三年资产负债!D13</f>
        <v>0</v>
      </c>
      <c r="F10" s="82">
        <f>三年资产负债!E13</f>
        <v>0</v>
      </c>
      <c r="G10" s="82">
        <f>三年资产负债!F13</f>
        <v>0</v>
      </c>
      <c r="H10" s="784" t="s">
        <v>709</v>
      </c>
      <c r="I10" s="784"/>
      <c r="J10" s="82">
        <f>三年资产负债!K10</f>
        <v>0</v>
      </c>
      <c r="K10" s="82">
        <f>三年资产负债!L10</f>
        <v>0</v>
      </c>
      <c r="L10" s="82">
        <f>三年资产负债!M10</f>
        <v>0</v>
      </c>
      <c r="M10" s="131"/>
      <c r="N10" s="128"/>
      <c r="O10" s="128"/>
      <c r="P10" s="128"/>
    </row>
    <row r="11" spans="1:31">
      <c r="A11" s="75"/>
      <c r="B11" s="795"/>
      <c r="C11" s="794" t="s">
        <v>529</v>
      </c>
      <c r="D11" s="794"/>
      <c r="E11" s="82">
        <f>三年资产负债!D25</f>
        <v>0</v>
      </c>
      <c r="F11" s="82">
        <f>三年资产负债!E25</f>
        <v>0</v>
      </c>
      <c r="G11" s="82">
        <f>三年资产负债!F25</f>
        <v>0</v>
      </c>
      <c r="H11" s="784" t="s">
        <v>530</v>
      </c>
      <c r="I11" s="784"/>
      <c r="J11" s="82">
        <f>三年资产负债!K26</f>
        <v>0</v>
      </c>
      <c r="K11" s="82">
        <f>三年资产负债!L26</f>
        <v>0</v>
      </c>
      <c r="L11" s="82">
        <f>三年资产负债!M26</f>
        <v>0</v>
      </c>
      <c r="M11" s="131"/>
      <c r="N11" s="128"/>
      <c r="O11" s="128"/>
      <c r="P11" s="128"/>
    </row>
    <row r="12" spans="1:31">
      <c r="A12" s="75"/>
      <c r="B12" s="795"/>
      <c r="C12" s="794" t="s">
        <v>12</v>
      </c>
      <c r="D12" s="794"/>
      <c r="E12" s="82">
        <f>三年资产负债!D27</f>
        <v>0</v>
      </c>
      <c r="F12" s="82">
        <f>三年资产负债!E27</f>
        <v>0</v>
      </c>
      <c r="G12" s="82">
        <f>三年资产负债!F27</f>
        <v>0</v>
      </c>
      <c r="H12" s="784" t="s">
        <v>710</v>
      </c>
      <c r="I12" s="784"/>
      <c r="J12" s="82">
        <f>三年资产负债!K22</f>
        <v>0</v>
      </c>
      <c r="K12" s="82">
        <f>三年资产负债!L22</f>
        <v>0</v>
      </c>
      <c r="L12" s="82">
        <f>三年资产负债!M22</f>
        <v>0</v>
      </c>
      <c r="M12" s="131"/>
      <c r="N12" s="131"/>
      <c r="O12" s="131"/>
      <c r="P12" s="128"/>
    </row>
    <row r="13" spans="1:31">
      <c r="A13" s="75"/>
      <c r="B13" s="795"/>
      <c r="C13" s="794" t="s">
        <v>0</v>
      </c>
      <c r="D13" s="794"/>
      <c r="E13" s="82">
        <f>三年资产负债!D29</f>
        <v>0</v>
      </c>
      <c r="F13" s="82">
        <f>三年资产负债!E29</f>
        <v>0</v>
      </c>
      <c r="G13" s="82">
        <f>三年资产负债!F29</f>
        <v>0</v>
      </c>
      <c r="H13" s="784" t="s">
        <v>8</v>
      </c>
      <c r="I13" s="784"/>
      <c r="J13" s="82">
        <f>三年资产负债!K27</f>
        <v>0</v>
      </c>
      <c r="K13" s="82">
        <f>三年资产负债!L27</f>
        <v>0</v>
      </c>
      <c r="L13" s="82">
        <f>三年资产负债!M27</f>
        <v>0</v>
      </c>
      <c r="N13" s="131"/>
      <c r="O13" s="131"/>
      <c r="P13" s="128"/>
    </row>
    <row r="14" spans="1:31">
      <c r="A14" s="75"/>
      <c r="B14" s="795"/>
      <c r="C14" s="794" t="s">
        <v>13</v>
      </c>
      <c r="D14" s="794"/>
      <c r="E14" s="82">
        <f>三年资产负债!D23</f>
        <v>0</v>
      </c>
      <c r="F14" s="82">
        <f>三年资产负债!E23</f>
        <v>0</v>
      </c>
      <c r="G14" s="82">
        <f>三年资产负债!F23</f>
        <v>0</v>
      </c>
      <c r="H14" s="784" t="s">
        <v>483</v>
      </c>
      <c r="I14" s="784"/>
      <c r="J14" s="82">
        <f>三年资产负债!K35</f>
        <v>0</v>
      </c>
      <c r="K14" s="82">
        <f>三年资产负债!L35</f>
        <v>0</v>
      </c>
      <c r="L14" s="82">
        <f>三年资产负债!M35</f>
        <v>0</v>
      </c>
      <c r="M14" s="131"/>
    </row>
    <row r="15" spans="1:31">
      <c r="A15" s="75"/>
      <c r="B15" s="795"/>
      <c r="C15" s="794" t="s">
        <v>1</v>
      </c>
      <c r="D15" s="794"/>
      <c r="E15" s="82">
        <f>三年资产负债!D39</f>
        <v>0</v>
      </c>
      <c r="F15" s="82">
        <f>三年资产负债!E39</f>
        <v>0</v>
      </c>
      <c r="G15" s="82">
        <f>三年资产负债!F39</f>
        <v>0</v>
      </c>
      <c r="H15" s="784" t="s">
        <v>711</v>
      </c>
      <c r="I15" s="784"/>
      <c r="J15" s="82">
        <f>三年资产负债!K29</f>
        <v>0</v>
      </c>
      <c r="K15" s="82">
        <f>三年资产负债!L29</f>
        <v>0</v>
      </c>
      <c r="L15" s="82">
        <f>三年资产负债!M29</f>
        <v>0</v>
      </c>
      <c r="M15" s="131"/>
    </row>
    <row r="16" spans="1:31">
      <c r="A16" s="75"/>
      <c r="B16" s="795"/>
      <c r="C16" s="800" t="s">
        <v>521</v>
      </c>
      <c r="D16" s="800"/>
      <c r="E16" s="527" t="s">
        <v>867</v>
      </c>
      <c r="F16" s="527" t="s">
        <v>867</v>
      </c>
      <c r="G16" s="527" t="s">
        <v>867</v>
      </c>
      <c r="H16" s="784" t="s">
        <v>9</v>
      </c>
      <c r="I16" s="784"/>
      <c r="J16" s="82">
        <f>三年损益!E5</f>
        <v>0</v>
      </c>
      <c r="K16" s="82">
        <f>三年损益!F5</f>
        <v>0</v>
      </c>
      <c r="L16" s="82">
        <f>三年损益!G5</f>
        <v>0</v>
      </c>
      <c r="M16" s="131"/>
    </row>
    <row r="17" spans="1:13">
      <c r="A17" s="75"/>
      <c r="B17" s="795"/>
      <c r="C17" s="800" t="s">
        <v>586</v>
      </c>
      <c r="D17" s="800"/>
      <c r="E17" s="527" t="s">
        <v>867</v>
      </c>
      <c r="F17" s="527" t="s">
        <v>867</v>
      </c>
      <c r="G17" s="527" t="s">
        <v>867</v>
      </c>
      <c r="H17" s="784" t="s">
        <v>10</v>
      </c>
      <c r="I17" s="784"/>
      <c r="J17" s="82">
        <f>三年损益!E20</f>
        <v>0</v>
      </c>
      <c r="K17" s="82">
        <f>三年损益!F20</f>
        <v>0</v>
      </c>
      <c r="L17" s="82">
        <f>三年损益!G20</f>
        <v>0</v>
      </c>
      <c r="M17" s="131"/>
    </row>
    <row r="18" spans="1:13">
      <c r="A18" s="75"/>
      <c r="B18" s="795"/>
      <c r="C18" s="794" t="s">
        <v>11</v>
      </c>
      <c r="D18" s="794"/>
      <c r="E18" s="527" t="s">
        <v>867</v>
      </c>
      <c r="F18" s="527" t="s">
        <v>867</v>
      </c>
      <c r="G18" s="527" t="s">
        <v>867</v>
      </c>
      <c r="H18" s="784" t="s">
        <v>587</v>
      </c>
      <c r="I18" s="784"/>
      <c r="J18" s="82">
        <f>三年现金流量!C39</f>
        <v>0</v>
      </c>
      <c r="K18" s="82">
        <f>三年现金流量!D39</f>
        <v>0</v>
      </c>
      <c r="L18" s="361">
        <f>三年现金流量!M17</f>
        <v>0</v>
      </c>
      <c r="M18" s="131"/>
    </row>
    <row r="19" spans="1:13">
      <c r="A19" s="75"/>
      <c r="B19" s="795"/>
      <c r="C19" s="794" t="s">
        <v>588</v>
      </c>
      <c r="D19" s="794"/>
      <c r="E19" s="527" t="s">
        <v>867</v>
      </c>
      <c r="F19" s="527" t="s">
        <v>867</v>
      </c>
      <c r="G19" s="527" t="s">
        <v>867</v>
      </c>
      <c r="H19" s="784" t="s">
        <v>712</v>
      </c>
      <c r="I19" s="784"/>
      <c r="J19" s="82">
        <f>三年现金流量!C17</f>
        <v>0</v>
      </c>
      <c r="K19" s="82">
        <f>三年现金流量!D17</f>
        <v>0</v>
      </c>
      <c r="L19" s="361">
        <f>三年现金流量!M13</f>
        <v>0</v>
      </c>
      <c r="M19" s="131"/>
    </row>
    <row r="20" spans="1:13">
      <c r="A20" s="75"/>
      <c r="B20" s="795"/>
      <c r="C20" s="794" t="s">
        <v>589</v>
      </c>
      <c r="D20" s="794"/>
      <c r="E20" s="527" t="s">
        <v>867</v>
      </c>
      <c r="F20" s="527" t="s">
        <v>867</v>
      </c>
      <c r="G20" s="527" t="s">
        <v>867</v>
      </c>
      <c r="H20" s="784" t="s">
        <v>713</v>
      </c>
      <c r="I20" s="784"/>
      <c r="J20" s="82">
        <f>三年现金流量!C27</f>
        <v>0</v>
      </c>
      <c r="K20" s="82">
        <f>三年现金流量!D27</f>
        <v>0</v>
      </c>
      <c r="L20" s="361">
        <f>三年现金流量!M14</f>
        <v>0</v>
      </c>
      <c r="M20" s="131"/>
    </row>
    <row r="21" spans="1:13">
      <c r="A21" s="75"/>
      <c r="B21" s="795"/>
      <c r="C21" s="794" t="s">
        <v>590</v>
      </c>
      <c r="D21" s="794"/>
      <c r="E21" s="362"/>
      <c r="F21" s="362"/>
      <c r="G21" s="362"/>
      <c r="H21" s="784" t="s">
        <v>714</v>
      </c>
      <c r="I21" s="784"/>
      <c r="J21" s="82">
        <f>三年现金流量!C37</f>
        <v>0</v>
      </c>
      <c r="K21" s="82">
        <f>三年现金流量!D37</f>
        <v>0</v>
      </c>
      <c r="L21" s="361">
        <f>三年现金流量!M15</f>
        <v>0</v>
      </c>
      <c r="M21" s="131"/>
    </row>
    <row r="22" spans="1:13" ht="16.5" customHeight="1">
      <c r="A22" s="75"/>
      <c r="B22" s="795" t="s">
        <v>937</v>
      </c>
      <c r="C22" s="795" t="s">
        <v>512</v>
      </c>
      <c r="D22" s="795" t="s">
        <v>533</v>
      </c>
      <c r="E22" s="802" t="s">
        <v>591</v>
      </c>
      <c r="F22" s="802"/>
      <c r="G22" s="802"/>
      <c r="H22" s="795" t="s">
        <v>886</v>
      </c>
      <c r="I22" s="787" t="s">
        <v>591</v>
      </c>
      <c r="J22" s="787"/>
      <c r="K22" s="787"/>
      <c r="L22" s="795" t="s">
        <v>887</v>
      </c>
      <c r="M22" s="131"/>
    </row>
    <row r="23" spans="1:13" ht="22.5" customHeight="1">
      <c r="A23" s="75"/>
      <c r="B23" s="795"/>
      <c r="C23" s="795"/>
      <c r="D23" s="795"/>
      <c r="E23" s="123" t="s">
        <v>592</v>
      </c>
      <c r="F23" s="123" t="s">
        <v>593</v>
      </c>
      <c r="G23" s="123" t="s">
        <v>594</v>
      </c>
      <c r="H23" s="795"/>
      <c r="I23" s="123" t="s">
        <v>592</v>
      </c>
      <c r="J23" s="123" t="s">
        <v>593</v>
      </c>
      <c r="K23" s="123" t="s">
        <v>594</v>
      </c>
      <c r="L23" s="795"/>
      <c r="M23" s="131"/>
    </row>
    <row r="24" spans="1:13" ht="17.25" customHeight="1">
      <c r="A24" s="75"/>
      <c r="B24" s="795"/>
      <c r="C24" s="123" t="s">
        <v>701</v>
      </c>
      <c r="D24" s="123">
        <f>三年资产负债!N6</f>
        <v>0</v>
      </c>
      <c r="E24" s="363"/>
      <c r="F24" s="363"/>
      <c r="G24" s="363"/>
      <c r="H24" s="364"/>
      <c r="I24" s="364"/>
      <c r="J24" s="82"/>
      <c r="K24" s="82"/>
      <c r="L24" s="82"/>
    </row>
    <row r="25" spans="1:13" ht="15.75" customHeight="1">
      <c r="A25" s="75"/>
      <c r="B25" s="795"/>
      <c r="C25" s="123" t="s">
        <v>595</v>
      </c>
      <c r="D25" s="123">
        <f>三年资产负债!N22</f>
        <v>0</v>
      </c>
      <c r="E25" s="363"/>
      <c r="F25" s="363"/>
      <c r="G25" s="363"/>
      <c r="H25" s="364"/>
      <c r="I25" s="364"/>
      <c r="J25" s="82"/>
      <c r="K25" s="82"/>
      <c r="L25" s="82"/>
    </row>
    <row r="26" spans="1:13">
      <c r="A26" s="75"/>
      <c r="B26" s="795" t="s">
        <v>596</v>
      </c>
      <c r="C26" s="803" t="s">
        <v>597</v>
      </c>
      <c r="D26" s="804"/>
      <c r="E26" s="797">
        <f>主表2!K13</f>
        <v>101438</v>
      </c>
      <c r="F26" s="797"/>
      <c r="G26" s="793">
        <f>主表2!C8</f>
        <v>0</v>
      </c>
      <c r="H26" s="793"/>
      <c r="I26" s="82">
        <f>主表2!K8</f>
        <v>0</v>
      </c>
      <c r="J26" s="788"/>
      <c r="K26" s="788"/>
      <c r="L26" s="82"/>
      <c r="M26" s="131"/>
    </row>
    <row r="27" spans="1:13" ht="15.75" customHeight="1">
      <c r="A27" s="75"/>
      <c r="B27" s="795"/>
      <c r="C27" s="801" t="str">
        <f>主表2!C5</f>
        <v>五矿信托股东借款</v>
      </c>
      <c r="D27" s="795"/>
      <c r="E27" s="797">
        <f>主表2!K5</f>
        <v>18800</v>
      </c>
      <c r="F27" s="797"/>
      <c r="G27" s="793">
        <f>主表2!C9</f>
        <v>0</v>
      </c>
      <c r="H27" s="793"/>
      <c r="I27" s="82">
        <f>主表2!K9</f>
        <v>0</v>
      </c>
      <c r="J27" s="789"/>
      <c r="K27" s="790"/>
      <c r="L27" s="83"/>
      <c r="M27" s="131"/>
    </row>
    <row r="28" spans="1:13" ht="15.75" customHeight="1">
      <c r="A28" s="75"/>
      <c r="B28" s="795"/>
      <c r="C28" s="801">
        <f>主表2!C6</f>
        <v>0</v>
      </c>
      <c r="D28" s="795"/>
      <c r="E28" s="797">
        <f>主表2!K6</f>
        <v>0</v>
      </c>
      <c r="F28" s="797"/>
      <c r="G28" s="793" t="str">
        <f>主表2!C10</f>
        <v>销售收入回款</v>
      </c>
      <c r="H28" s="793"/>
      <c r="I28" s="82">
        <f>主表2!K10</f>
        <v>57638</v>
      </c>
      <c r="J28" s="791"/>
      <c r="K28" s="792"/>
      <c r="L28" s="83"/>
      <c r="M28" s="132"/>
    </row>
    <row r="29" spans="1:13" ht="15.75" customHeight="1">
      <c r="A29" s="75"/>
      <c r="B29" s="795"/>
      <c r="C29" s="801" t="str">
        <f>主表2!C7</f>
        <v>自有资金</v>
      </c>
      <c r="D29" s="795"/>
      <c r="E29" s="797">
        <f>主表2!K7</f>
        <v>25000</v>
      </c>
      <c r="F29" s="797"/>
      <c r="G29" s="793" t="str">
        <f>主表2!C11</f>
        <v>其他来源</v>
      </c>
      <c r="H29" s="793"/>
      <c r="I29" s="82">
        <f>主表2!K11</f>
        <v>0</v>
      </c>
      <c r="J29" s="789"/>
      <c r="K29" s="790"/>
      <c r="L29" s="83"/>
      <c r="M29" s="132"/>
    </row>
    <row r="30" spans="1:13">
      <c r="A30" s="75"/>
      <c r="B30" s="807" t="s">
        <v>715</v>
      </c>
      <c r="C30" s="810" t="s">
        <v>5</v>
      </c>
      <c r="D30" s="811"/>
      <c r="E30" s="814">
        <f>'主表4-1'!J4</f>
        <v>119906</v>
      </c>
      <c r="F30" s="815"/>
      <c r="G30" s="780" t="s">
        <v>16</v>
      </c>
      <c r="H30" s="780"/>
      <c r="I30" s="365">
        <f>'主表4-1'!J12</f>
        <v>13037</v>
      </c>
      <c r="J30" s="796" t="s">
        <v>11</v>
      </c>
      <c r="K30" s="796"/>
      <c r="L30" s="83">
        <f>'主表4-1'!J12/'主表4-1'!J4</f>
        <v>0.1087</v>
      </c>
      <c r="M30" s="132"/>
    </row>
    <row r="31" spans="1:13">
      <c r="A31" s="75"/>
      <c r="B31" s="808"/>
      <c r="C31" s="794" t="s">
        <v>716</v>
      </c>
      <c r="D31" s="794"/>
      <c r="E31" s="816">
        <v>0.12</v>
      </c>
      <c r="F31" s="778"/>
      <c r="G31" s="793" t="s">
        <v>717</v>
      </c>
      <c r="H31" s="793"/>
      <c r="I31" s="83">
        <f>(主表2!M5+主表2!M6)*基础数据!C9</f>
        <v>2.1299999999999999E-2</v>
      </c>
      <c r="J31" s="785" t="s">
        <v>471</v>
      </c>
      <c r="K31" s="785"/>
      <c r="L31" s="83">
        <f>主表3!C22</f>
        <v>0.27510000000000001</v>
      </c>
      <c r="M31" s="132"/>
    </row>
    <row r="32" spans="1:13">
      <c r="A32" s="75"/>
      <c r="B32" s="808"/>
      <c r="C32" s="794" t="s">
        <v>235</v>
      </c>
      <c r="D32" s="794"/>
      <c r="E32" s="817">
        <f>主表3!G21</f>
        <v>5313</v>
      </c>
      <c r="F32" s="818"/>
      <c r="G32" s="793" t="s">
        <v>718</v>
      </c>
      <c r="H32" s="793"/>
      <c r="I32" s="366">
        <f>主表3!G22</f>
        <v>1.96</v>
      </c>
      <c r="J32" s="785" t="s">
        <v>17</v>
      </c>
      <c r="K32" s="785"/>
      <c r="L32" s="83">
        <f>'主表4-1'!J12/主表2!K13</f>
        <v>0.1285</v>
      </c>
    </row>
    <row r="33" spans="1:12" ht="15.75" customHeight="1">
      <c r="A33" s="75"/>
      <c r="B33" s="809"/>
      <c r="C33" s="812" t="s">
        <v>719</v>
      </c>
      <c r="D33" s="812"/>
      <c r="E33" s="805">
        <f>基础数据!C8</f>
        <v>0</v>
      </c>
      <c r="F33" s="806"/>
      <c r="G33" s="826" t="s">
        <v>18</v>
      </c>
      <c r="H33" s="826"/>
      <c r="I33" s="367"/>
      <c r="J33" s="786" t="s">
        <v>255</v>
      </c>
      <c r="K33" s="786"/>
      <c r="L33" s="366"/>
    </row>
    <row r="34" spans="1:12" ht="15.75" customHeight="1">
      <c r="A34" s="75"/>
      <c r="B34" s="813" t="s">
        <v>938</v>
      </c>
      <c r="C34" s="787" t="s">
        <v>720</v>
      </c>
      <c r="D34" s="787"/>
      <c r="E34" s="787">
        <f>基础数据!C12</f>
        <v>0</v>
      </c>
      <c r="F34" s="787"/>
      <c r="G34" s="787"/>
      <c r="H34" s="787"/>
      <c r="I34" s="787"/>
      <c r="J34" s="787"/>
      <c r="K34" s="787"/>
      <c r="L34" s="787"/>
    </row>
    <row r="35" spans="1:12" ht="15.75" customHeight="1">
      <c r="A35" s="75"/>
      <c r="B35" s="795"/>
      <c r="C35" s="787" t="s">
        <v>721</v>
      </c>
      <c r="D35" s="787"/>
      <c r="E35" s="787" t="s">
        <v>265</v>
      </c>
      <c r="F35" s="787"/>
      <c r="G35" s="787" t="s">
        <v>722</v>
      </c>
      <c r="H35" s="787"/>
      <c r="I35" s="787" t="s">
        <v>111</v>
      </c>
      <c r="J35" s="787"/>
      <c r="K35" s="787" t="s">
        <v>8</v>
      </c>
      <c r="L35" s="787"/>
    </row>
    <row r="36" spans="1:12" ht="15.75" customHeight="1">
      <c r="A36" s="75"/>
      <c r="B36" s="795"/>
      <c r="C36" s="805"/>
      <c r="D36" s="806"/>
      <c r="E36" s="781"/>
      <c r="F36" s="782"/>
      <c r="G36" s="783"/>
      <c r="H36" s="783"/>
      <c r="I36" s="783"/>
      <c r="J36" s="783"/>
      <c r="K36" s="783"/>
      <c r="L36" s="783"/>
    </row>
    <row r="37" spans="1:12">
      <c r="A37" s="75"/>
      <c r="B37" s="795"/>
      <c r="C37" s="814"/>
      <c r="D37" s="815"/>
      <c r="E37" s="779"/>
      <c r="F37" s="779"/>
      <c r="G37" s="779"/>
      <c r="H37" s="779"/>
      <c r="I37" s="779"/>
      <c r="J37" s="779"/>
      <c r="K37" s="779"/>
      <c r="L37" s="779"/>
    </row>
    <row r="38" spans="1:12" ht="13.5" customHeight="1">
      <c r="A38" s="75"/>
      <c r="B38" s="795"/>
      <c r="C38" s="775" t="s">
        <v>683</v>
      </c>
      <c r="D38" s="775"/>
      <c r="E38" s="776"/>
      <c r="F38" s="777"/>
      <c r="G38" s="777"/>
      <c r="H38" s="777"/>
      <c r="I38" s="777"/>
      <c r="J38" s="777"/>
      <c r="K38" s="777"/>
      <c r="L38" s="778"/>
    </row>
    <row r="39" spans="1:12">
      <c r="H39" s="127"/>
      <c r="I39" s="127"/>
      <c r="J39" s="133"/>
    </row>
    <row r="40" spans="1:12">
      <c r="H40" s="132"/>
      <c r="I40" s="135"/>
      <c r="J40" s="133"/>
    </row>
    <row r="41" spans="1:12">
      <c r="H41" s="132"/>
      <c r="I41" s="135"/>
    </row>
    <row r="42" spans="1:12">
      <c r="H42" s="132"/>
      <c r="I42" s="135"/>
    </row>
    <row r="43" spans="1:12">
      <c r="H43" s="132"/>
      <c r="I43" s="135"/>
    </row>
    <row r="44" spans="1:12">
      <c r="H44" s="132"/>
      <c r="I44" s="135"/>
    </row>
    <row r="45" spans="1:12">
      <c r="H45" s="132"/>
      <c r="I45" s="136"/>
    </row>
    <row r="46" spans="1:12">
      <c r="H46" s="132"/>
      <c r="I46" s="135"/>
    </row>
  </sheetData>
  <mergeCells count="105">
    <mergeCell ref="B1:L1"/>
    <mergeCell ref="B2:C2"/>
    <mergeCell ref="H13:I13"/>
    <mergeCell ref="C11:D11"/>
    <mergeCell ref="B3:B21"/>
    <mergeCell ref="H14:I14"/>
    <mergeCell ref="H15:I15"/>
    <mergeCell ref="D3:D4"/>
    <mergeCell ref="C15:D15"/>
    <mergeCell ref="C16:D16"/>
    <mergeCell ref="P2:AE2"/>
    <mergeCell ref="F3:F4"/>
    <mergeCell ref="G3:G4"/>
    <mergeCell ref="E5:G5"/>
    <mergeCell ref="H3:I4"/>
    <mergeCell ref="L3:L4"/>
    <mergeCell ref="J5:L5"/>
    <mergeCell ref="D2:I2"/>
    <mergeCell ref="J3:K4"/>
    <mergeCell ref="B30:B33"/>
    <mergeCell ref="C30:D30"/>
    <mergeCell ref="C31:D31"/>
    <mergeCell ref="C32:D32"/>
    <mergeCell ref="C33:D33"/>
    <mergeCell ref="B26:B29"/>
    <mergeCell ref="C28:D28"/>
    <mergeCell ref="B34:B38"/>
    <mergeCell ref="E34:L34"/>
    <mergeCell ref="E29:F29"/>
    <mergeCell ref="E30:F30"/>
    <mergeCell ref="E31:F31"/>
    <mergeCell ref="E32:F32"/>
    <mergeCell ref="C29:D29"/>
    <mergeCell ref="C35:D35"/>
    <mergeCell ref="C36:D37"/>
    <mergeCell ref="E35:F35"/>
    <mergeCell ref="G35:H35"/>
    <mergeCell ref="G32:H32"/>
    <mergeCell ref="G33:H33"/>
    <mergeCell ref="G31:H31"/>
    <mergeCell ref="K35:L35"/>
    <mergeCell ref="J29:K29"/>
    <mergeCell ref="C12:D12"/>
    <mergeCell ref="B22:B25"/>
    <mergeCell ref="H17:I17"/>
    <mergeCell ref="H18:I18"/>
    <mergeCell ref="H19:I19"/>
    <mergeCell ref="H20:I20"/>
    <mergeCell ref="H21:I21"/>
    <mergeCell ref="C18:D18"/>
    <mergeCell ref="C17:D17"/>
    <mergeCell ref="E22:G22"/>
    <mergeCell ref="C21:D21"/>
    <mergeCell ref="C22:C23"/>
    <mergeCell ref="D22:D23"/>
    <mergeCell ref="C20:D20"/>
    <mergeCell ref="H12:I12"/>
    <mergeCell ref="I22:K22"/>
    <mergeCell ref="H9:I9"/>
    <mergeCell ref="H5:I6"/>
    <mergeCell ref="C5:D6"/>
    <mergeCell ref="C9:D9"/>
    <mergeCell ref="H7:I7"/>
    <mergeCell ref="H8:I8"/>
    <mergeCell ref="C7:D7"/>
    <mergeCell ref="C8:D8"/>
    <mergeCell ref="C10:D10"/>
    <mergeCell ref="H10:I10"/>
    <mergeCell ref="C13:D13"/>
    <mergeCell ref="L22:L23"/>
    <mergeCell ref="H22:H23"/>
    <mergeCell ref="J30:K30"/>
    <mergeCell ref="J31:K31"/>
    <mergeCell ref="H16:I16"/>
    <mergeCell ref="E28:F28"/>
    <mergeCell ref="C14:D14"/>
    <mergeCell ref="C19:D19"/>
    <mergeCell ref="C27:D27"/>
    <mergeCell ref="E27:F27"/>
    <mergeCell ref="G26:H26"/>
    <mergeCell ref="G27:H27"/>
    <mergeCell ref="C26:D26"/>
    <mergeCell ref="E26:F26"/>
    <mergeCell ref="H11:I11"/>
    <mergeCell ref="J32:K32"/>
    <mergeCell ref="J33:K33"/>
    <mergeCell ref="I35:J35"/>
    <mergeCell ref="J26:K26"/>
    <mergeCell ref="J27:K27"/>
    <mergeCell ref="J28:K28"/>
    <mergeCell ref="G28:H28"/>
    <mergeCell ref="G29:H29"/>
    <mergeCell ref="C38:D38"/>
    <mergeCell ref="E38:L38"/>
    <mergeCell ref="I37:J37"/>
    <mergeCell ref="G30:H30"/>
    <mergeCell ref="K37:L37"/>
    <mergeCell ref="E36:F36"/>
    <mergeCell ref="E37:F37"/>
    <mergeCell ref="K36:L36"/>
    <mergeCell ref="G37:H37"/>
    <mergeCell ref="G36:H36"/>
    <mergeCell ref="I36:J36"/>
    <mergeCell ref="C34:D34"/>
    <mergeCell ref="E33:F33"/>
  </mergeCells>
  <phoneticPr fontId="2" type="noConversion"/>
  <printOptions horizontalCentered="1" verticalCentered="1"/>
  <pageMargins left="0.74803149606299213" right="0.74803149606299213" top="0.66" bottom="0.81" header="0.33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工作表</vt:lpstr>
      </vt:variant>
      <vt:variant>
        <vt:i4>43</vt:i4>
      </vt:variant>
      <vt:variant>
        <vt:lpstr>命名范围</vt:lpstr>
      </vt:variant>
      <vt:variant>
        <vt:i4>12</vt:i4>
      </vt:variant>
    </vt:vector>
  </HeadingPairs>
  <TitlesOfParts>
    <vt:vector size="55" baseType="lpstr">
      <vt:lpstr>results</vt:lpstr>
      <vt:lpstr>面积表</vt:lpstr>
      <vt:lpstr>基础数据</vt:lpstr>
      <vt:lpstr>财务数据</vt:lpstr>
      <vt:lpstr>投资比例</vt:lpstr>
      <vt:lpstr>三年资产负债</vt:lpstr>
      <vt:lpstr>三年损益</vt:lpstr>
      <vt:lpstr>三年现金流量</vt:lpstr>
      <vt:lpstr>主表1_1</vt:lpstr>
      <vt:lpstr>底表1</vt:lpstr>
      <vt:lpstr>主表2</vt:lpstr>
      <vt:lpstr>主表3</vt:lpstr>
      <vt:lpstr>主表4-1</vt:lpstr>
      <vt:lpstr>主表5</vt:lpstr>
      <vt:lpstr>主表6</vt:lpstr>
      <vt:lpstr>主表7</vt:lpstr>
      <vt:lpstr>底表7</vt:lpstr>
      <vt:lpstr>主表8</vt:lpstr>
      <vt:lpstr>底表8</vt:lpstr>
      <vt:lpstr>底表4</vt:lpstr>
      <vt:lpstr>底表5</vt:lpstr>
      <vt:lpstr>收入-5% 4_1</vt:lpstr>
      <vt:lpstr>收入-5% 3</vt:lpstr>
      <vt:lpstr>收入-10% 4_1</vt:lpstr>
      <vt:lpstr>收入-10% 3</vt:lpstr>
      <vt:lpstr>成本+5% 4_1</vt:lpstr>
      <vt:lpstr>成本+5% 3</vt:lpstr>
      <vt:lpstr>成本+10% 4_1</vt:lpstr>
      <vt:lpstr>成本+10% 3</vt:lpstr>
      <vt:lpstr>延后一年3</vt:lpstr>
      <vt:lpstr>延后一年4-1</vt:lpstr>
      <vt:lpstr>主表4_2</vt:lpstr>
      <vt:lpstr>底表2</vt:lpstr>
      <vt:lpstr>底表3</vt:lpstr>
      <vt:lpstr>底表6</vt:lpstr>
      <vt:lpstr>底表6（续）</vt:lpstr>
      <vt:lpstr>收入-5% 4_2</vt:lpstr>
      <vt:lpstr>收入-10% 4_2</vt:lpstr>
      <vt:lpstr>成本+5% 4_2</vt:lpstr>
      <vt:lpstr>成本+10% 4_2</vt:lpstr>
      <vt:lpstr>主表1_2</vt:lpstr>
      <vt:lpstr>Sheet1</vt:lpstr>
      <vt:lpstr>系统读取表</vt:lpstr>
      <vt:lpstr>三年损益!Print_Area</vt:lpstr>
      <vt:lpstr>三年现金流量!Print_Area</vt:lpstr>
      <vt:lpstr>三年资产负债!Print_Area</vt:lpstr>
      <vt:lpstr>主表1_1!Print_Area</vt:lpstr>
      <vt:lpstr>主表2!Print_Area</vt:lpstr>
      <vt:lpstr>主表3!Print_Area</vt:lpstr>
      <vt:lpstr>主表4-1!Print_Area</vt:lpstr>
      <vt:lpstr>主表5!Print_Area</vt:lpstr>
      <vt:lpstr>主表6!Print_Area</vt:lpstr>
      <vt:lpstr>基础数据!Print_Area</vt:lpstr>
      <vt:lpstr>底表1!Print_Area</vt:lpstr>
      <vt:lpstr>底表8!Print_Area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周文茜</dc:creator>
  <cp:lastModifiedBy>X</cp:lastModifiedBy>
  <cp:lastPrinted>2012-06-18T05:19:23Z</cp:lastPrinted>
  <dcterms:created xsi:type="dcterms:W3CDTF">2000-01-26T02:31:24Z</dcterms:created>
  <dcterms:modified xsi:type="dcterms:W3CDTF">2018-05-22T10:08:56Z</dcterms:modified>
</cp:coreProperties>
</file>