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暂时搁置\保昌照片\保利大都汇南区\最终\"/>
    </mc:Choice>
  </mc:AlternateContent>
  <xr:revisionPtr revIDLastSave="0" documentId="13_ncr:1_{39A409D2-BB0C-459C-9982-3CBD1558C561}" xr6:coauthVersionLast="47" xr6:coauthVersionMax="47" xr10:uidLastSave="{00000000-0000-0000-0000-000000000000}"/>
  <bookViews>
    <workbookView xWindow="-120" yWindow="-120" windowWidth="21840" windowHeight="13140" tabRatio="899" firstSheet="13"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昌平绿地中央广场" sheetId="90" r:id="rId11"/>
    <sheet name="华润·未来城市" sheetId="88" r:id="rId12"/>
    <sheet name="未来中心" sheetId="94" r:id="rId13"/>
    <sheet name="未来科学城" sheetId="93" r:id="rId14"/>
    <sheet name="Sheet1" sheetId="101" r:id="rId15"/>
    <sheet name="1号楼" sheetId="80" r:id="rId16"/>
    <sheet name="2号楼" sheetId="81" r:id="rId17"/>
    <sheet name="3号楼" sheetId="82" r:id="rId18"/>
    <sheet name="4号楼" sheetId="83" r:id="rId19"/>
    <sheet name="5号楼" sheetId="84" r:id="rId20"/>
    <sheet name="定义" sheetId="10" r:id="rId21"/>
    <sheet name="项目基本情况" sheetId="4" r:id="rId22"/>
    <sheet name="数据-基础表" sheetId="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假设开发法" sheetId="12" state="hidden" r:id="rId30"/>
    <sheet name="基准地价修正" sheetId="43" r:id="rId31"/>
    <sheet name="商业收益法" sheetId="15" r:id="rId32"/>
    <sheet name="收益法-酒店模型" sheetId="77" state="hidden" r:id="rId33"/>
    <sheet name="收益法（汇总）" sheetId="70" state="hidden" r:id="rId34"/>
    <sheet name="比较法-住宅" sheetId="21" state="hidden" r:id="rId35"/>
    <sheet name="租金比较法-商业" sheetId="33" r:id="rId36"/>
    <sheet name="办公-典型户型修正" sheetId="31" r:id="rId37"/>
    <sheet name="办公结果表" sheetId="87" r:id="rId38"/>
    <sheet name="比较法-工业" sheetId="37" state="hidden" r:id="rId39"/>
    <sheet name="办公-成本法" sheetId="98" state="hidden" r:id="rId40"/>
    <sheet name="比较法-办公" sheetId="34" r:id="rId41"/>
    <sheet name="办公-基准地价修正 " sheetId="99" state="hidden" r:id="rId42"/>
    <sheet name="办公收益法" sheetId="85" r:id="rId43"/>
    <sheet name="车位-典型户型修正" sheetId="97" r:id="rId44"/>
    <sheet name="车位结果表 " sheetId="95" r:id="rId45"/>
    <sheet name="成本法 (元)" sheetId="69" r:id="rId46"/>
    <sheet name="车位基准地价修正" sheetId="96" r:id="rId47"/>
    <sheet name="比较法-车位" sheetId="35" state="hidden" r:id="rId48"/>
    <sheet name="车库收益法 (元)" sheetId="67" r:id="rId49"/>
    <sheet name="车库收益法" sheetId="86" state="hidden" r:id="rId50"/>
    <sheet name="比较法-仓储" sheetId="36" state="hidden" r:id="rId51"/>
    <sheet name="土地比较法-住宅、综合" sheetId="39" state="hidden" r:id="rId52"/>
    <sheet name="土地比较法-工业" sheetId="40" state="hidden" r:id="rId53"/>
    <sheet name="租约" sheetId="100"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 r:id="rId66"/>
  </externalReferences>
  <definedNames>
    <definedName name="_xlnm._FilterDatabase" localSheetId="40" hidden="1">'比较法-办公'!$A$1:$L$50</definedName>
    <definedName name="_xlnm._FilterDatabase" localSheetId="50" hidden="1">'比较法-仓储'!$A$1:$L$37</definedName>
    <definedName name="_xlnm._FilterDatabase" localSheetId="47" hidden="1">'比较法-车位'!$A$1:$L$39</definedName>
    <definedName name="_xlnm._FilterDatabase" localSheetId="38" hidden="1">'比较法-工业'!$A$1:$L$43</definedName>
    <definedName name="_xlnm._FilterDatabase" localSheetId="34" hidden="1">'比较法-住宅'!$A$1:$L$49</definedName>
    <definedName name="_xlnm._FilterDatabase" localSheetId="22" hidden="1">'数据-基础表'!$A$12:$AT$587</definedName>
    <definedName name="_xlnm._FilterDatabase" localSheetId="52" hidden="1">'土地比较法-工业'!$A$1:$L$43</definedName>
    <definedName name="_xlnm._FilterDatabase" localSheetId="51" hidden="1">'土地比较法-住宅、综合'!$A$1:$L$48</definedName>
    <definedName name="_xlnm._FilterDatabase" localSheetId="21" hidden="1">项目基本情况!$A$42:$N$42</definedName>
    <definedName name="_xlnm._FilterDatabase" localSheetId="35" hidden="1">'租金比较法-商业'!$A$1:$L$49</definedName>
    <definedName name="_xlnm.Print_Area" localSheetId="39">'办公-成本法'!$A$1:$G$57</definedName>
    <definedName name="_xlnm.Print_Area" localSheetId="41">'办公-基准地价修正 '!$A$1:$J$44,'办公-基准地价修正 '!$A$47:$H$101,'办公-基准地价修正 '!$R$1:$V$16</definedName>
    <definedName name="_xlnm.Print_Area" localSheetId="37">办公结果表!$A$1:$I$127</definedName>
    <definedName name="_xlnm.Print_Area" localSheetId="42">办公收益法!$A$1:$F$43,办公收益法!$H$3:$M$29,办公收益法!$A$46:$F$71,办公收益法!$I$46:$N$65</definedName>
    <definedName name="_xlnm.Print_Area" localSheetId="40">'比较法-办公'!$A$1:$K$55,'比较法-办公'!$A$58:$M$132</definedName>
    <definedName name="_xlnm.Print_Area" localSheetId="50">'比较法-仓储'!$A$1:$K$42,'比较法-仓储'!$A$45:$M$96</definedName>
    <definedName name="_xlnm.Print_Area" localSheetId="47">'比较法-车位'!$A$1:$K$44,'比较法-车位'!$A$47:$M$102</definedName>
    <definedName name="_xlnm.Print_Area" localSheetId="38">'比较法-工业'!$A$1:$K$48,'比较法-工业'!$A$51:$M$113</definedName>
    <definedName name="_xlnm.Print_Area" localSheetId="34">'比较法-住宅'!$A$1:$K$54,'比较法-住宅'!$A$57:$M$131</definedName>
    <definedName name="_xlnm.Print_Area" localSheetId="49">车库收益法!$A$1:$F$43,车库收益法!$H$3:$M$29,车库收益法!$A$46:$F$71,车库收益法!$I$46:$N$65</definedName>
    <definedName name="_xlnm.Print_Area" localSheetId="48">'车库收益法 (元)'!$A$1:$F$43,'车库收益法 (元)'!$H$3:$M$29,'车库收益法 (元)'!$A$45:$F$71,'车库收益法 (元)'!$I$46:$N$65</definedName>
    <definedName name="_xlnm.Print_Area" localSheetId="46">车位基准地价修正!$A$1:$J$44,车位基准地价修正!$A$47:$H$101,车位基准地价修正!$R$1:$V$16</definedName>
    <definedName name="_xlnm.Print_Area" localSheetId="44">'车位结果表 '!$A$1:$I$127</definedName>
    <definedName name="_xlnm.Print_Area" localSheetId="28">成本法!$A$1:$G$57</definedName>
    <definedName name="_xlnm.Print_Area" localSheetId="45">'成本法 (元)'!$A$1:$G$57</definedName>
    <definedName name="_xlnm.Print_Area" localSheetId="25">估价对象房地状况!$A$1:$G$24</definedName>
    <definedName name="_xlnm.Print_Area" localSheetId="8">估价师及机构信息!$A$1:$G$22</definedName>
    <definedName name="_xlnm.Print_Area" localSheetId="54">'基准地价（汇总）'!$A$1:$E$13</definedName>
    <definedName name="_xlnm.Print_Area" localSheetId="30">基准地价修正!$A$1:$J$44,基准地价修正!$A$47:$H$101,基准地价修正!$R$1:$V$16</definedName>
    <definedName name="_xlnm.Print_Area" localSheetId="29">假设开发法!$A$1:$K$32</definedName>
    <definedName name="_xlnm.Print_Area" localSheetId="27">结果表!$A$1:$I$127</definedName>
    <definedName name="_xlnm.Print_Area" localSheetId="31">商业收益法!$A$1:$F$43,商业收益法!$H$3:$M$29,商业收益法!$A$46:$F$71,商业收益法!$I$46:$N$65</definedName>
    <definedName name="_xlnm.Print_Area" localSheetId="33">'收益法（汇总）'!$A$1:$F$13</definedName>
    <definedName name="_xlnm.Print_Area" localSheetId="23">'数据-汇总表'!$A$1:$P$32</definedName>
    <definedName name="_xlnm.Print_Area" localSheetId="52">'土地比较法-工业'!$A$1:$K$61,'土地比较法-工业'!$A$64:$M$121</definedName>
    <definedName name="_xlnm.Print_Area" localSheetId="51">'土地比较法-住宅、综合'!$A$1:$K$65,'土地比较法-住宅、综合'!$A$68:$M$131</definedName>
    <definedName name="_xlnm.Print_Area" localSheetId="26">系统读取表!$A$1:$I$26</definedName>
    <definedName name="_xlnm.Print_Area" localSheetId="21">项目基本情况!$A$1:$I$38</definedName>
    <definedName name="_xlnm.Print_Area" localSheetId="35">'租金比较法-商业'!$A$1:$K$54,'租金比较法-商业'!$A$57:$M$131</definedName>
    <definedName name="八级">区片价!$P$1:$P$44</definedName>
    <definedName name="办公层高" localSheetId="10">'[1]比较法-办公'!$B$119:$M$119</definedName>
    <definedName name="办公层高" localSheetId="11">'[1]比较法-办公'!$B$119:$M$119</definedName>
    <definedName name="办公层高" localSheetId="12">'[1]比较法-办公'!$B$119:$M$119</definedName>
    <definedName name="办公层高">'比较法-办公'!$B$119:$M$119</definedName>
    <definedName name="办公朝向" localSheetId="10">'[1]比较法-办公'!$B$91:$M$91</definedName>
    <definedName name="办公朝向" localSheetId="11">'[1]比较法-办公'!$B$91:$M$91</definedName>
    <definedName name="办公朝向" localSheetId="12">'[1]比较法-办公'!$B$91:$M$91</definedName>
    <definedName name="办公朝向">'比较法-办公'!$B$91:$M$91</definedName>
    <definedName name="办公道路级别" localSheetId="10">'[1]比较法-办公'!$B$87:$M$87</definedName>
    <definedName name="办公道路级别" localSheetId="11">'[1]比较法-办公'!$B$87:$M$87</definedName>
    <definedName name="办公道路级别" localSheetId="12">'[1]比较法-办公'!$B$87:$M$87</definedName>
    <definedName name="办公道路级别">'比较法-办公'!$B$87:$M$87</definedName>
    <definedName name="办公公共部分装修" localSheetId="10">'[1]比较法-办公'!$B$108:$M$108</definedName>
    <definedName name="办公公共部分装修" localSheetId="11">'[1]比较法-办公'!$B$108:$M$108</definedName>
    <definedName name="办公公共部分装修" localSheetId="12">'[1]比较法-办公'!$B$108:$M$108</definedName>
    <definedName name="办公公共部分装修">'比较法-办公'!$B$108:$M$108</definedName>
    <definedName name="办公基础设施水平" localSheetId="10">'[1]比较法-办公'!$B$117:$M$117</definedName>
    <definedName name="办公基础设施水平" localSheetId="11">'[1]比较法-办公'!$B$117:$M$117</definedName>
    <definedName name="办公基础设施水平" localSheetId="12">'[1]比较法-办公'!$B$117:$M$117</definedName>
    <definedName name="办公基础设施水平">'比较法-办公'!$B$117:$M$117</definedName>
    <definedName name="办公集聚程度" localSheetId="10">[1]定义!$M$1:$M$6</definedName>
    <definedName name="办公集聚程度" localSheetId="11">[1]定义!$M$1:$M$6</definedName>
    <definedName name="办公集聚程度" localSheetId="12">[1]定义!$M$1:$M$6</definedName>
    <definedName name="办公集聚程度">定义!$M$1:$M$6</definedName>
    <definedName name="办公建筑结构" localSheetId="10">'[1]比较法-办公'!$B$106:$M$106</definedName>
    <definedName name="办公建筑结构" localSheetId="11">'[1]比较法-办公'!$B$106:$M$106</definedName>
    <definedName name="办公建筑结构" localSheetId="12">'[1]比较法-办公'!$B$106:$M$106</definedName>
    <definedName name="办公建筑结构">'比较法-办公'!$B$106:$M$106</definedName>
    <definedName name="办公建筑类型" localSheetId="10">'[1]比较法-办公'!$B$101:$M$101</definedName>
    <definedName name="办公建筑类型" localSheetId="11">'[1]比较法-办公'!$B$101:$M$101</definedName>
    <definedName name="办公建筑类型" localSheetId="12">'[1]比较法-办公'!$B$101:$M$101</definedName>
    <definedName name="办公建筑类型">'比较法-办公'!$B$101:$M$101</definedName>
    <definedName name="办公交易情况" localSheetId="10">'[1]比较法-办公'!$A$62:$M$62</definedName>
    <definedName name="办公交易情况" localSheetId="11">'[1]比较法-办公'!$A$62:$M$62</definedName>
    <definedName name="办公交易情况" localSheetId="12">'[1]比较法-办公'!$A$62:$M$62</definedName>
    <definedName name="办公交易情况">'比较法-办公'!$A$62:$M$62</definedName>
    <definedName name="办公楼层" localSheetId="10">'[1]比较法-办公'!$B$89:$M$89</definedName>
    <definedName name="办公楼层" localSheetId="11">'[1]比较法-办公'!$B$89:$M$89</definedName>
    <definedName name="办公楼层" localSheetId="12">'[1]比较法-办公'!$B$89:$M$89</definedName>
    <definedName name="办公楼层">'比较法-办公'!$B$89:$M$89</definedName>
    <definedName name="办公内部装修" localSheetId="10">'[1]比较法-办公'!$B$123:$M$123</definedName>
    <definedName name="办公内部装修" localSheetId="11">'[1]比较法-办公'!$B$123:$M$123</definedName>
    <definedName name="办公内部装修" localSheetId="12">'[1]比较法-办公'!$B$123:$M$123</definedName>
    <definedName name="办公内部装修">'比较法-办公'!$B$123:$M$123</definedName>
    <definedName name="办公物业管理" localSheetId="10">'[1]比较法-办公'!$B$115:$M$115</definedName>
    <definedName name="办公物业管理" localSheetId="11">'[1]比较法-办公'!$B$115:$M$115</definedName>
    <definedName name="办公物业管理" localSheetId="12">'[1]比较法-办公'!$B$115:$M$115</definedName>
    <definedName name="办公物业管理">'比较法-办公'!$B$115:$M$115</definedName>
    <definedName name="办公用途" localSheetId="10">'[1]比较法-办公'!$B$64:$M$64</definedName>
    <definedName name="办公用途" localSheetId="11">'[1]比较法-办公'!$B$64:$M$64</definedName>
    <definedName name="办公用途" localSheetId="12">'[1]比较法-办公'!$B$64:$M$64</definedName>
    <definedName name="办公用途">'比较法-办公'!$B$64:$M$64</definedName>
    <definedName name="仓储公共部分装修" localSheetId="10">'[1]比较法-仓储'!$B$77:$M$77</definedName>
    <definedName name="仓储公共部分装修" localSheetId="11">'[1]比较法-仓储'!$B$77:$M$77</definedName>
    <definedName name="仓储公共部分装修" localSheetId="12">'[1]比较法-仓储'!$B$77:$M$77</definedName>
    <definedName name="仓储公共部分装修">'比较法-仓储'!$B$77:$M$77</definedName>
    <definedName name="仓储交易情况" localSheetId="10">'[1]比较法-仓储'!$A$49:$M$49</definedName>
    <definedName name="仓储交易情况" localSheetId="11">'[1]比较法-仓储'!$A$49:$M$49</definedName>
    <definedName name="仓储交易情况" localSheetId="12">'[1]比较法-仓储'!$A$49:$M$49</definedName>
    <definedName name="仓储交易情况">'比较法-仓储'!$A$49:$M$49</definedName>
    <definedName name="仓储楼层" localSheetId="10">'[1]比较法-仓储'!$B$69:$M$69</definedName>
    <definedName name="仓储楼层" localSheetId="11">'[1]比较法-仓储'!$B$69:$M$69</definedName>
    <definedName name="仓储楼层" localSheetId="12">'[1]比较法-仓储'!$B$69:$M$69</definedName>
    <definedName name="仓储楼层">'比较法-仓储'!$B$69:$M$69</definedName>
    <definedName name="仓储物业等级" localSheetId="10">'[1]比较法-仓储'!$B$82:$M$82</definedName>
    <definedName name="仓储物业等级" localSheetId="11">'[1]比较法-仓储'!$B$82:$M$82</definedName>
    <definedName name="仓储物业等级" localSheetId="12">'[1]比较法-仓储'!$B$82:$M$82</definedName>
    <definedName name="仓储物业等级">'比较法-仓储'!$B$82:$M$82</definedName>
    <definedName name="仓储用途" localSheetId="10">'[1]比较法-仓储'!$B$51:$M$51</definedName>
    <definedName name="仓储用途" localSheetId="11">'[1]比较法-仓储'!$B$51:$M$51</definedName>
    <definedName name="仓储用途" localSheetId="12">'[1]比较法-仓储'!$B$51:$M$51</definedName>
    <definedName name="仓储用途">'比较法-仓储'!$B$51:$M$51</definedName>
    <definedName name="产业集聚程度" localSheetId="10">[1]定义!$N$1:$N$6</definedName>
    <definedName name="产业集聚程度" localSheetId="11">[1]定义!$N$1:$N$6</definedName>
    <definedName name="产业集聚程度" localSheetId="12">[1]定义!$N$1:$N$6</definedName>
    <definedName name="产业集聚程度">定义!$N$1:$N$6</definedName>
    <definedName name="车位公共部分装修" localSheetId="10">'[1]比较法-车位'!$B$83:$M$83</definedName>
    <definedName name="车位公共部分装修" localSheetId="11">'[1]比较法-车位'!$B$83:$M$83</definedName>
    <definedName name="车位公共部分装修" localSheetId="12">'[1]比较法-车位'!$B$83:$M$83</definedName>
    <definedName name="车位公共部分装修">'比较法-车位'!$B$83:$M$83</definedName>
    <definedName name="车位交易情况" localSheetId="10">'[1]比较法-车位'!$A$51:$M$51</definedName>
    <definedName name="车位交易情况" localSheetId="11">'[1]比较法-车位'!$A$51:$M$51</definedName>
    <definedName name="车位交易情况" localSheetId="12">'[1]比较法-车位'!$A$51:$M$51</definedName>
    <definedName name="车位交易情况">'比较法-车位'!$A$51:$M$51</definedName>
    <definedName name="车位类型" localSheetId="10">'[1]比较法-车位'!$B$93:$M$93</definedName>
    <definedName name="车位类型" localSheetId="11">'[1]比较法-车位'!$B$93:$M$93</definedName>
    <definedName name="车位类型" localSheetId="12">'[1]比较法-车位'!$B$93:$M$93</definedName>
    <definedName name="车位类型">'比较法-车位'!$B$93:$M$93</definedName>
    <definedName name="车位楼层" localSheetId="10">'[1]比较法-车位'!$B$71:$M$71</definedName>
    <definedName name="车位楼层" localSheetId="11">'[1]比较法-车位'!$B$71:$M$71</definedName>
    <definedName name="车位楼层" localSheetId="12">'[1]比较法-车位'!$B$71:$M$71</definedName>
    <definedName name="车位楼层">'比较法-车位'!$B$71:$M$71</definedName>
    <definedName name="车位配套类型" localSheetId="10">'[1]比较法-车位'!$B$79:$M$79</definedName>
    <definedName name="车位配套类型" localSheetId="11">'[1]比较法-车位'!$B$79:$M$79</definedName>
    <definedName name="车位配套类型" localSheetId="12">'[1]比较法-车位'!$B$79:$M$79</definedName>
    <definedName name="车位配套类型">'比较法-车位'!$B$79:$M$79</definedName>
    <definedName name="车位物业等级" localSheetId="10">'[1]比较法-车位'!$B$88:$M$88</definedName>
    <definedName name="车位物业等级" localSheetId="11">'[1]比较法-车位'!$B$88:$M$88</definedName>
    <definedName name="车位物业等级" localSheetId="12">'[1]比较法-车位'!$B$88:$M$88</definedName>
    <definedName name="车位物业等级">'比较法-车位'!$B$88:$M$88</definedName>
    <definedName name="车位用途" localSheetId="10">'[1]比较法-车位'!$B$53:$M$53</definedName>
    <definedName name="车位用途" localSheetId="11">'[1]比较法-车位'!$B$53:$M$53</definedName>
    <definedName name="车位用途" localSheetId="12">'[1]比较法-车位'!$B$53:$M$53</definedName>
    <definedName name="车位用途">'比较法-车位'!$B$53:$M$53</definedName>
    <definedName name="城镇土地纳税等级分级范围" localSheetId="10">'[1]数据-取费表'!$A$53:$A$63</definedName>
    <definedName name="城镇土地纳税等级分级范围" localSheetId="11">'[1]数据-取费表'!$A$53:$A$63</definedName>
    <definedName name="城镇土地纳税等级分级范围" localSheetId="12">'[1]数据-取费表'!$A$53:$A$63</definedName>
    <definedName name="城镇土地纳税等级分级范围">'数据-取费表'!$A$53:$A$63</definedName>
    <definedName name="单价内涵" localSheetId="10">[1]定义!$V$1:$V$3</definedName>
    <definedName name="单价内涵" localSheetId="11">[1]定义!$V$1:$V$3</definedName>
    <definedName name="单价内涵" localSheetId="12">[1]定义!$V$1:$V$3</definedName>
    <definedName name="单价内涵">定义!$V$1:$V$3</definedName>
    <definedName name="地类判定" localSheetId="10">[1]定义!$H$1:$H$9</definedName>
    <definedName name="地类判定" localSheetId="11">[1]定义!$H$1:$H$9</definedName>
    <definedName name="地类判定" localSheetId="12">[1]定义!$H$1:$H$9</definedName>
    <definedName name="地类判定">定义!$H$1:$H$9</definedName>
    <definedName name="二级">区片价!$J$1:$J$21</definedName>
    <definedName name="二级分类" localSheetId="10">[1]修正!$C$19:$C$51</definedName>
    <definedName name="二级分类" localSheetId="11">[1]修正!$C$19:$C$51</definedName>
    <definedName name="二级分类" localSheetId="12">[1]修正!$C$19:$C$51</definedName>
    <definedName name="二级分类">修正!$C$19:$C$51</definedName>
    <definedName name="法定最高年限" localSheetId="10">[1]定义!$G$1:$G$6</definedName>
    <definedName name="法定最高年限" localSheetId="11">[1]定义!$G$1:$G$6</definedName>
    <definedName name="法定最高年限" localSheetId="12">[1]定义!$G$1:$G$6</definedName>
    <definedName name="法定最高年限">定义!$G$1:$G$6</definedName>
    <definedName name="工业公共部分装修" localSheetId="10">'[1]比较法-工业'!$B$95:$M$95</definedName>
    <definedName name="工业公共部分装修" localSheetId="11">'[1]比较法-工业'!$B$95:$M$95</definedName>
    <definedName name="工业公共部分装修" localSheetId="12">'[1]比较法-工业'!$B$95:$M$95</definedName>
    <definedName name="工业公共部分装修">'比较法-工业'!$B$95:$M$95</definedName>
    <definedName name="工业基础设施水平" localSheetId="10">'[1]比较法-工业'!$B$102:$M$102</definedName>
    <definedName name="工业基础设施水平" localSheetId="11">'[1]比较法-工业'!$B$102:$M$102</definedName>
    <definedName name="工业基础设施水平" localSheetId="12">'[1]比较法-工业'!$B$102:$M$102</definedName>
    <definedName name="工业基础设施水平">'比较法-工业'!$B$102:$M$102</definedName>
    <definedName name="工业建筑结构" localSheetId="10">'[1]比较法-工业'!$B$93:$M$93</definedName>
    <definedName name="工业建筑结构" localSheetId="11">'[1]比较法-工业'!$B$93:$M$93</definedName>
    <definedName name="工业建筑结构" localSheetId="12">'[1]比较法-工业'!$B$93:$M$93</definedName>
    <definedName name="工业建筑结构">'比较法-工业'!$B$93:$M$93</definedName>
    <definedName name="工业建筑类型" localSheetId="10">'[1]比较法-工业'!$B$88:$M$88</definedName>
    <definedName name="工业建筑类型" localSheetId="11">'[1]比较法-工业'!$B$88:$M$88</definedName>
    <definedName name="工业建筑类型" localSheetId="12">'[1]比较法-工业'!$B$88:$M$88</definedName>
    <definedName name="工业建筑类型">'比较法-工业'!$B$88:$M$88</definedName>
    <definedName name="工业交易情况" localSheetId="10">'[1]比较法-工业'!$A$55:$M$55</definedName>
    <definedName name="工业交易情况" localSheetId="11">'[1]比较法-工业'!$A$55:$M$55</definedName>
    <definedName name="工业交易情况" localSheetId="12">'[1]比较法-工业'!$A$55:$M$55</definedName>
    <definedName name="工业交易情况">'比较法-工业'!$A$55:$M$55</definedName>
    <definedName name="工业内部装修" localSheetId="10">'[1]比较法-工业'!$B$104:$M$104</definedName>
    <definedName name="工业内部装修" localSheetId="11">'[1]比较法-工业'!$B$104:$M$104</definedName>
    <definedName name="工业内部装修" localSheetId="12">'[1]比较法-工业'!$B$104:$M$104</definedName>
    <definedName name="工业内部装修">'比较法-工业'!$B$104:$M$104</definedName>
    <definedName name="工业物业管理" localSheetId="10">'[1]比较法-工业'!$B$100:$M$100</definedName>
    <definedName name="工业物业管理" localSheetId="11">'[1]比较法-工业'!$B$100:$M$100</definedName>
    <definedName name="工业物业管理" localSheetId="12">'[1]比较法-工业'!$B$100:$M$100</definedName>
    <definedName name="工业物业管理">'比较法-工业'!$B$100:$M$100</definedName>
    <definedName name="工业用途" localSheetId="10">'[1]比较法-工业'!$B$57:$M$57</definedName>
    <definedName name="工业用途" localSheetId="11">'[1]比较法-工业'!$B$57:$M$57</definedName>
    <definedName name="工业用途" localSheetId="12">'[1]比较法-工业'!$B$57:$M$57</definedName>
    <definedName name="工业用途">'比较法-工业'!$B$57:$M$57</definedName>
    <definedName name="公共配套设施" localSheetId="10">[1]定义!$Q$1:$Q$6</definedName>
    <definedName name="公共配套设施" localSheetId="11">[1]定义!$Q$1:$Q$6</definedName>
    <definedName name="公共配套设施" localSheetId="12">[1]定义!$Q$1:$Q$6</definedName>
    <definedName name="公共配套设施">定义!$Q$1:$Q$6</definedName>
    <definedName name="估价范围判定" localSheetId="10">[1]定义!$D$1:$D$4</definedName>
    <definedName name="估价范围判定" localSheetId="11">[1]定义!$D$1:$D$4</definedName>
    <definedName name="估价范围判定" localSheetId="12">[1]定义!$D$1:$D$4</definedName>
    <definedName name="估价范围判定">定义!$D$1:$D$4</definedName>
    <definedName name="估价方法" localSheetId="10">[1]定义!$B$1:$B$50</definedName>
    <definedName name="估价方法" localSheetId="11">[1]定义!$B$1:$B$50</definedName>
    <definedName name="估价方法" localSheetId="12">[1]定义!$B$1:$B$50</definedName>
    <definedName name="估价方法">定义!$B$1:$B$50</definedName>
    <definedName name="环境" localSheetId="10">[1]定义!$S$1:$S$6</definedName>
    <definedName name="环境" localSheetId="11">[1]定义!$S$1:$S$6</definedName>
    <definedName name="环境" localSheetId="12">[1]定义!$S$1:$S$6</definedName>
    <definedName name="环境">定义!$S$1:$S$6</definedName>
    <definedName name="基础设施水平" localSheetId="10">[1]定义!$R$1:$R$6</definedName>
    <definedName name="基础设施水平" localSheetId="11">[1]定义!$R$1:$R$6</definedName>
    <definedName name="基础设施水平" localSheetId="12">[1]定义!$R$1:$R$6</definedName>
    <definedName name="基础设施水平">定义!$R$1:$R$6</definedName>
    <definedName name="季度" localSheetId="41">'办公-基准地价修正 '!$Q$19:$AD$19</definedName>
    <definedName name="季度" localSheetId="46">车位基准地价修正!$Q$19:$AD$19</definedName>
    <definedName name="季度">基准地价修正!$Q$19:$AD$19</definedName>
    <definedName name="价值类型2" localSheetId="10">[1]定义!$B$54:$B$56</definedName>
    <definedName name="价值类型2" localSheetId="11">[1]定义!$B$54:$B$56</definedName>
    <definedName name="价值类型2" localSheetId="12">[1]定义!$B$54:$B$56</definedName>
    <definedName name="价值类型2">定义!$B$54:$B$56</definedName>
    <definedName name="交通便捷度" localSheetId="10">[1]定义!$O$1:$O$6</definedName>
    <definedName name="交通便捷度" localSheetId="11">[1]定义!$O$1:$O$6</definedName>
    <definedName name="交通便捷度" localSheetId="12">[1]定义!$O$1:$O$6</definedName>
    <definedName name="交通便捷度">定义!$O$1:$O$6</definedName>
    <definedName name="九级">区片价!$Q$1:$Q$51</definedName>
    <definedName name="居住社区成熟度" localSheetId="10">[1]定义!$K$1:$K$6</definedName>
    <definedName name="居住社区成熟度" localSheetId="11">[1]定义!$K$1:$K$6</definedName>
    <definedName name="居住社区成熟度" localSheetId="12">[1]定义!$K$1:$K$6</definedName>
    <definedName name="居住社区成熟度">定义!$K$1:$K$6</definedName>
    <definedName name="类别" localSheetId="10">[1]定义!$J$1:$J$3</definedName>
    <definedName name="类别" localSheetId="11">[1]定义!$J$1:$J$3</definedName>
    <definedName name="类别" localSheetId="12">[1]定义!$J$1:$J$3</definedName>
    <definedName name="类别">定义!$J$1:$J$3</definedName>
    <definedName name="临街状况" localSheetId="10">[1]定义!$T$1:$T$5</definedName>
    <definedName name="临街状况" localSheetId="11">[1]定义!$T$1:$T$5</definedName>
    <definedName name="临街状况" localSheetId="12">[1]定义!$T$1:$T$5</definedName>
    <definedName name="临街状况">定义!$T$1:$T$5</definedName>
    <definedName name="六级">区片价!$N$1:$N$64</definedName>
    <definedName name="内部装修维护情况" localSheetId="10">[1]定义!$U$1:$U$6</definedName>
    <definedName name="内部装修维护情况" localSheetId="11">[1]定义!$U$1:$U$6</definedName>
    <definedName name="内部装修维护情况" localSheetId="12">[1]定义!$U$1:$U$6</definedName>
    <definedName name="内部装修维护情况">定义!$U$1:$U$6</definedName>
    <definedName name="七级">区片价!$O$1:$O$45</definedName>
    <definedName name="七通一平" localSheetId="10">[1]修正!$A$8:$A$16</definedName>
    <definedName name="七通一平" localSheetId="11">[1]修正!$A$8:$A$16</definedName>
    <definedName name="七通一平" localSheetId="12">[1]修正!$A$8:$A$16</definedName>
    <definedName name="七通一平">修正!$A$8:$A$16</definedName>
    <definedName name="区域土地利用方向" localSheetId="10">[1]定义!$P$1:$P$6</definedName>
    <definedName name="区域土地利用方向" localSheetId="11">[1]定义!$P$1:$P$6</definedName>
    <definedName name="区域土地利用方向" localSheetId="12">[1]定义!$P$1:$P$6</definedName>
    <definedName name="区域土地利用方向">定义!$P$1:$P$6</definedName>
    <definedName name="三级">区片价!$K$1:$K$26</definedName>
    <definedName name="商业层高" localSheetId="10">'[1]比较法-商业'!$B$116:$M$116</definedName>
    <definedName name="商业层高" localSheetId="11">'[1]比较法-商业'!$B$116:$M$116</definedName>
    <definedName name="商业层高" localSheetId="12">'[1]比较法-商业'!$B$116:$M$116</definedName>
    <definedName name="商业层高">'租金比较法-商业'!$B$116:$M$116</definedName>
    <definedName name="商业成新度">'租金比较法-商业'!$B$109:$M$109</definedName>
    <definedName name="商业繁华度" localSheetId="10">[1]定义!$L$1:$L$6</definedName>
    <definedName name="商业繁华度" localSheetId="11">[1]定义!$L$1:$L$6</definedName>
    <definedName name="商业繁华度" localSheetId="12">[1]定义!$L$1:$L$6</definedName>
    <definedName name="商业繁华度">定义!$L$1:$L$6</definedName>
    <definedName name="商业公共部分装修" localSheetId="10">'[1]比较法-商业'!$B$107:$M$107</definedName>
    <definedName name="商业公共部分装修" localSheetId="11">'[1]比较法-商业'!$B$107:$M$107</definedName>
    <definedName name="商业公共部分装修" localSheetId="12">'[1]比较法-商业'!$B$107:$M$107</definedName>
    <definedName name="商业公共部分装修">'租金比较法-商业'!$B$107:$M$107</definedName>
    <definedName name="商业基础设施水平" localSheetId="10">'[1]比较法-商业'!$B$112:$M$112</definedName>
    <definedName name="商业基础设施水平" localSheetId="11">'[1]比较法-商业'!$B$112:$M$112</definedName>
    <definedName name="商业基础设施水平" localSheetId="12">'[1]比较法-商业'!$B$112:$M$112</definedName>
    <definedName name="商业基础设施水平">'租金比较法-商业'!$B$112:$M$112</definedName>
    <definedName name="商业建筑结构" localSheetId="10">'[1]比较法-商业'!$B$105:$M$105</definedName>
    <definedName name="商业建筑结构" localSheetId="11">'[1]比较法-商业'!$B$105:$M$105</definedName>
    <definedName name="商业建筑结构" localSheetId="12">'[1]比较法-商业'!$B$105:$M$105</definedName>
    <definedName name="商业建筑结构">'租金比较法-商业'!$B$105:$M$105</definedName>
    <definedName name="商业交易情况" localSheetId="10">'[1]比较法-商业'!$A$61:$M$61</definedName>
    <definedName name="商业交易情况" localSheetId="11">'[1]比较法-商业'!$A$61:$M$61</definedName>
    <definedName name="商业交易情况" localSheetId="12">'[1]比较法-商业'!$A$61:$M$61</definedName>
    <definedName name="商业交易情况">'租金比较法-商业'!$A$61:$M$61</definedName>
    <definedName name="商业街名称" localSheetId="10">[1]修正!$C$71:$C$138</definedName>
    <definedName name="商业街名称" localSheetId="11">[1]修正!$C$71:$C$138</definedName>
    <definedName name="商业街名称" localSheetId="12">[1]修正!$C$71:$C$138</definedName>
    <definedName name="商业街名称">修正!$C$71:$C$138</definedName>
    <definedName name="商业进深比" localSheetId="10">'[1]比较法-商业'!$B$120:$M$120</definedName>
    <definedName name="商业进深比" localSheetId="11">'[1]比较法-商业'!$B$120:$M$120</definedName>
    <definedName name="商业进深比" localSheetId="12">'[1]比较法-商业'!$B$120:$M$120</definedName>
    <definedName name="商业进深比">'租金比较法-商业'!$B$120:$M$120</definedName>
    <definedName name="商业类型" localSheetId="10">'[1]比较法-商业'!$B$100:$M$100</definedName>
    <definedName name="商业类型" localSheetId="11">'[1]比较法-商业'!$B$100:$M$100</definedName>
    <definedName name="商业类型" localSheetId="12">'[1]比较法-商业'!$B$100:$M$100</definedName>
    <definedName name="商业类型">'租金比较法-商业'!$B$100:$M$100</definedName>
    <definedName name="商业临街状况" localSheetId="10">'[1]比较法-商业'!$B$86:$M$86</definedName>
    <definedName name="商业临街状况" localSheetId="11">'[1]比较法-商业'!$B$86:$M$86</definedName>
    <definedName name="商业临街状况" localSheetId="12">'[1]比较法-商业'!$B$86:$M$86</definedName>
    <definedName name="商业临街状况">'租金比较法-商业'!$B$86:$M$86</definedName>
    <definedName name="商业楼层" localSheetId="10">'[1]比较法-商业'!$B$92:$M$92</definedName>
    <definedName name="商业楼层" localSheetId="11">'[1]比较法-商业'!$B$92:$M$92</definedName>
    <definedName name="商业楼层" localSheetId="12">'[1]比较法-商业'!$B$92:$M$92</definedName>
    <definedName name="商业楼层">'租金比较法-商业'!$B$92:$M$92</definedName>
    <definedName name="商业内部装修" localSheetId="10">'[1]比较法-商业'!$B$122:$M$122</definedName>
    <definedName name="商业内部装修" localSheetId="11">'[1]比较法-商业'!$B$122:$M$122</definedName>
    <definedName name="商业内部装修" localSheetId="12">'[1]比较法-商业'!$B$122:$M$122</definedName>
    <definedName name="商业内部装修">'租金比较法-商业'!$B$122:$M$122</definedName>
    <definedName name="商业人流量" localSheetId="10">'[1]比较法-商业'!$B$90:$M$90</definedName>
    <definedName name="商业人流量" localSheetId="11">'[1]比较法-商业'!$B$90:$M$90</definedName>
    <definedName name="商业人流量" localSheetId="12">'[1]比较法-商业'!$B$90:$M$90</definedName>
    <definedName name="商业人流量">'租金比较法-商业'!$B$90:$M$90</definedName>
    <definedName name="商业业态" localSheetId="10">'[1]比较法-商业'!$B$114:$M$114</definedName>
    <definedName name="商业业态" localSheetId="11">'[1]比较法-商业'!$B$114:$M$114</definedName>
    <definedName name="商业业态" localSheetId="12">'[1]比较法-商业'!$B$114:$M$114</definedName>
    <definedName name="商业业态">'租金比较法-商业'!$B$114:$M$114</definedName>
    <definedName name="商业用途" localSheetId="10">'[1]比较法-商业'!$B$63:$M$63</definedName>
    <definedName name="商业用途" localSheetId="11">'[1]比较法-商业'!$B$63:$M$63</definedName>
    <definedName name="商业用途" localSheetId="12">'[1]比较法-商业'!$B$63:$M$63</definedName>
    <definedName name="商业用途">'租金比较法-商业'!$B$63:$M$63</definedName>
    <definedName name="十二级">区片价!$T$1:$T$8</definedName>
    <definedName name="十级">区片价!$R$1:$R$32</definedName>
    <definedName name="十一级">区片价!$S$1:$S$21</definedName>
    <definedName name="是否封闭" localSheetId="10">'[1]比较法-仓储'!$B$89:$M$89</definedName>
    <definedName name="是否封闭" localSheetId="11">'[1]比较法-仓储'!$B$89:$M$89</definedName>
    <definedName name="是否封闭" localSheetId="12">'[1]比较法-仓储'!$B$89:$M$89</definedName>
    <definedName name="是否封闭">'比较法-仓储'!$B$89:$M$89</definedName>
    <definedName name="是否直接入户" localSheetId="10">'[1]比较法-车位'!$B$95:$M$95</definedName>
    <definedName name="是否直接入户" localSheetId="11">'[1]比较法-车位'!$B$95:$M$95</definedName>
    <definedName name="是否直接入户" localSheetId="12">'[1]比较法-车位'!$B$95:$M$95</definedName>
    <definedName name="是否直接入户">'比较法-车位'!$B$95:$M$95</definedName>
    <definedName name="四级">区片价!$L$1:$L$33</definedName>
    <definedName name="套工道路等级" localSheetId="10">'[1]土地比较法-工业'!$B$97:$M$97</definedName>
    <definedName name="套工道路等级" localSheetId="11">'[1]土地比较法-工业'!$B$97:$M$97</definedName>
    <definedName name="套工道路等级" localSheetId="12">'[1]土地比较法-工业'!$B$97:$M$97</definedName>
    <definedName name="套工道路等级">'土地比较法-工业'!$B$97:$M$97</definedName>
    <definedName name="套工地质条件" localSheetId="10">'[1]土地比较法-工业'!$B$114:$M$114</definedName>
    <definedName name="套工地质条件" localSheetId="11">'[1]土地比较法-工业'!$B$114:$M$114</definedName>
    <definedName name="套工地质条件" localSheetId="12">'[1]土地比较法-工业'!$B$114:$M$114</definedName>
    <definedName name="套工地质条件">'土地比较法-工业'!$B$114:$M$114</definedName>
    <definedName name="套工交易情况" localSheetId="10">'[1]土地比较法-住宅、综合'!$A$72:$M$72</definedName>
    <definedName name="套工交易情况" localSheetId="11">'[1]土地比较法-住宅、综合'!$A$72:$M$72</definedName>
    <definedName name="套工交易情况" localSheetId="12">'[1]土地比较法-住宅、综合'!$A$72:$M$72</definedName>
    <definedName name="套工交易情况">'土地比较法-住宅、综合'!$A$72:$M$72</definedName>
    <definedName name="套工土地级别" localSheetId="10">'[1]土地比较法-工业'!$B$99:$M$99</definedName>
    <definedName name="套工土地级别" localSheetId="11">'[1]土地比较法-工业'!$B$99:$M$99</definedName>
    <definedName name="套工土地级别" localSheetId="12">'[1]土地比较法-工业'!$B$99:$M$99</definedName>
    <definedName name="套工土地级别">'土地比较法-工业'!$B$99:$M$99</definedName>
    <definedName name="套工用途" localSheetId="10">'[1]土地比较法-工业'!$B$70:$M$70</definedName>
    <definedName name="套工用途" localSheetId="11">'[1]土地比较法-工业'!$B$70:$M$70</definedName>
    <definedName name="套工用途" localSheetId="12">'[1]土地比较法-工业'!$B$70:$M$70</definedName>
    <definedName name="套工用途">'土地比较法-工业'!$B$70:$M$70</definedName>
    <definedName name="套工宗地开发程度" localSheetId="10">'[1]土地比较法-工业'!$B$112:$M$112</definedName>
    <definedName name="套工宗地开发程度" localSheetId="11">'[1]土地比较法-工业'!$B$112:$M$112</definedName>
    <definedName name="套工宗地开发程度" localSheetId="12">'[1]土地比较法-工业'!$B$112:$M$112</definedName>
    <definedName name="套工宗地开发程度">'土地比较法-工业'!$B$112:$M$112</definedName>
    <definedName name="套工宗地形状" localSheetId="10">'[1]土地比较法-工业'!$B$110:$M$110</definedName>
    <definedName name="套工宗地形状" localSheetId="11">'[1]土地比较法-工业'!$B$110:$M$110</definedName>
    <definedName name="套工宗地形状" localSheetId="12">'[1]土地比较法-工业'!$B$110:$M$110</definedName>
    <definedName name="套工宗地形状">'土地比较法-工业'!$B$110:$M$110</definedName>
    <definedName name="套综道路等级" localSheetId="10">'[1]土地比较法-住宅、综合'!$B$105:$M$105</definedName>
    <definedName name="套综道路等级" localSheetId="11">'[1]土地比较法-住宅、综合'!$B$105:$M$105</definedName>
    <definedName name="套综道路等级" localSheetId="12">'[1]土地比较法-住宅、综合'!$B$105:$M$105</definedName>
    <definedName name="套综道路等级">'土地比较法-住宅、综合'!$B$105:$M$105</definedName>
    <definedName name="套综工程地质条件" localSheetId="10">'[1]土地比较法-住宅、综合'!$B$124:$M$124</definedName>
    <definedName name="套综工程地质条件" localSheetId="11">'[1]土地比较法-住宅、综合'!$B$124:$M$124</definedName>
    <definedName name="套综工程地质条件" localSheetId="12">'[1]土地比较法-住宅、综合'!$B$124:$M$124</definedName>
    <definedName name="套综工程地质条件">'土地比较法-住宅、综合'!$B$124:$M$124</definedName>
    <definedName name="套综交易情况" localSheetId="10">'[1]土地比较法-住宅、综合'!$A$72:$M$72</definedName>
    <definedName name="套综交易情况" localSheetId="11">'[1]土地比较法-住宅、综合'!$A$72:$M$72</definedName>
    <definedName name="套综交易情况" localSheetId="12">'[1]土地比较法-住宅、综合'!$A$72:$M$72</definedName>
    <definedName name="套综交易情况">'土地比较法-住宅、综合'!$A$72:$M$72</definedName>
    <definedName name="套综临街宽度及深度" localSheetId="10">'[1]土地比较法-住宅、综合'!$B$120:$M$120</definedName>
    <definedName name="套综临街宽度及深度" localSheetId="11">'[1]土地比较法-住宅、综合'!$B$120:$M$120</definedName>
    <definedName name="套综临街宽度及深度" localSheetId="12">'[1]土地比较法-住宅、综合'!$B$120:$M$120</definedName>
    <definedName name="套综临街宽度及深度">'土地比较法-住宅、综合'!$B$120:$M$120</definedName>
    <definedName name="套综土地级别" localSheetId="10">'[1]土地比较法-住宅、综合'!$B$107:$M$107</definedName>
    <definedName name="套综土地级别" localSheetId="11">'[1]土地比较法-住宅、综合'!$B$107:$M$107</definedName>
    <definedName name="套综土地级别" localSheetId="12">'[1]土地比较法-住宅、综合'!$B$107:$M$107</definedName>
    <definedName name="套综土地级别">'土地比较法-住宅、综合'!$B$107:$M$107</definedName>
    <definedName name="套综用途" localSheetId="10">'[1]土地比较法-住宅、综合'!$B$74:$M$74</definedName>
    <definedName name="套综用途" localSheetId="11">'[1]土地比较法-住宅、综合'!$B$74:$M$74</definedName>
    <definedName name="套综用途" localSheetId="12">'[1]土地比较法-住宅、综合'!$B$74:$M$74</definedName>
    <definedName name="套综用途">'土地比较法-住宅、综合'!$B$74:$M$74</definedName>
    <definedName name="套综宗地内开发程度" localSheetId="10">'[1]土地比较法-住宅、综合'!$B$122:$M$122</definedName>
    <definedName name="套综宗地内开发程度" localSheetId="11">'[1]土地比较法-住宅、综合'!$B$122:$M$122</definedName>
    <definedName name="套综宗地内开发程度" localSheetId="12">'[1]土地比较法-住宅、综合'!$B$122:$M$122</definedName>
    <definedName name="套综宗地内开发程度">'土地比较法-住宅、综合'!$B$122:$M$122</definedName>
    <definedName name="套综宗地形状" localSheetId="10">'[1]土地比较法-住宅、综合'!$B$118:$M$118</definedName>
    <definedName name="套综宗地形状" localSheetId="11">'[1]土地比较法-住宅、综合'!$B$118:$M$118</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0">[1]定义!$C$1:$C$14</definedName>
    <definedName name="土地级别" localSheetId="11">[1]定义!$C$1:$C$14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0">[1]定义!$E$2:$E$4</definedName>
    <definedName name="位置" localSheetId="11">[1]定义!$E$2:$E$4</definedName>
    <definedName name="位置" localSheetId="12">[1]定义!$E$2:$E$4</definedName>
    <definedName name="位置">定义!$E$2:$E$4</definedName>
    <definedName name="五等判定" localSheetId="10">[1]定义!$W$1:$W$6</definedName>
    <definedName name="五等判定" localSheetId="11">[1]定义!$W$1:$W$6</definedName>
    <definedName name="五等判定" localSheetId="12">[1]定义!$W$1:$W$6</definedName>
    <definedName name="五等判定">定义!$W$1:$W$6</definedName>
    <definedName name="五级">区片价!$M$1:$M$41</definedName>
    <definedName name="项目类型" localSheetId="10">'[1]数据-汇总表'!$C$17:$C$26</definedName>
    <definedName name="项目类型" localSheetId="11">'[1]数据-汇总表'!$C$17:$C$26</definedName>
    <definedName name="项目类型" localSheetId="32">'[2]数据-汇总表'!$C$17:$C$26</definedName>
    <definedName name="项目类型" localSheetId="12">'[1]数据-汇总表'!$C$17:$C$26</definedName>
    <definedName name="项目类型">'数据-汇总表'!$C$17:$C$26</definedName>
    <definedName name="写字楼等级" localSheetId="10">'[1]比较法-办公'!$B$113:$M$113</definedName>
    <definedName name="写字楼等级" localSheetId="11">'[1]比较法-办公'!$B$113:$M$113</definedName>
    <definedName name="写字楼等级" localSheetId="12">'[1]比较法-办公'!$B$113:$M$113</definedName>
    <definedName name="写字楼等级">'比较法-办公'!$B$113:$M$113</definedName>
    <definedName name="一级">区片价!$I$1:$I$6</definedName>
    <definedName name="一修多修正项2" localSheetId="10">[1]典型户型修正!$5:$5</definedName>
    <definedName name="一修多修正项2" localSheetId="43">'车位-典型户型修正'!$5:$5</definedName>
    <definedName name="一修多修正项2" localSheetId="11">[1]典型户型修正!$5:$5</definedName>
    <definedName name="一修多修正项2" localSheetId="12">[1]典型户型修正!$5:$5</definedName>
    <definedName name="一修多修正项2">'办公-典型户型修正'!$5:$5</definedName>
    <definedName name="一修多修正项3" localSheetId="10">[1]典型户型修正!$7:$7</definedName>
    <definedName name="一修多修正项3" localSheetId="43">'车位-典型户型修正'!$7:$7</definedName>
    <definedName name="一修多修正项3" localSheetId="11">[1]典型户型修正!$7:$7</definedName>
    <definedName name="一修多修正项3" localSheetId="12">[1]典型户型修正!$7:$7</definedName>
    <definedName name="一修多修正项3">'办公-典型户型修正'!$7:$7</definedName>
    <definedName name="一修多修正项4" localSheetId="10">[1]典型户型修正!$9:$9</definedName>
    <definedName name="一修多修正项4" localSheetId="43">'车位-典型户型修正'!$9:$9</definedName>
    <definedName name="一修多修正项4" localSheetId="11">[1]典型户型修正!$9:$9</definedName>
    <definedName name="一修多修正项4" localSheetId="12">[1]典型户型修正!$9:$9</definedName>
    <definedName name="一修多修正项4">'办公-典型户型修正'!$9:$9</definedName>
    <definedName name="一修多修正项5" localSheetId="10">[1]典型户型修正!$11:$11</definedName>
    <definedName name="一修多修正项5" localSheetId="43">'车位-典型户型修正'!$11:$11</definedName>
    <definedName name="一修多修正项5" localSheetId="11">[1]典型户型修正!$11:$11</definedName>
    <definedName name="一修多修正项5" localSheetId="12">[1]典型户型修正!$11:$11</definedName>
    <definedName name="一修多修正项5">'办公-典型户型修正'!$11:$11</definedName>
    <definedName name="一修多修正项6" localSheetId="10">[1]典型户型修正!$13:$13</definedName>
    <definedName name="一修多修正项6" localSheetId="43">'车位-典型户型修正'!$13:$13</definedName>
    <definedName name="一修多修正项6" localSheetId="11">[1]典型户型修正!$13:$13</definedName>
    <definedName name="一修多修正项6" localSheetId="12">[1]典型户型修正!$13:$13</definedName>
    <definedName name="一修多修正项6">'办公-典型户型修正'!$13:$13</definedName>
    <definedName name="一修多修正项7" localSheetId="10">[1]典型户型修正!$15:$15</definedName>
    <definedName name="一修多修正项7" localSheetId="43">'车位-典型户型修正'!$15:$15</definedName>
    <definedName name="一修多修正项7" localSheetId="11">[1]典型户型修正!$15:$15</definedName>
    <definedName name="一修多修正项7" localSheetId="12">[1]典型户型修正!$15:$15</definedName>
    <definedName name="一修多修正项7">'办公-典型户型修正'!$15:$15</definedName>
    <definedName name="一修多修正项8" localSheetId="10">[1]典型户型修正!$17:$17</definedName>
    <definedName name="一修多修正项8" localSheetId="43">'车位-典型户型修正'!$17:$17</definedName>
    <definedName name="一修多修正项8" localSheetId="11">[1]典型户型修正!$17:$17</definedName>
    <definedName name="一修多修正项8" localSheetId="12">[1]典型户型修正!$17:$17</definedName>
    <definedName name="一修多修正项8">'办公-典型户型修正'!$17:$17</definedName>
    <definedName name="用途明细" localSheetId="10">[1]定义!$A$1:$A$50</definedName>
    <definedName name="用途明细" localSheetId="11">[1]定义!$A$1:$A$50</definedName>
    <definedName name="用途明细" localSheetId="12">[1]定义!$A$1:$A$50</definedName>
    <definedName name="用途明细">定义!$A$1:$A$50</definedName>
    <definedName name="有无电梯" localSheetId="10">'[1]比较法-仓储'!$B$84:$M$84</definedName>
    <definedName name="有无电梯" localSheetId="11">'[1]比较法-仓储'!$B$84:$M$84</definedName>
    <definedName name="有无电梯" localSheetId="12">'[1]比较法-仓储'!$B$84:$M$84</definedName>
    <definedName name="有无电梯">'比较法-仓储'!$B$84:$M$84</definedName>
    <definedName name="主用途" localSheetId="10">[1]定义!$F$1:$F$12</definedName>
    <definedName name="主用途" localSheetId="11">[1]定义!$F$1:$F$12</definedName>
    <definedName name="主用途" localSheetId="12">[1]定义!$F$1:$F$12</definedName>
    <definedName name="主用途">定义!$F$1:$F$12</definedName>
    <definedName name="住宅朝向" localSheetId="10">'[1]比较法-住宅'!$B$88:$M$88</definedName>
    <definedName name="住宅朝向" localSheetId="11">'[1]比较法-住宅'!$B$88:$M$88</definedName>
    <definedName name="住宅朝向" localSheetId="12">'[1]比较法-住宅'!$B$88:$M$88</definedName>
    <definedName name="住宅朝向">'比较法-住宅'!$B$88:$M$88</definedName>
    <definedName name="住宅房型" localSheetId="10">'[1]比较法-住宅'!$B$118:$M$118</definedName>
    <definedName name="住宅房型" localSheetId="11">'[1]比较法-住宅'!$B$118:$M$118</definedName>
    <definedName name="住宅房型" localSheetId="12">'[1]比较法-住宅'!$B$118:$M$118</definedName>
    <definedName name="住宅房型">'比较法-住宅'!$B$118:$M$118</definedName>
    <definedName name="住宅公共部分装修" localSheetId="10">'[1]比较法-住宅'!$B$109:$M$109</definedName>
    <definedName name="住宅公共部分装修" localSheetId="11">'[1]比较法-住宅'!$B$109:$M$109</definedName>
    <definedName name="住宅公共部分装修" localSheetId="12">'[1]比较法-住宅'!$B$109:$M$109</definedName>
    <definedName name="住宅公共部分装修">'比较法-住宅'!$B$109:$M$109</definedName>
    <definedName name="住宅基础设施水平" localSheetId="10">'[1]比较法-住宅'!$B$116:$M$116</definedName>
    <definedName name="住宅基础设施水平" localSheetId="11">'[1]比较法-住宅'!$B$116:$M$116</definedName>
    <definedName name="住宅基础设施水平" localSheetId="12">'[1]比较法-住宅'!$B$116:$M$116</definedName>
    <definedName name="住宅基础设施水平">'比较法-住宅'!$B$116:$M$116</definedName>
    <definedName name="住宅建筑结构" localSheetId="10">'[1]比较法-住宅'!$B$105:$M$105</definedName>
    <definedName name="住宅建筑结构" localSheetId="11">'[1]比较法-住宅'!$B$105:$M$105</definedName>
    <definedName name="住宅建筑结构" localSheetId="12">'[1]比较法-住宅'!$B$105:$M$105</definedName>
    <definedName name="住宅建筑结构">'比较法-住宅'!$B$105:$M$105</definedName>
    <definedName name="住宅建筑类型" localSheetId="10">'[1]比较法-住宅'!$B$100:$M$100</definedName>
    <definedName name="住宅建筑类型" localSheetId="11">'[1]比较法-住宅'!$B$100:$M$100</definedName>
    <definedName name="住宅建筑类型" localSheetId="12">'[1]比较法-住宅'!$B$100:$M$100</definedName>
    <definedName name="住宅建筑类型">'比较法-住宅'!$B$100:$M$100</definedName>
    <definedName name="住宅建筑品质" localSheetId="10">'[1]比较法-住宅'!$B$107:$M$107</definedName>
    <definedName name="住宅建筑品质" localSheetId="11">'[1]比较法-住宅'!$B$107:$M$107</definedName>
    <definedName name="住宅建筑品质" localSheetId="12">'[1]比较法-住宅'!$B$107:$M$107</definedName>
    <definedName name="住宅建筑品质">'比较法-住宅'!$B$107:$M$107</definedName>
    <definedName name="住宅交易情况" localSheetId="10">'[1]比较法-住宅'!$A$61:$M$61</definedName>
    <definedName name="住宅交易情况" localSheetId="11">'[1]比较法-住宅'!$A$61:$M$61</definedName>
    <definedName name="住宅交易情况" localSheetId="12">'[1]比较法-住宅'!$A$61:$M$61</definedName>
    <definedName name="住宅交易情况">'比较法-住宅'!$A$61:$M$61</definedName>
    <definedName name="住宅楼层" localSheetId="10">'[1]比较法-住宅'!$B$86:$M$86</definedName>
    <definedName name="住宅楼层" localSheetId="11">'[1]比较法-住宅'!$B$86:$M$86</definedName>
    <definedName name="住宅楼层" localSheetId="12">'[1]比较法-住宅'!$B$86:$M$86</definedName>
    <definedName name="住宅楼层">'比较法-住宅'!$B$86:$M$86</definedName>
    <definedName name="住宅内部装修" localSheetId="10">'[1]比较法-住宅'!$B$122:$M$122</definedName>
    <definedName name="住宅内部装修" localSheetId="11">'[1]比较法-住宅'!$B$122:$M$122</definedName>
    <definedName name="住宅内部装修" localSheetId="12">'[1]比较法-住宅'!$B$122:$M$122</definedName>
    <definedName name="住宅内部装修">'比较法-住宅'!$B$122:$M$122</definedName>
    <definedName name="住宅物业管理" localSheetId="10">'[1]比较法-住宅'!$B$114:$M$114</definedName>
    <definedName name="住宅物业管理" localSheetId="11">'[1]比较法-住宅'!$B$114:$M$114</definedName>
    <definedName name="住宅物业管理" localSheetId="12">'[1]比较法-住宅'!$B$114:$M$114</definedName>
    <definedName name="住宅物业管理">'比较法-住宅'!$B$114:$M$114</definedName>
    <definedName name="住宅用途" localSheetId="10">'[1]比较法-住宅'!$B$63:$M$63</definedName>
    <definedName name="住宅用途" localSheetId="11">'[1]比较法-住宅'!$B$63:$M$63</definedName>
    <definedName name="住宅用途" localSheetId="12">'[1]比较法-住宅'!$B$63:$M$63</definedName>
    <definedName name="住宅用途">'比较法-住宅'!$B$63:$M$63</definedName>
    <definedName name="住宅主力户型面积">'比较法-住宅'!$B$120:$M$120</definedName>
    <definedName name="注册房地产估价师" localSheetId="10">[1]估价师及机构信息!$A$3:$A$16</definedName>
    <definedName name="注册房地产估价师" localSheetId="11">[1]估价师及机构信息!$A$3:$A$16</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44" i="80" l="1"/>
  <c r="I45" i="80"/>
  <c r="I46" i="80"/>
  <c r="I47" i="80"/>
  <c r="I48" i="80"/>
  <c r="I49" i="80"/>
  <c r="I43" i="80"/>
  <c r="V937" i="80"/>
  <c r="V932" i="80"/>
  <c r="Z932" i="80"/>
  <c r="Z933" i="80" s="1"/>
  <c r="V181" i="80"/>
  <c r="V126" i="80"/>
  <c r="V91" i="80"/>
  <c r="Z181" i="80"/>
  <c r="Z126" i="80"/>
  <c r="Z91" i="80"/>
  <c r="Z56" i="80"/>
  <c r="W1" i="101"/>
  <c r="C1" i="101"/>
  <c r="H1" i="101"/>
  <c r="M1" i="101"/>
  <c r="O1" i="101"/>
  <c r="R1" i="101"/>
  <c r="T1" i="101"/>
  <c r="J1" i="101"/>
  <c r="E1" i="101"/>
  <c r="X6" i="101"/>
  <c r="X7" i="101"/>
  <c r="X8" i="101"/>
  <c r="X9" i="101"/>
  <c r="X10" i="101"/>
  <c r="X11" i="101"/>
  <c r="X12" i="101"/>
  <c r="X13" i="101"/>
  <c r="X14" i="101"/>
  <c r="X15" i="101"/>
  <c r="X16" i="101"/>
  <c r="X17" i="101"/>
  <c r="X18" i="101"/>
  <c r="X19" i="101"/>
  <c r="X20" i="101"/>
  <c r="X21" i="101"/>
  <c r="X22" i="101"/>
  <c r="X23" i="101"/>
  <c r="X24" i="101"/>
  <c r="X25" i="101"/>
  <c r="X26" i="101"/>
  <c r="X27" i="101"/>
  <c r="X28" i="101"/>
  <c r="X29" i="101"/>
  <c r="X30" i="101"/>
  <c r="X31" i="101"/>
  <c r="X32" i="101"/>
  <c r="X33" i="101"/>
  <c r="X34" i="101"/>
  <c r="X35" i="101"/>
  <c r="X36" i="101"/>
  <c r="X37" i="101"/>
  <c r="X38" i="101"/>
  <c r="X39" i="101"/>
  <c r="X40" i="101"/>
  <c r="X41" i="101"/>
  <c r="X42" i="101"/>
  <c r="X43" i="101"/>
  <c r="X44" i="101"/>
  <c r="X45" i="101"/>
  <c r="X46" i="101"/>
  <c r="X47" i="101"/>
  <c r="X48" i="101"/>
  <c r="X49" i="101"/>
  <c r="X50" i="101"/>
  <c r="X51" i="101"/>
  <c r="X52" i="101"/>
  <c r="X53" i="101"/>
  <c r="X54" i="101"/>
  <c r="X55" i="101"/>
  <c r="X56" i="101"/>
  <c r="X57" i="101"/>
  <c r="X58" i="101"/>
  <c r="X59" i="101"/>
  <c r="X60" i="101"/>
  <c r="X61" i="101"/>
  <c r="X62" i="101"/>
  <c r="X63" i="101"/>
  <c r="X64" i="101"/>
  <c r="X65" i="101"/>
  <c r="X66" i="101"/>
  <c r="X67" i="101"/>
  <c r="X68" i="101"/>
  <c r="X69" i="101"/>
  <c r="X70" i="101"/>
  <c r="X71" i="101"/>
  <c r="X72" i="101"/>
  <c r="X73" i="101"/>
  <c r="X74" i="101"/>
  <c r="X75" i="101"/>
  <c r="X76" i="101"/>
  <c r="X77" i="101"/>
  <c r="X78" i="101"/>
  <c r="X79" i="101"/>
  <c r="X80" i="101"/>
  <c r="X81" i="101"/>
  <c r="X82" i="101"/>
  <c r="X83" i="101"/>
  <c r="X84" i="101"/>
  <c r="X85" i="101"/>
  <c r="X86" i="101"/>
  <c r="X87" i="101"/>
  <c r="X88" i="101"/>
  <c r="X89" i="101"/>
  <c r="X90" i="101"/>
  <c r="X91" i="101"/>
  <c r="X92" i="101"/>
  <c r="X93" i="101"/>
  <c r="X94" i="101"/>
  <c r="X95" i="101"/>
  <c r="X96" i="101"/>
  <c r="X97" i="101"/>
  <c r="X98" i="101"/>
  <c r="X99" i="101"/>
  <c r="X100" i="101"/>
  <c r="X101" i="101"/>
  <c r="X102" i="101"/>
  <c r="X103" i="101"/>
  <c r="X104" i="101"/>
  <c r="X105" i="101"/>
  <c r="X106" i="101"/>
  <c r="X107" i="101"/>
  <c r="X108" i="101"/>
  <c r="X109" i="101"/>
  <c r="X110" i="101"/>
  <c r="X111" i="101"/>
  <c r="X112" i="101"/>
  <c r="X113" i="101"/>
  <c r="X114" i="101"/>
  <c r="X115" i="101"/>
  <c r="X116" i="101"/>
  <c r="X117" i="101"/>
  <c r="X118" i="101"/>
  <c r="X119" i="101"/>
  <c r="X120" i="101"/>
  <c r="X121" i="101"/>
  <c r="X122" i="101"/>
  <c r="X123" i="101"/>
  <c r="X124" i="101"/>
  <c r="X125" i="101"/>
  <c r="X126" i="101"/>
  <c r="X127" i="101"/>
  <c r="X128" i="101"/>
  <c r="X129" i="101"/>
  <c r="X130" i="101"/>
  <c r="X131" i="101"/>
  <c r="X132" i="101"/>
  <c r="X133" i="101"/>
  <c r="X134" i="101"/>
  <c r="X135" i="101"/>
  <c r="X136" i="101"/>
  <c r="X137" i="101"/>
  <c r="X138" i="101"/>
  <c r="X139" i="101"/>
  <c r="X140" i="101"/>
  <c r="X141" i="101"/>
  <c r="X142" i="101"/>
  <c r="X143" i="101"/>
  <c r="X144" i="101"/>
  <c r="X145" i="101"/>
  <c r="X146" i="101"/>
  <c r="X147" i="101"/>
  <c r="X148" i="101"/>
  <c r="X149" i="101"/>
  <c r="X150" i="101"/>
  <c r="X151" i="101"/>
  <c r="X152" i="101"/>
  <c r="X153" i="101"/>
  <c r="X154" i="101"/>
  <c r="X155" i="101"/>
  <c r="X156" i="101"/>
  <c r="X157" i="101"/>
  <c r="X158" i="101"/>
  <c r="X159" i="101"/>
  <c r="X160" i="101"/>
  <c r="X161" i="101"/>
  <c r="X162" i="101"/>
  <c r="X163" i="101"/>
  <c r="X164" i="101"/>
  <c r="X165" i="101"/>
  <c r="X166" i="101"/>
  <c r="X167" i="101"/>
  <c r="X168" i="101"/>
  <c r="X169" i="101"/>
  <c r="X170" i="101"/>
  <c r="X171" i="101"/>
  <c r="X172" i="101"/>
  <c r="X173" i="101"/>
  <c r="X174" i="101"/>
  <c r="X175" i="101"/>
  <c r="X176" i="101"/>
  <c r="X177" i="101"/>
  <c r="X178" i="101"/>
  <c r="X179" i="101"/>
  <c r="X180" i="101"/>
  <c r="X181" i="101"/>
  <c r="X182" i="101"/>
  <c r="X183" i="101"/>
  <c r="X184" i="101"/>
  <c r="X185" i="101"/>
  <c r="X186" i="101"/>
  <c r="X187" i="101"/>
  <c r="X188" i="101"/>
  <c r="X189" i="101"/>
  <c r="X190" i="101"/>
  <c r="X191" i="101"/>
  <c r="X192" i="101"/>
  <c r="X193" i="101"/>
  <c r="X194" i="101"/>
  <c r="X195" i="101"/>
  <c r="X196" i="101"/>
  <c r="X197" i="101"/>
  <c r="X198" i="101"/>
  <c r="X199" i="101"/>
  <c r="X200" i="101"/>
  <c r="X201" i="101"/>
  <c r="X202" i="101"/>
  <c r="X203" i="101"/>
  <c r="X204" i="101"/>
  <c r="X205" i="101"/>
  <c r="X206" i="101"/>
  <c r="X207" i="101"/>
  <c r="X208" i="101"/>
  <c r="X209" i="101"/>
  <c r="X210" i="101"/>
  <c r="X211" i="101"/>
  <c r="X212" i="101"/>
  <c r="X213" i="101"/>
  <c r="X214" i="101"/>
  <c r="X215" i="101"/>
  <c r="X216" i="101"/>
  <c r="X217" i="101"/>
  <c r="X218" i="101"/>
  <c r="X219" i="101"/>
  <c r="X220" i="101"/>
  <c r="X221" i="101"/>
  <c r="X222" i="101"/>
  <c r="X223" i="101"/>
  <c r="X224" i="101"/>
  <c r="X225" i="101"/>
  <c r="X226" i="101"/>
  <c r="X227" i="101"/>
  <c r="X228" i="101"/>
  <c r="X229" i="101"/>
  <c r="X230" i="101"/>
  <c r="X231" i="101"/>
  <c r="X232" i="101"/>
  <c r="X233" i="101"/>
  <c r="X234" i="101"/>
  <c r="X235" i="101"/>
  <c r="X236" i="101"/>
  <c r="X237" i="101"/>
  <c r="X238" i="101"/>
  <c r="X239" i="101"/>
  <c r="X240" i="101"/>
  <c r="X241" i="101"/>
  <c r="X242" i="101"/>
  <c r="X243" i="101"/>
  <c r="X244" i="101"/>
  <c r="X245" i="101"/>
  <c r="X246" i="101"/>
  <c r="X247" i="101"/>
  <c r="X248" i="101"/>
  <c r="X249" i="101"/>
  <c r="X250" i="101"/>
  <c r="X251" i="101"/>
  <c r="X252" i="101"/>
  <c r="X253" i="101"/>
  <c r="X254" i="101"/>
  <c r="X255" i="101"/>
  <c r="X256" i="101"/>
  <c r="X257" i="101"/>
  <c r="X258" i="101"/>
  <c r="X259" i="101"/>
  <c r="X260" i="101"/>
  <c r="X261" i="101"/>
  <c r="X262" i="101"/>
  <c r="X263" i="101"/>
  <c r="X264" i="101"/>
  <c r="X265" i="101"/>
  <c r="X266" i="101"/>
  <c r="X267" i="101"/>
  <c r="X268" i="101"/>
  <c r="X269" i="101"/>
  <c r="X270" i="101"/>
  <c r="X271" i="101"/>
  <c r="X272" i="101"/>
  <c r="X273" i="101"/>
  <c r="X274" i="101"/>
  <c r="X275" i="101"/>
  <c r="X276" i="101"/>
  <c r="X277" i="101"/>
  <c r="X278" i="101"/>
  <c r="X279" i="101"/>
  <c r="X280" i="101"/>
  <c r="X281" i="101"/>
  <c r="X282" i="101"/>
  <c r="X283" i="101"/>
  <c r="X284" i="101"/>
  <c r="X285" i="101"/>
  <c r="X286" i="101"/>
  <c r="X287" i="101"/>
  <c r="X288" i="101"/>
  <c r="X289" i="101"/>
  <c r="X290" i="101"/>
  <c r="X291" i="101"/>
  <c r="X292" i="101"/>
  <c r="X293" i="101"/>
  <c r="X294" i="101"/>
  <c r="X295" i="101"/>
  <c r="X296" i="101"/>
  <c r="X297" i="101"/>
  <c r="X298" i="101"/>
  <c r="X299" i="101"/>
  <c r="X300" i="101"/>
  <c r="X301" i="101"/>
  <c r="X302" i="101"/>
  <c r="X303" i="101"/>
  <c r="X304" i="101"/>
  <c r="X305" i="101"/>
  <c r="X306" i="101"/>
  <c r="X307" i="101"/>
  <c r="X308" i="101"/>
  <c r="X309" i="101"/>
  <c r="X310" i="101"/>
  <c r="X311" i="101"/>
  <c r="X312" i="101"/>
  <c r="X313" i="101"/>
  <c r="X314" i="101"/>
  <c r="X315" i="101"/>
  <c r="X316" i="101"/>
  <c r="X317" i="101"/>
  <c r="X318" i="101"/>
  <c r="X319" i="101"/>
  <c r="X320" i="101"/>
  <c r="X321" i="101"/>
  <c r="X322" i="101"/>
  <c r="X323" i="101"/>
  <c r="X324" i="101"/>
  <c r="X325" i="101"/>
  <c r="X326" i="101"/>
  <c r="X327" i="101"/>
  <c r="X328" i="101"/>
  <c r="X329" i="101"/>
  <c r="X330" i="101"/>
  <c r="X331" i="101"/>
  <c r="X332" i="101"/>
  <c r="X333" i="101"/>
  <c r="X334" i="101"/>
  <c r="X335" i="101"/>
  <c r="X336" i="101"/>
  <c r="X337" i="101"/>
  <c r="X338" i="101"/>
  <c r="X339" i="101"/>
  <c r="X340" i="101"/>
  <c r="X341" i="101"/>
  <c r="X342" i="101"/>
  <c r="X343" i="101"/>
  <c r="X344" i="101"/>
  <c r="X345" i="101"/>
  <c r="X346" i="101"/>
  <c r="X347" i="101"/>
  <c r="X348" i="101"/>
  <c r="X349" i="101"/>
  <c r="X350" i="101"/>
  <c r="X351" i="101"/>
  <c r="X352" i="101"/>
  <c r="X353" i="101"/>
  <c r="X354" i="101"/>
  <c r="X355" i="101"/>
  <c r="X356" i="101"/>
  <c r="X357" i="101"/>
  <c r="X358" i="101"/>
  <c r="X359" i="101"/>
  <c r="X360" i="101"/>
  <c r="X361" i="101"/>
  <c r="X362" i="101"/>
  <c r="X363" i="101"/>
  <c r="X364" i="101"/>
  <c r="X365" i="101"/>
  <c r="X366" i="101"/>
  <c r="X367" i="101"/>
  <c r="X368" i="101"/>
  <c r="X369" i="101"/>
  <c r="X370" i="101"/>
  <c r="X371" i="101"/>
  <c r="X372" i="101"/>
  <c r="X373" i="101"/>
  <c r="X374" i="101"/>
  <c r="X375" i="101"/>
  <c r="X376" i="101"/>
  <c r="X377" i="101"/>
  <c r="X378" i="101"/>
  <c r="X379" i="101"/>
  <c r="X380" i="101"/>
  <c r="X381" i="101"/>
  <c r="X382" i="101"/>
  <c r="X383" i="101"/>
  <c r="X384" i="101"/>
  <c r="X385" i="101"/>
  <c r="X386" i="101"/>
  <c r="X387" i="101"/>
  <c r="X388" i="101"/>
  <c r="X389" i="101"/>
  <c r="X390" i="101"/>
  <c r="X391" i="101"/>
  <c r="X392" i="101"/>
  <c r="X393" i="101"/>
  <c r="X394" i="101"/>
  <c r="X395" i="101"/>
  <c r="X396" i="101"/>
  <c r="X397" i="101"/>
  <c r="X398" i="101"/>
  <c r="X399" i="101"/>
  <c r="X400" i="101"/>
  <c r="X401" i="101"/>
  <c r="X402" i="101"/>
  <c r="X403" i="101"/>
  <c r="X404" i="101"/>
  <c r="X405" i="101"/>
  <c r="X406" i="101"/>
  <c r="X407" i="101"/>
  <c r="X408" i="101"/>
  <c r="X409" i="101"/>
  <c r="X410" i="101"/>
  <c r="X411" i="101"/>
  <c r="X412" i="101"/>
  <c r="X413" i="101"/>
  <c r="X414" i="101"/>
  <c r="X415" i="101"/>
  <c r="X416" i="101"/>
  <c r="X417" i="101"/>
  <c r="X418" i="101"/>
  <c r="X419" i="101"/>
  <c r="X420" i="101"/>
  <c r="X421" i="101"/>
  <c r="X422" i="101"/>
  <c r="X423" i="101"/>
  <c r="X424" i="101"/>
  <c r="X425" i="101"/>
  <c r="X426" i="101"/>
  <c r="X427" i="101"/>
  <c r="X428" i="101"/>
  <c r="X429" i="101"/>
  <c r="X430" i="101"/>
  <c r="X431" i="101"/>
  <c r="X432" i="101"/>
  <c r="X433" i="101"/>
  <c r="X434" i="101"/>
  <c r="X435" i="101"/>
  <c r="X436" i="101"/>
  <c r="X437" i="101"/>
  <c r="X438" i="101"/>
  <c r="X439" i="101"/>
  <c r="X440" i="101"/>
  <c r="X441" i="101"/>
  <c r="X442" i="101"/>
  <c r="X443" i="101"/>
  <c r="X444" i="101"/>
  <c r="X445" i="101"/>
  <c r="X446" i="101"/>
  <c r="X447" i="101"/>
  <c r="X448" i="101"/>
  <c r="X449" i="101"/>
  <c r="X450" i="101"/>
  <c r="X451" i="101"/>
  <c r="X452" i="101"/>
  <c r="X453" i="101"/>
  <c r="X454" i="101"/>
  <c r="X455" i="101"/>
  <c r="X456" i="101"/>
  <c r="X457" i="101"/>
  <c r="X458" i="101"/>
  <c r="X459" i="101"/>
  <c r="X460" i="101"/>
  <c r="X461" i="101"/>
  <c r="X462" i="101"/>
  <c r="X463" i="101"/>
  <c r="X464" i="101"/>
  <c r="X465" i="101"/>
  <c r="X466" i="101"/>
  <c r="X467" i="101"/>
  <c r="X468" i="101"/>
  <c r="X469" i="101"/>
  <c r="X470" i="101"/>
  <c r="X471" i="101"/>
  <c r="X472" i="101"/>
  <c r="X473" i="101"/>
  <c r="X474" i="101"/>
  <c r="X475" i="101"/>
  <c r="X476" i="101"/>
  <c r="X477" i="101"/>
  <c r="X478" i="101"/>
  <c r="X479" i="101"/>
  <c r="X480" i="101"/>
  <c r="X481" i="101"/>
  <c r="X482" i="101"/>
  <c r="X483" i="101"/>
  <c r="X484" i="101"/>
  <c r="X485" i="101"/>
  <c r="X486" i="101"/>
  <c r="X487" i="101"/>
  <c r="X488" i="101"/>
  <c r="X489" i="101"/>
  <c r="X490" i="101"/>
  <c r="X491" i="101"/>
  <c r="X492" i="101"/>
  <c r="X493" i="101"/>
  <c r="X494" i="101"/>
  <c r="X495" i="101"/>
  <c r="X496" i="101"/>
  <c r="X497" i="101"/>
  <c r="X498" i="101"/>
  <c r="X499" i="101"/>
  <c r="X500" i="101"/>
  <c r="X501" i="101"/>
  <c r="X502" i="101"/>
  <c r="X503" i="101"/>
  <c r="X504" i="101"/>
  <c r="X505" i="101"/>
  <c r="X506" i="101"/>
  <c r="X507" i="101"/>
  <c r="X508" i="101"/>
  <c r="X509" i="101"/>
  <c r="X510" i="101"/>
  <c r="X511" i="101"/>
  <c r="X512" i="101"/>
  <c r="X513" i="101"/>
  <c r="X514" i="101"/>
  <c r="X515" i="101"/>
  <c r="X516" i="101"/>
  <c r="X517" i="101"/>
  <c r="X518" i="101"/>
  <c r="X519" i="101"/>
  <c r="X520" i="101"/>
  <c r="X521" i="101"/>
  <c r="X522" i="101"/>
  <c r="X523" i="101"/>
  <c r="X524" i="101"/>
  <c r="X525" i="101"/>
  <c r="X526" i="101"/>
  <c r="X527" i="101"/>
  <c r="X528" i="101"/>
  <c r="X529" i="101"/>
  <c r="X530" i="101"/>
  <c r="X531" i="101"/>
  <c r="X532" i="101"/>
  <c r="X533" i="101"/>
  <c r="X534" i="101"/>
  <c r="X535" i="101"/>
  <c r="X536" i="101"/>
  <c r="X537" i="101"/>
  <c r="X538" i="101"/>
  <c r="X539" i="101"/>
  <c r="X540" i="101"/>
  <c r="X541" i="101"/>
  <c r="X542" i="101"/>
  <c r="X543" i="101"/>
  <c r="X544" i="101"/>
  <c r="X545" i="101"/>
  <c r="X546" i="101"/>
  <c r="X547" i="101"/>
  <c r="X548" i="101"/>
  <c r="X549" i="101"/>
  <c r="X550" i="101"/>
  <c r="X551" i="101"/>
  <c r="X552" i="101"/>
  <c r="X553" i="101"/>
  <c r="X554" i="101"/>
  <c r="X555" i="101"/>
  <c r="X556" i="101"/>
  <c r="X557" i="101"/>
  <c r="X558" i="101"/>
  <c r="X559" i="101"/>
  <c r="X560" i="101"/>
  <c r="X561" i="101"/>
  <c r="X562" i="101"/>
  <c r="X563" i="101"/>
  <c r="X564" i="101"/>
  <c r="X565" i="101"/>
  <c r="X566" i="101"/>
  <c r="X567" i="101"/>
  <c r="X568" i="101"/>
  <c r="X569" i="101"/>
  <c r="X570" i="101"/>
  <c r="X571" i="101"/>
  <c r="X572" i="101"/>
  <c r="X573" i="101"/>
  <c r="X574" i="101"/>
  <c r="X575" i="101"/>
  <c r="X576" i="101"/>
  <c r="X577" i="101"/>
  <c r="X578" i="101"/>
  <c r="X579" i="101"/>
  <c r="X580" i="101"/>
  <c r="X581" i="101"/>
  <c r="X582" i="101"/>
  <c r="X583" i="101"/>
  <c r="X584" i="101"/>
  <c r="X585" i="101"/>
  <c r="X586" i="101"/>
  <c r="X587" i="101"/>
  <c r="X588" i="101"/>
  <c r="X589" i="101"/>
  <c r="X590" i="101"/>
  <c r="X591" i="101"/>
  <c r="X592" i="101"/>
  <c r="X593" i="101"/>
  <c r="X594" i="101"/>
  <c r="X595" i="101"/>
  <c r="X596" i="101"/>
  <c r="X597" i="101"/>
  <c r="X598" i="101"/>
  <c r="X599" i="101"/>
  <c r="X600" i="101"/>
  <c r="X601" i="101"/>
  <c r="X602" i="101"/>
  <c r="X603" i="101"/>
  <c r="X604" i="101"/>
  <c r="X605" i="101"/>
  <c r="X606" i="101"/>
  <c r="X607" i="101"/>
  <c r="X608" i="101"/>
  <c r="X609" i="101"/>
  <c r="X610" i="101"/>
  <c r="X611" i="101"/>
  <c r="X612" i="101"/>
  <c r="X613" i="101"/>
  <c r="X614" i="101"/>
  <c r="X615" i="101"/>
  <c r="X616" i="101"/>
  <c r="X617" i="101"/>
  <c r="X618" i="101"/>
  <c r="X619" i="101"/>
  <c r="X620" i="101"/>
  <c r="X621" i="101"/>
  <c r="X622" i="101"/>
  <c r="X623" i="101"/>
  <c r="X624" i="101"/>
  <c r="X625" i="101"/>
  <c r="X626" i="101"/>
  <c r="X627" i="101"/>
  <c r="X628" i="101"/>
  <c r="X629" i="101"/>
  <c r="X630" i="101"/>
  <c r="X631" i="101"/>
  <c r="X632" i="101"/>
  <c r="X633" i="101"/>
  <c r="X634" i="101"/>
  <c r="X635" i="101"/>
  <c r="X636" i="101"/>
  <c r="X637" i="101"/>
  <c r="X638" i="101"/>
  <c r="X639" i="101"/>
  <c r="X640" i="101"/>
  <c r="X641" i="101"/>
  <c r="X642" i="101"/>
  <c r="X643" i="101"/>
  <c r="X644" i="101"/>
  <c r="X645" i="101"/>
  <c r="X646" i="101"/>
  <c r="X647" i="101"/>
  <c r="X648" i="101"/>
  <c r="X649" i="101"/>
  <c r="X650" i="101"/>
  <c r="X651" i="101"/>
  <c r="X652" i="101"/>
  <c r="X653" i="101"/>
  <c r="X654" i="101"/>
  <c r="X655" i="101"/>
  <c r="X656" i="101"/>
  <c r="X657" i="101"/>
  <c r="X658" i="101"/>
  <c r="X659" i="101"/>
  <c r="X660" i="101"/>
  <c r="X661" i="101"/>
  <c r="X662" i="101"/>
  <c r="X663" i="101"/>
  <c r="X664" i="101"/>
  <c r="X665" i="101"/>
  <c r="X666" i="101"/>
  <c r="X667" i="101"/>
  <c r="X668" i="101"/>
  <c r="X669" i="101"/>
  <c r="X670" i="101"/>
  <c r="X671" i="101"/>
  <c r="X672" i="101"/>
  <c r="X673" i="101"/>
  <c r="X674" i="101"/>
  <c r="X675" i="101"/>
  <c r="X676" i="101"/>
  <c r="X677" i="101"/>
  <c r="X678" i="101"/>
  <c r="X679" i="101"/>
  <c r="X680" i="101"/>
  <c r="X681" i="101"/>
  <c r="X682" i="101"/>
  <c r="X683" i="101"/>
  <c r="X684" i="101"/>
  <c r="X685" i="101"/>
  <c r="X686" i="101"/>
  <c r="X687" i="101"/>
  <c r="X688" i="101"/>
  <c r="X689" i="101"/>
  <c r="X690" i="101"/>
  <c r="X691" i="101"/>
  <c r="X692" i="101"/>
  <c r="X693" i="101"/>
  <c r="X694" i="101"/>
  <c r="X695" i="101"/>
  <c r="X696" i="101"/>
  <c r="X697" i="101"/>
  <c r="X698" i="101"/>
  <c r="X699" i="101"/>
  <c r="X700" i="101"/>
  <c r="X701" i="101"/>
  <c r="X702" i="101"/>
  <c r="X703" i="101"/>
  <c r="X704" i="101"/>
  <c r="X705" i="101"/>
  <c r="X706" i="101"/>
  <c r="X707" i="101"/>
  <c r="X708" i="101"/>
  <c r="X709" i="101"/>
  <c r="X710" i="101"/>
  <c r="X711" i="101"/>
  <c r="X712" i="101"/>
  <c r="X713" i="101"/>
  <c r="X714" i="101"/>
  <c r="X715" i="101"/>
  <c r="X716" i="101"/>
  <c r="X717" i="101"/>
  <c r="X718" i="101"/>
  <c r="X719" i="101"/>
  <c r="X720" i="101"/>
  <c r="X721" i="101"/>
  <c r="X722" i="101"/>
  <c r="X723" i="101"/>
  <c r="X724" i="101"/>
  <c r="X725" i="101"/>
  <c r="X726" i="101"/>
  <c r="X727" i="101"/>
  <c r="X728" i="101"/>
  <c r="X729" i="101"/>
  <c r="X730" i="101"/>
  <c r="X731" i="101"/>
  <c r="X732" i="101"/>
  <c r="X733" i="101"/>
  <c r="X734" i="101"/>
  <c r="X735" i="101"/>
  <c r="X736" i="101"/>
  <c r="X737" i="101"/>
  <c r="X738" i="101"/>
  <c r="X739" i="101"/>
  <c r="X740" i="101"/>
  <c r="X741" i="101"/>
  <c r="X742" i="101"/>
  <c r="X743" i="101"/>
  <c r="X744" i="101"/>
  <c r="X745" i="101"/>
  <c r="X746" i="101"/>
  <c r="X747" i="101"/>
  <c r="X748" i="101"/>
  <c r="X749" i="101"/>
  <c r="X750" i="101"/>
  <c r="X751" i="101"/>
  <c r="X752" i="101"/>
  <c r="X753" i="101"/>
  <c r="X5" i="101"/>
  <c r="Y1" i="101" s="1"/>
  <c r="D4" i="97"/>
  <c r="E4" i="97" s="1"/>
  <c r="F4" i="97" s="1"/>
  <c r="G4" i="97" s="1"/>
  <c r="R773" i="97"/>
  <c r="R774" i="97"/>
  <c r="R775" i="97"/>
  <c r="R776" i="97"/>
  <c r="R777" i="97"/>
  <c r="R778" i="97"/>
  <c r="R779" i="97"/>
  <c r="R780" i="97"/>
  <c r="R781" i="97"/>
  <c r="R782" i="97"/>
  <c r="R783" i="97"/>
  <c r="E2" i="101" l="1"/>
  <c r="C2" i="101"/>
  <c r="W22" i="97"/>
  <c r="R23" i="1" l="1"/>
  <c r="R24" i="1"/>
  <c r="R25" i="1"/>
  <c r="R26" i="1"/>
  <c r="R22" i="1"/>
  <c r="E3" i="97"/>
  <c r="F3" i="97" s="1"/>
  <c r="G3" i="97" s="1"/>
  <c r="N6" i="1"/>
  <c r="N8" i="1"/>
  <c r="L5" i="80"/>
  <c r="L6" i="80"/>
  <c r="L7" i="80"/>
  <c r="L8" i="80"/>
  <c r="L4" i="80"/>
  <c r="AK7" i="1"/>
  <c r="H23" i="80" l="1"/>
  <c r="O3" i="84"/>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75" i="84"/>
  <c r="O76" i="84"/>
  <c r="O77" i="84"/>
  <c r="O78" i="84"/>
  <c r="O79" i="84"/>
  <c r="O80" i="84"/>
  <c r="O81" i="84"/>
  <c r="O82" i="84"/>
  <c r="O83" i="84"/>
  <c r="O84" i="84"/>
  <c r="O85" i="84"/>
  <c r="O86" i="84"/>
  <c r="O87" i="84"/>
  <c r="O88" i="84"/>
  <c r="O89" i="84"/>
  <c r="O90" i="84"/>
  <c r="O91" i="84"/>
  <c r="O92" i="84"/>
  <c r="O93" i="84"/>
  <c r="O94" i="84"/>
  <c r="O95" i="84"/>
  <c r="O96" i="84"/>
  <c r="O97" i="84"/>
  <c r="O98" i="84"/>
  <c r="O99" i="84"/>
  <c r="O100" i="84"/>
  <c r="O101" i="84"/>
  <c r="O102" i="84"/>
  <c r="O103" i="84"/>
  <c r="O104" i="84"/>
  <c r="O105" i="84"/>
  <c r="O106" i="84"/>
  <c r="O107" i="84"/>
  <c r="O108" i="84"/>
  <c r="O109" i="84"/>
  <c r="O110" i="84"/>
  <c r="O111" i="84"/>
  <c r="O112" i="84"/>
  <c r="O113" i="84"/>
  <c r="O114" i="84"/>
  <c r="O115" i="84"/>
  <c r="O116" i="84"/>
  <c r="O117" i="84"/>
  <c r="O118" i="84"/>
  <c r="O119" i="84"/>
  <c r="O120" i="84"/>
  <c r="O121" i="84"/>
  <c r="O122" i="84"/>
  <c r="O123" i="84"/>
  <c r="O124" i="84"/>
  <c r="O125" i="84"/>
  <c r="O126" i="84"/>
  <c r="O127" i="84"/>
  <c r="O128" i="84"/>
  <c r="O129" i="84"/>
  <c r="O130" i="84"/>
  <c r="O131" i="84"/>
  <c r="O132" i="84"/>
  <c r="O133" i="84"/>
  <c r="O134" i="84"/>
  <c r="O135" i="84"/>
  <c r="O136" i="84"/>
  <c r="O137" i="84"/>
  <c r="O138" i="84"/>
  <c r="O139" i="84"/>
  <c r="O140" i="84"/>
  <c r="O141" i="84"/>
  <c r="O142" i="84"/>
  <c r="O143" i="84"/>
  <c r="O144" i="84"/>
  <c r="O145" i="84"/>
  <c r="O146" i="84"/>
  <c r="O147" i="84"/>
  <c r="O148" i="84"/>
  <c r="O149" i="84"/>
  <c r="O150" i="84"/>
  <c r="O151" i="84"/>
  <c r="O152" i="84"/>
  <c r="O153" i="84"/>
  <c r="O154" i="84"/>
  <c r="O155" i="84"/>
  <c r="O156" i="84"/>
  <c r="O157" i="84"/>
  <c r="O158" i="84"/>
  <c r="O159" i="84"/>
  <c r="O160" i="84"/>
  <c r="O161" i="84"/>
  <c r="O162" i="84"/>
  <c r="O163" i="84"/>
  <c r="O164" i="84"/>
  <c r="O165" i="84"/>
  <c r="O166" i="84"/>
  <c r="O167" i="84"/>
  <c r="O168" i="84"/>
  <c r="O169" i="84"/>
  <c r="O170" i="84"/>
  <c r="O171" i="84"/>
  <c r="O172" i="84"/>
  <c r="O173" i="84"/>
  <c r="O174" i="84"/>
  <c r="O175" i="84"/>
  <c r="O176" i="84"/>
  <c r="O177" i="84"/>
  <c r="O178" i="84"/>
  <c r="O179" i="84"/>
  <c r="O180" i="84"/>
  <c r="O181" i="84"/>
  <c r="O182" i="84"/>
  <c r="O183" i="84"/>
  <c r="O184" i="84"/>
  <c r="O185" i="84"/>
  <c r="O186" i="84"/>
  <c r="O187" i="84"/>
  <c r="O188" i="84"/>
  <c r="O189" i="84"/>
  <c r="O190" i="84"/>
  <c r="O191" i="84"/>
  <c r="O192" i="84"/>
  <c r="O193" i="84"/>
  <c r="O194" i="84"/>
  <c r="O195" i="84"/>
  <c r="O196" i="84"/>
  <c r="O197" i="84"/>
  <c r="O198" i="84"/>
  <c r="O199" i="84"/>
  <c r="O200" i="84"/>
  <c r="O201" i="84"/>
  <c r="O202" i="84"/>
  <c r="O203" i="84"/>
  <c r="O204" i="84"/>
  <c r="O205" i="84"/>
  <c r="O206" i="84"/>
  <c r="O207" i="84"/>
  <c r="O208" i="84"/>
  <c r="O209" i="84"/>
  <c r="O210" i="84"/>
  <c r="O211" i="84"/>
  <c r="O212" i="84"/>
  <c r="O213" i="84"/>
  <c r="O214" i="84"/>
  <c r="O215" i="84"/>
  <c r="O216" i="84"/>
  <c r="O217" i="84"/>
  <c r="O218" i="84"/>
  <c r="O219" i="84"/>
  <c r="O220" i="84"/>
  <c r="O221" i="84"/>
  <c r="O222" i="84"/>
  <c r="O223" i="84"/>
  <c r="O224" i="84"/>
  <c r="O225" i="84"/>
  <c r="O226" i="84"/>
  <c r="O227" i="84"/>
  <c r="O228" i="84"/>
  <c r="O229" i="84"/>
  <c r="O230" i="84"/>
  <c r="O231" i="84"/>
  <c r="O232" i="84"/>
  <c r="O233" i="84"/>
  <c r="O234" i="84"/>
  <c r="O235" i="84"/>
  <c r="O236" i="84"/>
  <c r="O237" i="84"/>
  <c r="O238" i="84"/>
  <c r="O239" i="84"/>
  <c r="O240" i="84"/>
  <c r="O241" i="84"/>
  <c r="O242" i="84"/>
  <c r="O243" i="84"/>
  <c r="O244" i="84"/>
  <c r="O245" i="84"/>
  <c r="O246" i="84"/>
  <c r="O247" i="84"/>
  <c r="O248" i="84"/>
  <c r="O249" i="84"/>
  <c r="O250" i="84"/>
  <c r="O251" i="84"/>
  <c r="O252" i="84"/>
  <c r="O253" i="84"/>
  <c r="O254" i="84"/>
  <c r="O255" i="84"/>
  <c r="O256" i="84"/>
  <c r="O257" i="84"/>
  <c r="O258" i="84"/>
  <c r="O259" i="84"/>
  <c r="O260" i="84"/>
  <c r="O261" i="84"/>
  <c r="O262" i="84"/>
  <c r="O263" i="84"/>
  <c r="O264" i="84"/>
  <c r="O265" i="84"/>
  <c r="O266" i="84"/>
  <c r="O267" i="84"/>
  <c r="O268" i="84"/>
  <c r="O269" i="84"/>
  <c r="O270" i="84"/>
  <c r="O271" i="84"/>
  <c r="O272" i="84"/>
  <c r="O273" i="84"/>
  <c r="O274" i="84"/>
  <c r="O275" i="84"/>
  <c r="O276" i="84"/>
  <c r="O277" i="84"/>
  <c r="O278" i="84"/>
  <c r="O279" i="84"/>
  <c r="O280" i="84"/>
  <c r="O281" i="84"/>
  <c r="O282" i="84"/>
  <c r="O283" i="84"/>
  <c r="O284" i="84"/>
  <c r="O285" i="84"/>
  <c r="O286" i="84"/>
  <c r="O287" i="84"/>
  <c r="O288" i="84"/>
  <c r="O289" i="84"/>
  <c r="O290" i="84"/>
  <c r="O291" i="84"/>
  <c r="O292" i="84"/>
  <c r="O293" i="84"/>
  <c r="O294" i="84"/>
  <c r="O295" i="84"/>
  <c r="O296" i="84"/>
  <c r="O297" i="84"/>
  <c r="O298" i="84"/>
  <c r="O299" i="84"/>
  <c r="O300" i="84"/>
  <c r="O301" i="84"/>
  <c r="O302" i="84"/>
  <c r="O303" i="84"/>
  <c r="O304" i="84"/>
  <c r="O305" i="84"/>
  <c r="O306" i="84"/>
  <c r="O307" i="84"/>
  <c r="O308" i="84"/>
  <c r="O309" i="84"/>
  <c r="O310" i="84"/>
  <c r="O311" i="84"/>
  <c r="O312" i="84"/>
  <c r="O313" i="84"/>
  <c r="O314" i="84"/>
  <c r="O315" i="84"/>
  <c r="O316" i="84"/>
  <c r="O317" i="84"/>
  <c r="O318" i="84"/>
  <c r="O319" i="84"/>
  <c r="O320" i="84"/>
  <c r="O321" i="84"/>
  <c r="O322" i="84"/>
  <c r="O323" i="84"/>
  <c r="O324" i="84"/>
  <c r="O325" i="84"/>
  <c r="O326" i="84"/>
  <c r="O327" i="84"/>
  <c r="O328" i="84"/>
  <c r="O329" i="84"/>
  <c r="O330" i="84"/>
  <c r="O331" i="84"/>
  <c r="O332" i="84"/>
  <c r="O333" i="84"/>
  <c r="O334" i="84"/>
  <c r="O335" i="84"/>
  <c r="O336" i="84"/>
  <c r="O337" i="84"/>
  <c r="O338" i="84"/>
  <c r="O339" i="84"/>
  <c r="O340" i="84"/>
  <c r="O341" i="84"/>
  <c r="O342" i="84"/>
  <c r="O343" i="84"/>
  <c r="O344" i="84"/>
  <c r="O345" i="84"/>
  <c r="O346" i="84"/>
  <c r="O347" i="84"/>
  <c r="O348" i="84"/>
  <c r="O349" i="84"/>
  <c r="O350" i="84"/>
  <c r="O351" i="84"/>
  <c r="O352" i="84"/>
  <c r="O353" i="84"/>
  <c r="O354" i="84"/>
  <c r="O355" i="84"/>
  <c r="O356" i="84"/>
  <c r="O357" i="84"/>
  <c r="O358" i="84"/>
  <c r="O359" i="84"/>
  <c r="O360" i="84"/>
  <c r="O361" i="84"/>
  <c r="O362" i="84"/>
  <c r="O363" i="84"/>
  <c r="O364" i="84"/>
  <c r="O365" i="84"/>
  <c r="O366" i="84"/>
  <c r="O367" i="84"/>
  <c r="O368" i="84"/>
  <c r="O369" i="84"/>
  <c r="O370" i="84"/>
  <c r="O371" i="84"/>
  <c r="O372" i="84"/>
  <c r="O373" i="84"/>
  <c r="O374" i="84"/>
  <c r="O375" i="84"/>
  <c r="O376" i="84"/>
  <c r="O377" i="84"/>
  <c r="O378" i="84"/>
  <c r="O379" i="84"/>
  <c r="O380" i="84"/>
  <c r="O381" i="84"/>
  <c r="O382" i="84"/>
  <c r="O383" i="84"/>
  <c r="O384" i="84"/>
  <c r="O385" i="84"/>
  <c r="O386" i="84"/>
  <c r="O387" i="84"/>
  <c r="O388" i="84"/>
  <c r="O389" i="84"/>
  <c r="O390" i="84"/>
  <c r="O391" i="84"/>
  <c r="O392" i="84"/>
  <c r="O393" i="84"/>
  <c r="O394" i="84"/>
  <c r="O395" i="84"/>
  <c r="O396" i="84"/>
  <c r="O397" i="84"/>
  <c r="O398" i="84"/>
  <c r="O399" i="84"/>
  <c r="O400" i="84"/>
  <c r="O401" i="84"/>
  <c r="O402" i="84"/>
  <c r="O403" i="84"/>
  <c r="O404" i="84"/>
  <c r="O405" i="84"/>
  <c r="O406" i="84"/>
  <c r="O407" i="84"/>
  <c r="O408" i="84"/>
  <c r="O409" i="84"/>
  <c r="O410" i="84"/>
  <c r="O411" i="84"/>
  <c r="O412" i="84"/>
  <c r="O413" i="84"/>
  <c r="O414" i="84"/>
  <c r="O415" i="84"/>
  <c r="O416" i="84"/>
  <c r="O417" i="84"/>
  <c r="O418" i="84"/>
  <c r="O419" i="84"/>
  <c r="O420" i="84"/>
  <c r="O421" i="84"/>
  <c r="O422" i="84"/>
  <c r="O423" i="84"/>
  <c r="O424" i="84"/>
  <c r="O425" i="84"/>
  <c r="O426" i="84"/>
  <c r="O427" i="84"/>
  <c r="O428" i="84"/>
  <c r="O429" i="84"/>
  <c r="O430" i="84"/>
  <c r="O431" i="84"/>
  <c r="O432" i="84"/>
  <c r="O433" i="84"/>
  <c r="O434" i="84"/>
  <c r="O435" i="84"/>
  <c r="O436" i="84"/>
  <c r="O437" i="84"/>
  <c r="O438" i="84"/>
  <c r="O439" i="84"/>
  <c r="O440" i="84"/>
  <c r="O441" i="84"/>
  <c r="O442" i="84"/>
  <c r="O443" i="84"/>
  <c r="O444" i="84"/>
  <c r="O445" i="84"/>
  <c r="O446" i="84"/>
  <c r="O447" i="84"/>
  <c r="O448" i="84"/>
  <c r="O449" i="84"/>
  <c r="O450" i="84"/>
  <c r="O451" i="84"/>
  <c r="O452" i="84"/>
  <c r="O453" i="84"/>
  <c r="O454" i="84"/>
  <c r="O455" i="84"/>
  <c r="O456" i="84"/>
  <c r="O457" i="84"/>
  <c r="O458" i="84"/>
  <c r="O459" i="84"/>
  <c r="O460" i="84"/>
  <c r="O461" i="84"/>
  <c r="O462" i="84"/>
  <c r="O463" i="84"/>
  <c r="O464" i="84"/>
  <c r="O465" i="84"/>
  <c r="O466" i="84"/>
  <c r="O467" i="84"/>
  <c r="O468" i="84"/>
  <c r="O469" i="84"/>
  <c r="O470" i="84"/>
  <c r="O471" i="84"/>
  <c r="O472" i="84"/>
  <c r="O473" i="84"/>
  <c r="O474" i="84"/>
  <c r="O475" i="84"/>
  <c r="O476" i="84"/>
  <c r="O477" i="84"/>
  <c r="O478" i="84"/>
  <c r="O479" i="84"/>
  <c r="O480" i="84"/>
  <c r="O481" i="84"/>
  <c r="O482" i="84"/>
  <c r="O483" i="84"/>
  <c r="O484" i="84"/>
  <c r="O485" i="84"/>
  <c r="O486" i="84"/>
  <c r="O487" i="84"/>
  <c r="O488" i="84"/>
  <c r="O489" i="84"/>
  <c r="O490" i="84"/>
  <c r="O491" i="84"/>
  <c r="O492" i="84"/>
  <c r="O493" i="84"/>
  <c r="O494" i="84"/>
  <c r="O495" i="84"/>
  <c r="O496" i="84"/>
  <c r="O497" i="84"/>
  <c r="O498" i="84"/>
  <c r="O499" i="84"/>
  <c r="O500" i="84"/>
  <c r="O501" i="84"/>
  <c r="O502" i="84"/>
  <c r="O503" i="84"/>
  <c r="O504" i="84"/>
  <c r="O505" i="84"/>
  <c r="O506" i="84"/>
  <c r="O507" i="84"/>
  <c r="O508" i="84"/>
  <c r="O509" i="84"/>
  <c r="O510" i="84"/>
  <c r="O511" i="84"/>
  <c r="O512" i="84"/>
  <c r="O513" i="84"/>
  <c r="O514" i="84"/>
  <c r="O515" i="84"/>
  <c r="O516" i="84"/>
  <c r="O517" i="84"/>
  <c r="O518" i="84"/>
  <c r="O519" i="84"/>
  <c r="O520" i="84"/>
  <c r="O521" i="84"/>
  <c r="O522" i="84"/>
  <c r="O523" i="84"/>
  <c r="O524" i="84"/>
  <c r="O525" i="84"/>
  <c r="O526" i="84"/>
  <c r="O527" i="84"/>
  <c r="O528" i="84"/>
  <c r="O529" i="84"/>
  <c r="O530" i="84"/>
  <c r="O531" i="84"/>
  <c r="O532" i="84"/>
  <c r="O533" i="84"/>
  <c r="O534" i="84"/>
  <c r="O535" i="84"/>
  <c r="O536" i="84"/>
  <c r="O537" i="84"/>
  <c r="O538" i="84"/>
  <c r="O539" i="84"/>
  <c r="O540" i="84"/>
  <c r="O541" i="84"/>
  <c r="O542" i="84"/>
  <c r="O543" i="84"/>
  <c r="O544" i="84"/>
  <c r="O545" i="84"/>
  <c r="O546" i="84"/>
  <c r="O547" i="84"/>
  <c r="O548" i="84"/>
  <c r="O549" i="84"/>
  <c r="O550" i="84"/>
  <c r="O551" i="84"/>
  <c r="O552" i="84"/>
  <c r="O553" i="84"/>
  <c r="O554" i="84"/>
  <c r="O555" i="84"/>
  <c r="O556" i="84"/>
  <c r="O557" i="84"/>
  <c r="O558" i="84"/>
  <c r="O559" i="84"/>
  <c r="O560" i="84"/>
  <c r="O561" i="84"/>
  <c r="O562" i="84"/>
  <c r="O563" i="84"/>
  <c r="O564" i="84"/>
  <c r="O565" i="84"/>
  <c r="O566" i="84"/>
  <c r="O567" i="84"/>
  <c r="O568" i="84"/>
  <c r="O569" i="84"/>
  <c r="O570" i="84"/>
  <c r="O571" i="84"/>
  <c r="O572" i="84"/>
  <c r="O573" i="84"/>
  <c r="O574" i="84"/>
  <c r="O575" i="84"/>
  <c r="O576" i="84"/>
  <c r="O577" i="84"/>
  <c r="O578" i="84"/>
  <c r="O579" i="84"/>
  <c r="O580" i="84"/>
  <c r="O581" i="84"/>
  <c r="O582" i="84"/>
  <c r="O583" i="84"/>
  <c r="O584" i="84"/>
  <c r="O585" i="84"/>
  <c r="O586" i="84"/>
  <c r="O587" i="84"/>
  <c r="O588" i="84"/>
  <c r="O589" i="84"/>
  <c r="O590" i="84"/>
  <c r="O591" i="84"/>
  <c r="O592" i="84"/>
  <c r="O593" i="84"/>
  <c r="O594" i="84"/>
  <c r="O595" i="84"/>
  <c r="O596" i="84"/>
  <c r="O597" i="84"/>
  <c r="O598" i="84"/>
  <c r="O599" i="84"/>
  <c r="O600" i="84"/>
  <c r="O601" i="84"/>
  <c r="O602" i="84"/>
  <c r="O603" i="84"/>
  <c r="O604" i="84"/>
  <c r="O605" i="84"/>
  <c r="O606" i="84"/>
  <c r="O607" i="84"/>
  <c r="O608" i="84"/>
  <c r="O609" i="84"/>
  <c r="O610" i="84"/>
  <c r="O611" i="84"/>
  <c r="O612" i="84"/>
  <c r="O613" i="84"/>
  <c r="O614" i="84"/>
  <c r="O615" i="84"/>
  <c r="O616" i="84"/>
  <c r="O617" i="84"/>
  <c r="O618" i="84"/>
  <c r="O619" i="84"/>
  <c r="O620" i="84"/>
  <c r="O621" i="84"/>
  <c r="O622" i="84"/>
  <c r="O623" i="84"/>
  <c r="O624" i="84"/>
  <c r="O625" i="84"/>
  <c r="O626" i="84"/>
  <c r="O627" i="84"/>
  <c r="O628" i="84"/>
  <c r="O629" i="84"/>
  <c r="O630" i="84"/>
  <c r="O631" i="84"/>
  <c r="O632" i="84"/>
  <c r="O633" i="84"/>
  <c r="O634" i="84"/>
  <c r="O635" i="84"/>
  <c r="O636" i="84"/>
  <c r="O637" i="84"/>
  <c r="O638" i="84"/>
  <c r="O639" i="84"/>
  <c r="O640" i="84"/>
  <c r="O641" i="84"/>
  <c r="O642" i="84"/>
  <c r="O643" i="84"/>
  <c r="O644" i="84"/>
  <c r="O645" i="84"/>
  <c r="O646" i="84"/>
  <c r="O647" i="84"/>
  <c r="O648" i="84"/>
  <c r="O649" i="84"/>
  <c r="O650" i="84"/>
  <c r="O651" i="84"/>
  <c r="O652" i="84"/>
  <c r="O653" i="84"/>
  <c r="O654" i="84"/>
  <c r="O655" i="84"/>
  <c r="O656" i="84"/>
  <c r="O657" i="84"/>
  <c r="O658" i="84"/>
  <c r="O659" i="84"/>
  <c r="O660" i="84"/>
  <c r="O661" i="84"/>
  <c r="O662" i="84"/>
  <c r="O663" i="84"/>
  <c r="O664" i="84"/>
  <c r="O665" i="84"/>
  <c r="O666" i="84"/>
  <c r="O667" i="84"/>
  <c r="O668" i="84"/>
  <c r="O669" i="84"/>
  <c r="O670" i="84"/>
  <c r="O671" i="84"/>
  <c r="O672" i="84"/>
  <c r="O673" i="84"/>
  <c r="O674" i="84"/>
  <c r="O675" i="84"/>
  <c r="O676" i="84"/>
  <c r="O677" i="84"/>
  <c r="O678" i="84"/>
  <c r="O679" i="84"/>
  <c r="O680" i="84"/>
  <c r="O681" i="84"/>
  <c r="O682" i="84"/>
  <c r="O683" i="84"/>
  <c r="O684" i="84"/>
  <c r="O685" i="84"/>
  <c r="O686" i="84"/>
  <c r="O687" i="84"/>
  <c r="O688" i="84"/>
  <c r="O689" i="84"/>
  <c r="O690" i="84"/>
  <c r="O691" i="84"/>
  <c r="O692" i="84"/>
  <c r="O693" i="84"/>
  <c r="O694" i="84"/>
  <c r="O695" i="84"/>
  <c r="O696" i="84"/>
  <c r="O697" i="84"/>
  <c r="O698" i="84"/>
  <c r="O699" i="84"/>
  <c r="O700" i="84"/>
  <c r="O701" i="84"/>
  <c r="O702" i="84"/>
  <c r="O703" i="84"/>
  <c r="O704" i="84"/>
  <c r="O705" i="84"/>
  <c r="O706" i="84"/>
  <c r="O707" i="84"/>
  <c r="O708" i="84"/>
  <c r="O709" i="84"/>
  <c r="O710" i="84"/>
  <c r="O711" i="84"/>
  <c r="O712" i="84"/>
  <c r="O713" i="84"/>
  <c r="O714" i="84"/>
  <c r="O715" i="84"/>
  <c r="O716" i="84"/>
  <c r="O717" i="84"/>
  <c r="O718" i="84"/>
  <c r="O719" i="84"/>
  <c r="O720" i="84"/>
  <c r="O721" i="84"/>
  <c r="O722" i="84"/>
  <c r="O723" i="84"/>
  <c r="O724" i="84"/>
  <c r="O725" i="84"/>
  <c r="O726" i="84"/>
  <c r="O727" i="84"/>
  <c r="O728" i="84"/>
  <c r="O729" i="84"/>
  <c r="O730" i="84"/>
  <c r="O731" i="84"/>
  <c r="O732" i="84"/>
  <c r="O733" i="84"/>
  <c r="O734" i="84"/>
  <c r="O735" i="84"/>
  <c r="O736" i="84"/>
  <c r="O737" i="84"/>
  <c r="O738" i="84"/>
  <c r="O739" i="84"/>
  <c r="O740" i="84"/>
  <c r="O741" i="84"/>
  <c r="O742" i="84"/>
  <c r="O743" i="84"/>
  <c r="O744" i="84"/>
  <c r="O745" i="84"/>
  <c r="O746" i="84"/>
  <c r="O747" i="84"/>
  <c r="O748" i="84"/>
  <c r="O749" i="84"/>
  <c r="O750" i="84"/>
  <c r="O751" i="84"/>
  <c r="O2" i="84"/>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L122" i="84"/>
  <c r="L123" i="84"/>
  <c r="L124" i="84"/>
  <c r="L125" i="84"/>
  <c r="L126" i="84"/>
  <c r="L127" i="84"/>
  <c r="L128" i="84"/>
  <c r="L129" i="84"/>
  <c r="L130" i="84"/>
  <c r="L131" i="84"/>
  <c r="L132" i="84"/>
  <c r="L133" i="84"/>
  <c r="L134" i="84"/>
  <c r="L135" i="84"/>
  <c r="L136" i="84"/>
  <c r="L137" i="84"/>
  <c r="L138" i="84"/>
  <c r="L139" i="84"/>
  <c r="L140" i="84"/>
  <c r="L141" i="84"/>
  <c r="L142" i="84"/>
  <c r="L143" i="84"/>
  <c r="L144" i="84"/>
  <c r="L145" i="84"/>
  <c r="L146" i="84"/>
  <c r="L147" i="84"/>
  <c r="L148" i="84"/>
  <c r="L149" i="84"/>
  <c r="L150" i="84"/>
  <c r="L151" i="84"/>
  <c r="L152" i="84"/>
  <c r="L153" i="84"/>
  <c r="L154" i="84"/>
  <c r="L155" i="84"/>
  <c r="L156" i="84"/>
  <c r="L157" i="84"/>
  <c r="L158" i="84"/>
  <c r="L159" i="84"/>
  <c r="L160" i="84"/>
  <c r="L161" i="84"/>
  <c r="L162" i="84"/>
  <c r="L163" i="84"/>
  <c r="L164" i="84"/>
  <c r="L165" i="84"/>
  <c r="L166" i="84"/>
  <c r="L167" i="84"/>
  <c r="L168" i="84"/>
  <c r="L169" i="84"/>
  <c r="L170" i="84"/>
  <c r="L171" i="84"/>
  <c r="L172" i="84"/>
  <c r="L173" i="84"/>
  <c r="L174" i="84"/>
  <c r="L175" i="84"/>
  <c r="L176" i="84"/>
  <c r="L177" i="84"/>
  <c r="L178" i="84"/>
  <c r="L179" i="84"/>
  <c r="L180" i="84"/>
  <c r="L181" i="84"/>
  <c r="L182" i="84"/>
  <c r="L183" i="84"/>
  <c r="L184" i="84"/>
  <c r="L185" i="84"/>
  <c r="L186" i="84"/>
  <c r="L187" i="84"/>
  <c r="L188" i="84"/>
  <c r="L189" i="84"/>
  <c r="L190" i="84"/>
  <c r="L191" i="84"/>
  <c r="L192" i="84"/>
  <c r="L193" i="84"/>
  <c r="L194" i="84"/>
  <c r="L195" i="84"/>
  <c r="L196" i="84"/>
  <c r="L197" i="84"/>
  <c r="L198" i="84"/>
  <c r="L199" i="84"/>
  <c r="L200" i="84"/>
  <c r="L201" i="84"/>
  <c r="L202" i="84"/>
  <c r="L203" i="84"/>
  <c r="L204" i="84"/>
  <c r="L205" i="84"/>
  <c r="L206" i="84"/>
  <c r="L207" i="84"/>
  <c r="L208" i="84"/>
  <c r="L209" i="84"/>
  <c r="L210" i="84"/>
  <c r="L211" i="84"/>
  <c r="L212" i="84"/>
  <c r="L213" i="84"/>
  <c r="L214" i="84"/>
  <c r="L215" i="84"/>
  <c r="L216" i="84"/>
  <c r="L217" i="84"/>
  <c r="L218" i="84"/>
  <c r="L219" i="84"/>
  <c r="L220" i="84"/>
  <c r="L221" i="84"/>
  <c r="L222" i="84"/>
  <c r="L223" i="84"/>
  <c r="L224" i="84"/>
  <c r="L225" i="84"/>
  <c r="L226" i="84"/>
  <c r="L227" i="84"/>
  <c r="L228" i="84"/>
  <c r="L229" i="84"/>
  <c r="L230" i="84"/>
  <c r="L231" i="84"/>
  <c r="L232" i="84"/>
  <c r="L233" i="84"/>
  <c r="L234" i="84"/>
  <c r="L235" i="84"/>
  <c r="L236" i="84"/>
  <c r="L237" i="84"/>
  <c r="L238" i="84"/>
  <c r="L239" i="84"/>
  <c r="L240" i="84"/>
  <c r="L241" i="84"/>
  <c r="L242" i="84"/>
  <c r="L243" i="84"/>
  <c r="L244" i="84"/>
  <c r="L245" i="84"/>
  <c r="L246" i="84"/>
  <c r="L247" i="84"/>
  <c r="L248" i="84"/>
  <c r="L249" i="84"/>
  <c r="L250" i="84"/>
  <c r="L251" i="84"/>
  <c r="L252" i="84"/>
  <c r="L253" i="84"/>
  <c r="L254" i="84"/>
  <c r="L255" i="84"/>
  <c r="L256" i="84"/>
  <c r="L257" i="84"/>
  <c r="L258" i="84"/>
  <c r="L259" i="84"/>
  <c r="L260" i="84"/>
  <c r="L261" i="84"/>
  <c r="L262" i="84"/>
  <c r="L263" i="84"/>
  <c r="L264" i="84"/>
  <c r="L265" i="84"/>
  <c r="L266" i="84"/>
  <c r="L267" i="84"/>
  <c r="L268" i="84"/>
  <c r="L269" i="84"/>
  <c r="L270" i="84"/>
  <c r="L271" i="84"/>
  <c r="L272" i="84"/>
  <c r="L273" i="84"/>
  <c r="L274" i="84"/>
  <c r="L275" i="84"/>
  <c r="L276" i="84"/>
  <c r="L277" i="84"/>
  <c r="L278" i="84"/>
  <c r="L279" i="84"/>
  <c r="L280" i="84"/>
  <c r="L281" i="84"/>
  <c r="L282" i="84"/>
  <c r="L283" i="84"/>
  <c r="L284" i="84"/>
  <c r="L285" i="84"/>
  <c r="L286" i="84"/>
  <c r="L287" i="84"/>
  <c r="L288" i="84"/>
  <c r="L289" i="84"/>
  <c r="L290" i="84"/>
  <c r="L291" i="84"/>
  <c r="L292" i="84"/>
  <c r="L293" i="84"/>
  <c r="L294" i="84"/>
  <c r="L295" i="84"/>
  <c r="L296" i="84"/>
  <c r="L297" i="84"/>
  <c r="L298" i="84"/>
  <c r="L299" i="84"/>
  <c r="L300" i="84"/>
  <c r="L301" i="84"/>
  <c r="L302" i="84"/>
  <c r="L303" i="84"/>
  <c r="L304" i="84"/>
  <c r="L305" i="84"/>
  <c r="L306" i="84"/>
  <c r="L307" i="84"/>
  <c r="L308" i="84"/>
  <c r="L309" i="84"/>
  <c r="L310" i="84"/>
  <c r="L311" i="84"/>
  <c r="L312" i="84"/>
  <c r="L313" i="84"/>
  <c r="L314" i="84"/>
  <c r="L315" i="84"/>
  <c r="L316" i="84"/>
  <c r="L317" i="84"/>
  <c r="L318" i="84"/>
  <c r="L319" i="84"/>
  <c r="L320" i="84"/>
  <c r="L321" i="84"/>
  <c r="L322" i="84"/>
  <c r="L323" i="84"/>
  <c r="L324" i="84"/>
  <c r="L325" i="84"/>
  <c r="L326" i="84"/>
  <c r="L327" i="84"/>
  <c r="L328" i="84"/>
  <c r="L329" i="84"/>
  <c r="L330" i="84"/>
  <c r="L331" i="84"/>
  <c r="L332" i="84"/>
  <c r="L333" i="84"/>
  <c r="L334" i="84"/>
  <c r="L335" i="84"/>
  <c r="L336" i="84"/>
  <c r="L337" i="84"/>
  <c r="L338" i="84"/>
  <c r="L339" i="84"/>
  <c r="L340" i="84"/>
  <c r="L341" i="84"/>
  <c r="L342" i="84"/>
  <c r="L343" i="84"/>
  <c r="L344" i="84"/>
  <c r="L345" i="84"/>
  <c r="L346" i="84"/>
  <c r="L347" i="84"/>
  <c r="L348" i="84"/>
  <c r="L349" i="84"/>
  <c r="L350" i="84"/>
  <c r="L351" i="84"/>
  <c r="L352" i="84"/>
  <c r="L353" i="84"/>
  <c r="L354" i="84"/>
  <c r="L355" i="84"/>
  <c r="L356" i="84"/>
  <c r="L357" i="84"/>
  <c r="L358" i="84"/>
  <c r="L359" i="84"/>
  <c r="L360" i="84"/>
  <c r="L361" i="84"/>
  <c r="L362" i="84"/>
  <c r="L363" i="84"/>
  <c r="L364" i="84"/>
  <c r="L365" i="84"/>
  <c r="L366" i="84"/>
  <c r="L367" i="84"/>
  <c r="L368" i="84"/>
  <c r="L369" i="84"/>
  <c r="L370" i="84"/>
  <c r="L371" i="84"/>
  <c r="L372" i="84"/>
  <c r="L373" i="84"/>
  <c r="L374" i="84"/>
  <c r="L375" i="84"/>
  <c r="L376" i="84"/>
  <c r="L377" i="84"/>
  <c r="L378" i="84"/>
  <c r="L379" i="84"/>
  <c r="L380" i="84"/>
  <c r="L381" i="84"/>
  <c r="L382" i="84"/>
  <c r="L383" i="84"/>
  <c r="L384" i="84"/>
  <c r="L385" i="84"/>
  <c r="L386" i="84"/>
  <c r="L387" i="84"/>
  <c r="L388" i="84"/>
  <c r="L389" i="84"/>
  <c r="L390" i="84"/>
  <c r="L391" i="84"/>
  <c r="L392" i="84"/>
  <c r="L393" i="84"/>
  <c r="L394" i="84"/>
  <c r="L395" i="84"/>
  <c r="L396" i="84"/>
  <c r="L397" i="84"/>
  <c r="L398" i="84"/>
  <c r="L399" i="84"/>
  <c r="L400" i="84"/>
  <c r="L401" i="84"/>
  <c r="L402" i="84"/>
  <c r="L403" i="84"/>
  <c r="L404" i="84"/>
  <c r="L405" i="84"/>
  <c r="L406" i="84"/>
  <c r="L407" i="84"/>
  <c r="L408" i="84"/>
  <c r="L409" i="84"/>
  <c r="L410" i="84"/>
  <c r="L411" i="84"/>
  <c r="L412" i="84"/>
  <c r="L413" i="84"/>
  <c r="L414" i="84"/>
  <c r="L415" i="84"/>
  <c r="L416" i="84"/>
  <c r="L417" i="84"/>
  <c r="L418" i="84"/>
  <c r="L419" i="84"/>
  <c r="L420" i="84"/>
  <c r="L421" i="84"/>
  <c r="L422" i="84"/>
  <c r="L423" i="84"/>
  <c r="L424" i="84"/>
  <c r="L425" i="84"/>
  <c r="L426" i="84"/>
  <c r="L427" i="84"/>
  <c r="L428" i="84"/>
  <c r="L429" i="84"/>
  <c r="L430" i="84"/>
  <c r="L431" i="84"/>
  <c r="L432" i="84"/>
  <c r="L433" i="84"/>
  <c r="L434" i="84"/>
  <c r="L435" i="84"/>
  <c r="L436" i="84"/>
  <c r="L437" i="84"/>
  <c r="L438" i="84"/>
  <c r="L439" i="84"/>
  <c r="L440" i="84"/>
  <c r="L441" i="84"/>
  <c r="L442" i="84"/>
  <c r="L443" i="84"/>
  <c r="L444" i="84"/>
  <c r="L445" i="84"/>
  <c r="L446" i="84"/>
  <c r="L447" i="84"/>
  <c r="L448" i="84"/>
  <c r="L449" i="84"/>
  <c r="L450" i="84"/>
  <c r="L451" i="84"/>
  <c r="L452" i="84"/>
  <c r="L453" i="84"/>
  <c r="L454" i="84"/>
  <c r="L455" i="84"/>
  <c r="L456" i="84"/>
  <c r="L457" i="84"/>
  <c r="L458" i="84"/>
  <c r="L459" i="84"/>
  <c r="L460" i="84"/>
  <c r="L461" i="84"/>
  <c r="L462" i="84"/>
  <c r="L463" i="84"/>
  <c r="L464" i="84"/>
  <c r="L465" i="84"/>
  <c r="L466" i="84"/>
  <c r="L467" i="84"/>
  <c r="L468" i="84"/>
  <c r="L469" i="84"/>
  <c r="L470" i="84"/>
  <c r="L471" i="84"/>
  <c r="L472" i="84"/>
  <c r="L473" i="84"/>
  <c r="L474" i="84"/>
  <c r="L475" i="84"/>
  <c r="L476" i="84"/>
  <c r="L477" i="84"/>
  <c r="L478" i="84"/>
  <c r="L479" i="84"/>
  <c r="L480" i="84"/>
  <c r="L481" i="84"/>
  <c r="L482" i="84"/>
  <c r="L483" i="84"/>
  <c r="L484" i="84"/>
  <c r="L485" i="84"/>
  <c r="L486" i="84"/>
  <c r="L487" i="84"/>
  <c r="L488" i="84"/>
  <c r="L489" i="84"/>
  <c r="L490" i="84"/>
  <c r="L491" i="84"/>
  <c r="L492" i="84"/>
  <c r="L493" i="84"/>
  <c r="L494" i="84"/>
  <c r="L495" i="84"/>
  <c r="L496" i="84"/>
  <c r="L497" i="84"/>
  <c r="L498" i="84"/>
  <c r="L499" i="84"/>
  <c r="L500" i="84"/>
  <c r="L501" i="84"/>
  <c r="L502" i="84"/>
  <c r="L503" i="84"/>
  <c r="L504" i="84"/>
  <c r="L505" i="84"/>
  <c r="L506" i="84"/>
  <c r="L507" i="84"/>
  <c r="L508" i="84"/>
  <c r="L509" i="84"/>
  <c r="L510" i="84"/>
  <c r="L511" i="84"/>
  <c r="L512" i="84"/>
  <c r="L513" i="84"/>
  <c r="L514" i="84"/>
  <c r="L515" i="84"/>
  <c r="L516" i="84"/>
  <c r="L517" i="84"/>
  <c r="L518" i="84"/>
  <c r="L519" i="84"/>
  <c r="L520" i="84"/>
  <c r="L521" i="84"/>
  <c r="L522" i="84"/>
  <c r="L523" i="84"/>
  <c r="L524" i="84"/>
  <c r="L525" i="84"/>
  <c r="L526" i="84"/>
  <c r="L527" i="84"/>
  <c r="L528" i="84"/>
  <c r="L529" i="84"/>
  <c r="L530" i="84"/>
  <c r="L531" i="84"/>
  <c r="L532" i="84"/>
  <c r="L533" i="84"/>
  <c r="L534" i="84"/>
  <c r="L535" i="84"/>
  <c r="L536" i="84"/>
  <c r="L537" i="84"/>
  <c r="L538" i="84"/>
  <c r="L539" i="84"/>
  <c r="L540" i="84"/>
  <c r="L541" i="84"/>
  <c r="L542" i="84"/>
  <c r="L543" i="84"/>
  <c r="L544" i="84"/>
  <c r="L545" i="84"/>
  <c r="L546" i="84"/>
  <c r="L547" i="84"/>
  <c r="L548" i="84"/>
  <c r="L549" i="84"/>
  <c r="L550" i="84"/>
  <c r="L551" i="84"/>
  <c r="L552" i="84"/>
  <c r="L553" i="84"/>
  <c r="L554" i="84"/>
  <c r="L555" i="84"/>
  <c r="L556" i="84"/>
  <c r="L557" i="84"/>
  <c r="L558" i="84"/>
  <c r="L559" i="84"/>
  <c r="L560" i="84"/>
  <c r="L561" i="84"/>
  <c r="L562" i="84"/>
  <c r="L563" i="84"/>
  <c r="L564" i="84"/>
  <c r="L565" i="84"/>
  <c r="L566" i="84"/>
  <c r="L567" i="84"/>
  <c r="L568" i="84"/>
  <c r="L569" i="84"/>
  <c r="L570" i="84"/>
  <c r="L571" i="84"/>
  <c r="L572" i="84"/>
  <c r="L573" i="84"/>
  <c r="L574" i="84"/>
  <c r="L575" i="84"/>
  <c r="L576" i="84"/>
  <c r="L577" i="84"/>
  <c r="L578" i="84"/>
  <c r="L579" i="84"/>
  <c r="L580" i="84"/>
  <c r="L581" i="84"/>
  <c r="L582" i="84"/>
  <c r="L583" i="84"/>
  <c r="L584" i="84"/>
  <c r="L585" i="84"/>
  <c r="L586" i="84"/>
  <c r="L587" i="84"/>
  <c r="L588" i="84"/>
  <c r="L589" i="84"/>
  <c r="L590" i="84"/>
  <c r="L591" i="84"/>
  <c r="L592" i="84"/>
  <c r="L593" i="84"/>
  <c r="L594" i="84"/>
  <c r="L595" i="84"/>
  <c r="L596" i="84"/>
  <c r="L597" i="84"/>
  <c r="L598" i="84"/>
  <c r="L599" i="84"/>
  <c r="L600" i="84"/>
  <c r="L601" i="84"/>
  <c r="L602" i="84"/>
  <c r="L603" i="84"/>
  <c r="L604" i="84"/>
  <c r="L605" i="84"/>
  <c r="L606" i="84"/>
  <c r="L607" i="84"/>
  <c r="L608" i="84"/>
  <c r="L609" i="84"/>
  <c r="L610" i="84"/>
  <c r="L611" i="84"/>
  <c r="L612" i="84"/>
  <c r="L613" i="84"/>
  <c r="L614" i="84"/>
  <c r="L615" i="84"/>
  <c r="L616" i="84"/>
  <c r="L617" i="84"/>
  <c r="L618" i="84"/>
  <c r="L619" i="84"/>
  <c r="L620" i="84"/>
  <c r="L621" i="84"/>
  <c r="L622" i="84"/>
  <c r="L623" i="84"/>
  <c r="L624" i="84"/>
  <c r="L625" i="84"/>
  <c r="L626" i="84"/>
  <c r="L627" i="84"/>
  <c r="L628" i="84"/>
  <c r="L629" i="84"/>
  <c r="L630" i="84"/>
  <c r="L631" i="84"/>
  <c r="L632" i="84"/>
  <c r="L633" i="84"/>
  <c r="L634" i="84"/>
  <c r="L635" i="84"/>
  <c r="L636" i="84"/>
  <c r="L637" i="84"/>
  <c r="L638" i="84"/>
  <c r="L639" i="84"/>
  <c r="L640" i="84"/>
  <c r="L641" i="84"/>
  <c r="L642" i="84"/>
  <c r="L643" i="84"/>
  <c r="L644" i="84"/>
  <c r="L645" i="84"/>
  <c r="L646" i="84"/>
  <c r="L647" i="84"/>
  <c r="L648" i="84"/>
  <c r="L649" i="84"/>
  <c r="L650" i="84"/>
  <c r="L651" i="84"/>
  <c r="L652" i="84"/>
  <c r="L653" i="84"/>
  <c r="L654" i="84"/>
  <c r="L655" i="84"/>
  <c r="L656" i="84"/>
  <c r="L657" i="84"/>
  <c r="L658" i="84"/>
  <c r="L659" i="84"/>
  <c r="L660" i="84"/>
  <c r="L661" i="84"/>
  <c r="L662" i="84"/>
  <c r="L663" i="84"/>
  <c r="L664" i="84"/>
  <c r="L665" i="84"/>
  <c r="L666" i="84"/>
  <c r="L667" i="84"/>
  <c r="L668" i="84"/>
  <c r="L669" i="84"/>
  <c r="L670" i="84"/>
  <c r="L671" i="84"/>
  <c r="L672" i="84"/>
  <c r="L673" i="84"/>
  <c r="L674" i="84"/>
  <c r="L675" i="84"/>
  <c r="L676" i="84"/>
  <c r="L677" i="84"/>
  <c r="L678" i="84"/>
  <c r="L679" i="84"/>
  <c r="L680" i="84"/>
  <c r="L681" i="84"/>
  <c r="L682" i="84"/>
  <c r="L683" i="84"/>
  <c r="L684" i="84"/>
  <c r="L685" i="84"/>
  <c r="L686" i="84"/>
  <c r="L687" i="84"/>
  <c r="L688" i="84"/>
  <c r="L689" i="84"/>
  <c r="L690" i="84"/>
  <c r="L691" i="84"/>
  <c r="L692" i="84"/>
  <c r="L693" i="84"/>
  <c r="L694" i="84"/>
  <c r="L695" i="84"/>
  <c r="L696" i="84"/>
  <c r="L697" i="84"/>
  <c r="L698" i="84"/>
  <c r="L699" i="84"/>
  <c r="L700" i="84"/>
  <c r="L701" i="84"/>
  <c r="L702" i="84"/>
  <c r="L703" i="84"/>
  <c r="L704" i="84"/>
  <c r="L705" i="84"/>
  <c r="L706" i="84"/>
  <c r="L707" i="84"/>
  <c r="L708" i="84"/>
  <c r="L709" i="84"/>
  <c r="L710" i="84"/>
  <c r="L711" i="84"/>
  <c r="L712" i="84"/>
  <c r="L713" i="84"/>
  <c r="L714" i="84"/>
  <c r="L715" i="84"/>
  <c r="L716" i="84"/>
  <c r="L717" i="84"/>
  <c r="L718" i="84"/>
  <c r="L719" i="84"/>
  <c r="L720" i="84"/>
  <c r="L721" i="84"/>
  <c r="L722" i="84"/>
  <c r="L723" i="84"/>
  <c r="L724" i="84"/>
  <c r="L725" i="84"/>
  <c r="L726" i="84"/>
  <c r="L727" i="84"/>
  <c r="L728" i="84"/>
  <c r="L729" i="84"/>
  <c r="L730" i="84"/>
  <c r="L731" i="84"/>
  <c r="L732" i="84"/>
  <c r="L733" i="84"/>
  <c r="L734" i="84"/>
  <c r="L735" i="84"/>
  <c r="L736" i="84"/>
  <c r="L737" i="84"/>
  <c r="L738" i="84"/>
  <c r="L739" i="84"/>
  <c r="L740" i="84"/>
  <c r="L741" i="84"/>
  <c r="L742" i="84"/>
  <c r="L743" i="84"/>
  <c r="L744" i="84"/>
  <c r="L745" i="84"/>
  <c r="L746" i="84"/>
  <c r="L747" i="84"/>
  <c r="L748" i="84"/>
  <c r="L749" i="84"/>
  <c r="L750" i="84"/>
  <c r="L751" i="84"/>
  <c r="L2" i="84"/>
  <c r="J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62" i="84"/>
  <c r="I63" i="84"/>
  <c r="I64" i="84"/>
  <c r="I65" i="84"/>
  <c r="I66" i="84"/>
  <c r="I67" i="84"/>
  <c r="I68" i="84"/>
  <c r="I69" i="84"/>
  <c r="I70" i="84"/>
  <c r="I71" i="84"/>
  <c r="I72" i="84"/>
  <c r="I73" i="84"/>
  <c r="I74" i="84"/>
  <c r="I75" i="84"/>
  <c r="I76" i="84"/>
  <c r="I77" i="84"/>
  <c r="I78" i="84"/>
  <c r="I79" i="84"/>
  <c r="I80" i="84"/>
  <c r="I81" i="84"/>
  <c r="I82" i="84"/>
  <c r="I83" i="84"/>
  <c r="I84" i="84"/>
  <c r="I85" i="84"/>
  <c r="I86" i="84"/>
  <c r="I87" i="84"/>
  <c r="I88" i="84"/>
  <c r="I89" i="84"/>
  <c r="I90" i="84"/>
  <c r="I91" i="84"/>
  <c r="I92" i="84"/>
  <c r="I93" i="84"/>
  <c r="I94" i="84"/>
  <c r="I95" i="84"/>
  <c r="I96" i="84"/>
  <c r="I97" i="84"/>
  <c r="I98" i="84"/>
  <c r="I99" i="84"/>
  <c r="I100" i="84"/>
  <c r="I101" i="84"/>
  <c r="I102" i="84"/>
  <c r="I103" i="84"/>
  <c r="I104" i="84"/>
  <c r="I105" i="84"/>
  <c r="I106" i="84"/>
  <c r="I107" i="84"/>
  <c r="I108" i="84"/>
  <c r="I109" i="84"/>
  <c r="I110" i="84"/>
  <c r="I111" i="84"/>
  <c r="I112" i="84"/>
  <c r="I113" i="84"/>
  <c r="I114" i="84"/>
  <c r="I115" i="84"/>
  <c r="I116" i="84"/>
  <c r="I117" i="84"/>
  <c r="I118" i="84"/>
  <c r="I119" i="84"/>
  <c r="I120" i="84"/>
  <c r="I121" i="84"/>
  <c r="I122" i="84"/>
  <c r="I123" i="84"/>
  <c r="I124" i="84"/>
  <c r="I125" i="84"/>
  <c r="I126" i="84"/>
  <c r="I127" i="84"/>
  <c r="I128" i="84"/>
  <c r="I129" i="84"/>
  <c r="I130" i="84"/>
  <c r="I131" i="84"/>
  <c r="I132" i="84"/>
  <c r="I133" i="84"/>
  <c r="I134" i="84"/>
  <c r="I135" i="84"/>
  <c r="I136" i="84"/>
  <c r="I137" i="84"/>
  <c r="I138" i="84"/>
  <c r="I139" i="84"/>
  <c r="I140" i="84"/>
  <c r="I141" i="84"/>
  <c r="I142" i="84"/>
  <c r="I143" i="84"/>
  <c r="I144" i="84"/>
  <c r="I145" i="84"/>
  <c r="I146" i="84"/>
  <c r="I147" i="84"/>
  <c r="I148" i="84"/>
  <c r="I149" i="84"/>
  <c r="I150" i="84"/>
  <c r="I151" i="84"/>
  <c r="I152" i="84"/>
  <c r="I153" i="84"/>
  <c r="I154" i="84"/>
  <c r="I155" i="84"/>
  <c r="I156" i="84"/>
  <c r="I157" i="84"/>
  <c r="I158" i="84"/>
  <c r="I159" i="84"/>
  <c r="I160" i="84"/>
  <c r="I161" i="84"/>
  <c r="I162" i="84"/>
  <c r="I163" i="84"/>
  <c r="I164" i="84"/>
  <c r="I165" i="84"/>
  <c r="I166" i="84"/>
  <c r="I167" i="84"/>
  <c r="I168" i="84"/>
  <c r="I169" i="84"/>
  <c r="I170" i="84"/>
  <c r="I171" i="84"/>
  <c r="I172" i="84"/>
  <c r="I173" i="84"/>
  <c r="I174" i="84"/>
  <c r="I175" i="84"/>
  <c r="I176" i="84"/>
  <c r="I177" i="84"/>
  <c r="I178" i="84"/>
  <c r="I179" i="84"/>
  <c r="I180" i="84"/>
  <c r="I181" i="84"/>
  <c r="I182" i="84"/>
  <c r="I183" i="84"/>
  <c r="I184" i="84"/>
  <c r="I185" i="84"/>
  <c r="I186" i="84"/>
  <c r="I187" i="84"/>
  <c r="I188" i="84"/>
  <c r="I189" i="84"/>
  <c r="I190" i="84"/>
  <c r="I191" i="84"/>
  <c r="I192" i="84"/>
  <c r="I193" i="84"/>
  <c r="I194" i="84"/>
  <c r="I195" i="84"/>
  <c r="I196" i="84"/>
  <c r="I197" i="84"/>
  <c r="I198" i="84"/>
  <c r="I199" i="84"/>
  <c r="I200" i="84"/>
  <c r="I201" i="84"/>
  <c r="I202" i="84"/>
  <c r="I203" i="84"/>
  <c r="I204" i="84"/>
  <c r="I205" i="84"/>
  <c r="I206" i="84"/>
  <c r="I207" i="84"/>
  <c r="I208" i="84"/>
  <c r="I209" i="84"/>
  <c r="I210" i="84"/>
  <c r="I211" i="84"/>
  <c r="I212" i="84"/>
  <c r="I213" i="84"/>
  <c r="I214" i="84"/>
  <c r="I215" i="84"/>
  <c r="I216" i="84"/>
  <c r="I217" i="84"/>
  <c r="I218" i="84"/>
  <c r="I219" i="84"/>
  <c r="I220" i="84"/>
  <c r="I221" i="84"/>
  <c r="I222" i="84"/>
  <c r="I223" i="84"/>
  <c r="I224" i="84"/>
  <c r="I225" i="84"/>
  <c r="I226" i="84"/>
  <c r="I227" i="84"/>
  <c r="I228" i="84"/>
  <c r="I229" i="84"/>
  <c r="I230" i="84"/>
  <c r="I231" i="84"/>
  <c r="I232" i="84"/>
  <c r="I233" i="84"/>
  <c r="I234" i="84"/>
  <c r="I235" i="84"/>
  <c r="I236" i="84"/>
  <c r="I237" i="84"/>
  <c r="I238" i="84"/>
  <c r="I239" i="84"/>
  <c r="I240" i="84"/>
  <c r="I241" i="84"/>
  <c r="I242" i="84"/>
  <c r="I243" i="84"/>
  <c r="I244" i="84"/>
  <c r="I245" i="84"/>
  <c r="I246" i="84"/>
  <c r="I247" i="84"/>
  <c r="I248" i="84"/>
  <c r="I249" i="84"/>
  <c r="I250" i="84"/>
  <c r="I251" i="84"/>
  <c r="I252" i="84"/>
  <c r="I253" i="84"/>
  <c r="I254" i="84"/>
  <c r="I255" i="84"/>
  <c r="I256" i="84"/>
  <c r="I257" i="84"/>
  <c r="I258" i="84"/>
  <c r="I259" i="84"/>
  <c r="I260" i="84"/>
  <c r="I261" i="84"/>
  <c r="I262" i="84"/>
  <c r="I263" i="84"/>
  <c r="I264" i="84"/>
  <c r="I265" i="84"/>
  <c r="I266" i="84"/>
  <c r="I267" i="84"/>
  <c r="I268" i="84"/>
  <c r="I269" i="84"/>
  <c r="I270" i="84"/>
  <c r="I271" i="84"/>
  <c r="I272" i="84"/>
  <c r="I273" i="84"/>
  <c r="I274" i="84"/>
  <c r="I275" i="84"/>
  <c r="I276" i="84"/>
  <c r="I277" i="84"/>
  <c r="I278" i="84"/>
  <c r="I279" i="84"/>
  <c r="I280" i="84"/>
  <c r="I281" i="84"/>
  <c r="I282" i="84"/>
  <c r="I283" i="84"/>
  <c r="I284" i="84"/>
  <c r="I285" i="84"/>
  <c r="I286" i="84"/>
  <c r="I287" i="84"/>
  <c r="I288" i="84"/>
  <c r="I289" i="84"/>
  <c r="I290" i="84"/>
  <c r="I291" i="84"/>
  <c r="I292" i="84"/>
  <c r="I293" i="84"/>
  <c r="I294" i="84"/>
  <c r="I295" i="84"/>
  <c r="I296" i="84"/>
  <c r="I297" i="84"/>
  <c r="I298" i="84"/>
  <c r="I299" i="84"/>
  <c r="I300" i="84"/>
  <c r="I301" i="84"/>
  <c r="I302" i="84"/>
  <c r="I303" i="84"/>
  <c r="I304" i="84"/>
  <c r="I305" i="84"/>
  <c r="I306" i="84"/>
  <c r="I307" i="84"/>
  <c r="I308" i="84"/>
  <c r="I309" i="84"/>
  <c r="I310" i="84"/>
  <c r="I311" i="84"/>
  <c r="I312" i="84"/>
  <c r="I313" i="84"/>
  <c r="I314" i="84"/>
  <c r="I315" i="84"/>
  <c r="I316" i="84"/>
  <c r="I317" i="84"/>
  <c r="I318" i="84"/>
  <c r="I319" i="84"/>
  <c r="I320" i="84"/>
  <c r="I321" i="84"/>
  <c r="I322" i="84"/>
  <c r="I323" i="84"/>
  <c r="I324" i="84"/>
  <c r="I325" i="84"/>
  <c r="I326" i="84"/>
  <c r="I327" i="84"/>
  <c r="I328" i="84"/>
  <c r="I329" i="84"/>
  <c r="I330" i="84"/>
  <c r="I331" i="84"/>
  <c r="I332" i="84"/>
  <c r="I333" i="84"/>
  <c r="I334" i="84"/>
  <c r="I335" i="84"/>
  <c r="I336" i="84"/>
  <c r="I337" i="84"/>
  <c r="I338" i="84"/>
  <c r="I339" i="84"/>
  <c r="I340" i="84"/>
  <c r="I341" i="84"/>
  <c r="I342" i="84"/>
  <c r="I343" i="84"/>
  <c r="I344" i="84"/>
  <c r="I345" i="84"/>
  <c r="I346" i="84"/>
  <c r="I347" i="84"/>
  <c r="I348" i="84"/>
  <c r="I349" i="84"/>
  <c r="I350" i="84"/>
  <c r="I351" i="84"/>
  <c r="I352" i="84"/>
  <c r="I353" i="84"/>
  <c r="I354" i="84"/>
  <c r="I355" i="84"/>
  <c r="I356" i="84"/>
  <c r="I357" i="84"/>
  <c r="I358" i="84"/>
  <c r="I359" i="84"/>
  <c r="I360" i="84"/>
  <c r="I361" i="84"/>
  <c r="I362" i="84"/>
  <c r="I363" i="84"/>
  <c r="I364" i="84"/>
  <c r="I365" i="84"/>
  <c r="I366" i="84"/>
  <c r="I367" i="84"/>
  <c r="I368" i="84"/>
  <c r="I369" i="84"/>
  <c r="I370" i="84"/>
  <c r="I371" i="84"/>
  <c r="I372" i="84"/>
  <c r="I373" i="84"/>
  <c r="I374" i="84"/>
  <c r="I375" i="84"/>
  <c r="I376" i="84"/>
  <c r="I377" i="84"/>
  <c r="I378" i="84"/>
  <c r="I379" i="84"/>
  <c r="I380" i="84"/>
  <c r="I381" i="84"/>
  <c r="I382" i="84"/>
  <c r="I383" i="84"/>
  <c r="I384" i="84"/>
  <c r="I385" i="84"/>
  <c r="I386" i="84"/>
  <c r="I387" i="84"/>
  <c r="I388" i="84"/>
  <c r="I389" i="84"/>
  <c r="I390" i="84"/>
  <c r="I391" i="84"/>
  <c r="I392" i="84"/>
  <c r="I393" i="84"/>
  <c r="I394" i="84"/>
  <c r="I395" i="84"/>
  <c r="I396" i="84"/>
  <c r="I397" i="84"/>
  <c r="I398" i="84"/>
  <c r="I399" i="84"/>
  <c r="I400" i="84"/>
  <c r="I401" i="84"/>
  <c r="I402" i="84"/>
  <c r="I403" i="84"/>
  <c r="I404" i="84"/>
  <c r="I405" i="84"/>
  <c r="I406" i="84"/>
  <c r="I407" i="84"/>
  <c r="I408" i="84"/>
  <c r="I409" i="84"/>
  <c r="I410" i="84"/>
  <c r="I411" i="84"/>
  <c r="I412" i="84"/>
  <c r="I413" i="84"/>
  <c r="I414" i="84"/>
  <c r="I415" i="84"/>
  <c r="I416" i="84"/>
  <c r="I417" i="84"/>
  <c r="I418" i="84"/>
  <c r="I419" i="84"/>
  <c r="I420" i="84"/>
  <c r="I421" i="84"/>
  <c r="I422" i="84"/>
  <c r="I423" i="84"/>
  <c r="I424" i="84"/>
  <c r="I425" i="84"/>
  <c r="I426" i="84"/>
  <c r="I427" i="84"/>
  <c r="I428" i="84"/>
  <c r="I429" i="84"/>
  <c r="I430" i="84"/>
  <c r="I431" i="84"/>
  <c r="I432" i="84"/>
  <c r="I433" i="84"/>
  <c r="I434" i="84"/>
  <c r="I435" i="84"/>
  <c r="I436" i="84"/>
  <c r="I437" i="84"/>
  <c r="I438" i="84"/>
  <c r="I439" i="84"/>
  <c r="I440" i="84"/>
  <c r="I441" i="84"/>
  <c r="I442" i="84"/>
  <c r="I443" i="84"/>
  <c r="I444" i="84"/>
  <c r="I445" i="84"/>
  <c r="I446" i="84"/>
  <c r="I447" i="84"/>
  <c r="I448" i="84"/>
  <c r="I449" i="84"/>
  <c r="I450" i="84"/>
  <c r="I451" i="84"/>
  <c r="I452" i="84"/>
  <c r="I453" i="84"/>
  <c r="I454" i="84"/>
  <c r="I455" i="84"/>
  <c r="I456" i="84"/>
  <c r="I457" i="84"/>
  <c r="I458" i="84"/>
  <c r="I459" i="84"/>
  <c r="I460" i="84"/>
  <c r="I461" i="84"/>
  <c r="I462" i="84"/>
  <c r="I463" i="84"/>
  <c r="I464" i="84"/>
  <c r="I465" i="84"/>
  <c r="I466" i="84"/>
  <c r="I467" i="84"/>
  <c r="I468" i="84"/>
  <c r="I469" i="84"/>
  <c r="I470" i="84"/>
  <c r="I471" i="84"/>
  <c r="I472" i="84"/>
  <c r="I473" i="84"/>
  <c r="I474" i="84"/>
  <c r="I475" i="84"/>
  <c r="I476" i="84"/>
  <c r="I477" i="84"/>
  <c r="I478" i="84"/>
  <c r="I479" i="84"/>
  <c r="I480" i="84"/>
  <c r="I481" i="84"/>
  <c r="I482" i="84"/>
  <c r="I483" i="84"/>
  <c r="I484" i="84"/>
  <c r="I485" i="84"/>
  <c r="I486" i="84"/>
  <c r="I487" i="84"/>
  <c r="I488" i="84"/>
  <c r="I489" i="84"/>
  <c r="I490" i="84"/>
  <c r="I491" i="84"/>
  <c r="I492" i="84"/>
  <c r="I493" i="84"/>
  <c r="I494" i="84"/>
  <c r="I495" i="84"/>
  <c r="I496" i="84"/>
  <c r="I497" i="84"/>
  <c r="I498" i="84"/>
  <c r="I499" i="84"/>
  <c r="I500" i="84"/>
  <c r="I501" i="84"/>
  <c r="I502" i="84"/>
  <c r="I503" i="84"/>
  <c r="I504" i="84"/>
  <c r="I505" i="84"/>
  <c r="I506" i="84"/>
  <c r="I507" i="84"/>
  <c r="I508" i="84"/>
  <c r="I509" i="84"/>
  <c r="I510" i="84"/>
  <c r="I511" i="84"/>
  <c r="I512" i="84"/>
  <c r="I513" i="84"/>
  <c r="I514" i="84"/>
  <c r="I515" i="84"/>
  <c r="I516" i="84"/>
  <c r="I517" i="84"/>
  <c r="I518" i="84"/>
  <c r="I519" i="84"/>
  <c r="I520" i="84"/>
  <c r="I521" i="84"/>
  <c r="I522" i="84"/>
  <c r="I523" i="84"/>
  <c r="I524" i="84"/>
  <c r="I525" i="84"/>
  <c r="I526" i="84"/>
  <c r="I527" i="84"/>
  <c r="I528" i="84"/>
  <c r="I529" i="84"/>
  <c r="I530" i="84"/>
  <c r="I531" i="84"/>
  <c r="I532" i="84"/>
  <c r="I533" i="84"/>
  <c r="I534" i="84"/>
  <c r="I535" i="84"/>
  <c r="I536" i="84"/>
  <c r="I537" i="84"/>
  <c r="I538" i="84"/>
  <c r="I539" i="84"/>
  <c r="I540" i="84"/>
  <c r="I541" i="84"/>
  <c r="I542" i="84"/>
  <c r="I543" i="84"/>
  <c r="I544" i="84"/>
  <c r="I545" i="84"/>
  <c r="I546" i="84"/>
  <c r="I547" i="84"/>
  <c r="I548" i="84"/>
  <c r="I549" i="84"/>
  <c r="I550" i="84"/>
  <c r="I551" i="84"/>
  <c r="I552" i="84"/>
  <c r="I553" i="84"/>
  <c r="I554" i="84"/>
  <c r="I555" i="84"/>
  <c r="I556" i="84"/>
  <c r="I557" i="84"/>
  <c r="I558" i="84"/>
  <c r="I559" i="84"/>
  <c r="I560" i="84"/>
  <c r="I561" i="84"/>
  <c r="I562" i="84"/>
  <c r="I563" i="84"/>
  <c r="I564" i="84"/>
  <c r="I565" i="84"/>
  <c r="I566" i="84"/>
  <c r="I567" i="84"/>
  <c r="I568" i="84"/>
  <c r="I569" i="84"/>
  <c r="I570" i="84"/>
  <c r="I571" i="84"/>
  <c r="I572" i="84"/>
  <c r="I573" i="84"/>
  <c r="I574" i="84"/>
  <c r="I575" i="84"/>
  <c r="I576" i="84"/>
  <c r="I577" i="84"/>
  <c r="I578" i="84"/>
  <c r="I579" i="84"/>
  <c r="I580" i="84"/>
  <c r="I581" i="84"/>
  <c r="I582" i="84"/>
  <c r="I583" i="84"/>
  <c r="I584" i="84"/>
  <c r="I585" i="84"/>
  <c r="I586" i="84"/>
  <c r="I587" i="84"/>
  <c r="I588" i="84"/>
  <c r="I589" i="84"/>
  <c r="I590" i="84"/>
  <c r="I591" i="84"/>
  <c r="I592" i="84"/>
  <c r="I593" i="84"/>
  <c r="I594" i="84"/>
  <c r="I595" i="84"/>
  <c r="I596" i="84"/>
  <c r="I597" i="84"/>
  <c r="I598" i="84"/>
  <c r="I599" i="84"/>
  <c r="I600" i="84"/>
  <c r="I601" i="84"/>
  <c r="I602" i="84"/>
  <c r="I603" i="84"/>
  <c r="I604" i="84"/>
  <c r="I605" i="84"/>
  <c r="I606" i="84"/>
  <c r="I607" i="84"/>
  <c r="I608" i="84"/>
  <c r="I609" i="84"/>
  <c r="I610" i="84"/>
  <c r="I611" i="84"/>
  <c r="I612" i="84"/>
  <c r="I613" i="84"/>
  <c r="I614" i="84"/>
  <c r="I615" i="84"/>
  <c r="I616" i="84"/>
  <c r="I617" i="84"/>
  <c r="I618" i="84"/>
  <c r="I619" i="84"/>
  <c r="I620" i="84"/>
  <c r="I621" i="84"/>
  <c r="I622" i="84"/>
  <c r="I623" i="84"/>
  <c r="I624" i="84"/>
  <c r="I625" i="84"/>
  <c r="I626" i="84"/>
  <c r="I627" i="84"/>
  <c r="I628" i="84"/>
  <c r="I629" i="84"/>
  <c r="I630" i="84"/>
  <c r="I631" i="84"/>
  <c r="I632" i="84"/>
  <c r="I633" i="84"/>
  <c r="I634" i="84"/>
  <c r="I635" i="84"/>
  <c r="I636" i="84"/>
  <c r="I637" i="84"/>
  <c r="I638" i="84"/>
  <c r="I639" i="84"/>
  <c r="I640" i="84"/>
  <c r="I641" i="84"/>
  <c r="I642" i="84"/>
  <c r="I643" i="84"/>
  <c r="I644" i="84"/>
  <c r="I645" i="84"/>
  <c r="I646" i="84"/>
  <c r="I647" i="84"/>
  <c r="I648" i="84"/>
  <c r="I649" i="84"/>
  <c r="I650" i="84"/>
  <c r="I651" i="84"/>
  <c r="I652" i="84"/>
  <c r="I653" i="84"/>
  <c r="I654" i="84"/>
  <c r="I655" i="84"/>
  <c r="I656" i="84"/>
  <c r="I657" i="84"/>
  <c r="I658" i="84"/>
  <c r="I659" i="84"/>
  <c r="I660" i="84"/>
  <c r="I661" i="84"/>
  <c r="I662" i="84"/>
  <c r="I663" i="84"/>
  <c r="I664" i="84"/>
  <c r="I665" i="84"/>
  <c r="I666" i="84"/>
  <c r="I667" i="84"/>
  <c r="I668" i="84"/>
  <c r="I669" i="84"/>
  <c r="I670" i="84"/>
  <c r="I671" i="84"/>
  <c r="I672" i="84"/>
  <c r="I673" i="84"/>
  <c r="I674" i="84"/>
  <c r="I675" i="84"/>
  <c r="I676" i="84"/>
  <c r="I677" i="84"/>
  <c r="I678" i="84"/>
  <c r="I679" i="84"/>
  <c r="I680" i="84"/>
  <c r="I681" i="84"/>
  <c r="I682" i="84"/>
  <c r="I683" i="84"/>
  <c r="I684" i="84"/>
  <c r="I685" i="84"/>
  <c r="I686" i="84"/>
  <c r="I687" i="84"/>
  <c r="I688" i="84"/>
  <c r="I689" i="84"/>
  <c r="I690" i="84"/>
  <c r="I691" i="84"/>
  <c r="I692" i="84"/>
  <c r="I693" i="84"/>
  <c r="I694" i="84"/>
  <c r="I695" i="84"/>
  <c r="I696" i="84"/>
  <c r="I697" i="84"/>
  <c r="I698" i="84"/>
  <c r="I699" i="84"/>
  <c r="I700" i="84"/>
  <c r="I701" i="84"/>
  <c r="I702" i="84"/>
  <c r="I703" i="84"/>
  <c r="I704" i="84"/>
  <c r="I705" i="84"/>
  <c r="I706" i="84"/>
  <c r="I707" i="84"/>
  <c r="I708" i="84"/>
  <c r="I709" i="84"/>
  <c r="I710" i="84"/>
  <c r="I711" i="84"/>
  <c r="I712" i="84"/>
  <c r="I713" i="84"/>
  <c r="I714" i="84"/>
  <c r="I715" i="84"/>
  <c r="I716" i="84"/>
  <c r="I717" i="84"/>
  <c r="I718" i="84"/>
  <c r="I719" i="84"/>
  <c r="I720" i="84"/>
  <c r="I721" i="84"/>
  <c r="I722" i="84"/>
  <c r="I723" i="84"/>
  <c r="I724" i="84"/>
  <c r="I725" i="84"/>
  <c r="I726" i="84"/>
  <c r="I727" i="84"/>
  <c r="I728" i="84"/>
  <c r="I729" i="84"/>
  <c r="I730" i="84"/>
  <c r="I731" i="84"/>
  <c r="I732" i="84"/>
  <c r="I733" i="84"/>
  <c r="I734" i="84"/>
  <c r="I735" i="84"/>
  <c r="I736" i="84"/>
  <c r="I737" i="84"/>
  <c r="I738" i="84"/>
  <c r="I739" i="84"/>
  <c r="I740" i="84"/>
  <c r="I741" i="84"/>
  <c r="I742" i="84"/>
  <c r="I743" i="84"/>
  <c r="I744" i="84"/>
  <c r="I745" i="84"/>
  <c r="I746" i="84"/>
  <c r="I747" i="84"/>
  <c r="I748" i="84"/>
  <c r="I749" i="84"/>
  <c r="I750" i="84"/>
  <c r="I751" i="84"/>
  <c r="I2" i="84"/>
  <c r="P3" i="83"/>
  <c r="P4" i="83"/>
  <c r="P5" i="83"/>
  <c r="P6" i="83"/>
  <c r="P7" i="83"/>
  <c r="P8" i="83"/>
  <c r="P9" i="83"/>
  <c r="P10" i="83"/>
  <c r="P11" i="83"/>
  <c r="P12" i="83"/>
  <c r="P13" i="83"/>
  <c r="P14" i="83"/>
  <c r="P15" i="83"/>
  <c r="P16" i="83"/>
  <c r="P17" i="83"/>
  <c r="P18" i="83"/>
  <c r="P19" i="83"/>
  <c r="P20" i="83"/>
  <c r="P21" i="83"/>
  <c r="P22" i="83"/>
  <c r="P23" i="83"/>
  <c r="P24" i="83"/>
  <c r="P25" i="83"/>
  <c r="P26" i="83"/>
  <c r="P27" i="83"/>
  <c r="P28" i="83"/>
  <c r="P29" i="83"/>
  <c r="P30" i="83"/>
  <c r="P31" i="83"/>
  <c r="P32" i="83"/>
  <c r="P33" i="83"/>
  <c r="P34" i="83"/>
  <c r="P35" i="83"/>
  <c r="P36" i="83"/>
  <c r="P37" i="83"/>
  <c r="P38" i="83"/>
  <c r="P39" i="83"/>
  <c r="P40" i="83"/>
  <c r="P41" i="83"/>
  <c r="P42" i="83"/>
  <c r="P43" i="83"/>
  <c r="P44" i="83"/>
  <c r="P45" i="83"/>
  <c r="P46" i="83"/>
  <c r="P47" i="83"/>
  <c r="P48" i="83"/>
  <c r="P49" i="83"/>
  <c r="P50" i="83"/>
  <c r="P51" i="83"/>
  <c r="P52" i="83"/>
  <c r="P53" i="83"/>
  <c r="P54" i="83"/>
  <c r="P55" i="83"/>
  <c r="P2" i="83"/>
  <c r="M12" i="83"/>
  <c r="M13" i="83"/>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J3" i="83"/>
  <c r="J4" i="83"/>
  <c r="J5" i="83"/>
  <c r="J6" i="83"/>
  <c r="J7" i="83"/>
  <c r="J8" i="83"/>
  <c r="J9" i="83"/>
  <c r="J10" i="83"/>
  <c r="J11" i="83"/>
  <c r="J12" i="83"/>
  <c r="J13" i="83"/>
  <c r="J14" i="83"/>
  <c r="J15" i="83"/>
  <c r="J16" i="83"/>
  <c r="J17" i="83"/>
  <c r="J18" i="83"/>
  <c r="J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2" i="83"/>
  <c r="P3" i="82"/>
  <c r="P4" i="82"/>
  <c r="P5" i="82"/>
  <c r="P6"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2" i="82"/>
  <c r="K2" i="82"/>
  <c r="J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2" i="82"/>
  <c r="P3" i="81"/>
  <c r="P4" i="81"/>
  <c r="P5" i="81"/>
  <c r="P6" i="81"/>
  <c r="P7" i="81"/>
  <c r="P8" i="81"/>
  <c r="P9" i="81"/>
  <c r="P10" i="81"/>
  <c r="P11" i="81"/>
  <c r="P12" i="81"/>
  <c r="P13" i="81"/>
  <c r="P14" i="81"/>
  <c r="P15" i="81"/>
  <c r="P16" i="81"/>
  <c r="P17" i="81"/>
  <c r="P18" i="81"/>
  <c r="P19" i="81"/>
  <c r="P20" i="81"/>
  <c r="P21" i="81"/>
  <c r="P22" i="81"/>
  <c r="P23" i="81"/>
  <c r="P24" i="81"/>
  <c r="P25" i="81"/>
  <c r="P26" i="81"/>
  <c r="P27" i="81"/>
  <c r="P28" i="81"/>
  <c r="P29" i="81"/>
  <c r="P30" i="81"/>
  <c r="P31" i="81"/>
  <c r="P32" i="81"/>
  <c r="P33" i="81"/>
  <c r="P34" i="81"/>
  <c r="P35" i="81"/>
  <c r="P2" i="81"/>
  <c r="M37" i="81"/>
  <c r="M38" i="81"/>
  <c r="M12" i="81"/>
  <c r="M13" i="81"/>
  <c r="M14" i="81"/>
  <c r="M15" i="81"/>
  <c r="M16" i="81"/>
  <c r="M17" i="81"/>
  <c r="M18" i="81"/>
  <c r="M19" i="81"/>
  <c r="M20" i="81"/>
  <c r="M21" i="81"/>
  <c r="M22" i="81"/>
  <c r="M23" i="81"/>
  <c r="M24" i="81"/>
  <c r="M25" i="81"/>
  <c r="M26" i="81"/>
  <c r="M27" i="81"/>
  <c r="M28" i="81"/>
  <c r="M29" i="81"/>
  <c r="M30" i="81"/>
  <c r="M31" i="81"/>
  <c r="M32" i="81"/>
  <c r="M33" i="81"/>
  <c r="M34" i="81"/>
  <c r="M35" i="81"/>
  <c r="M36" i="81"/>
  <c r="K2" i="81"/>
  <c r="J3" i="81"/>
  <c r="J4" i="81"/>
  <c r="J5"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2" i="81"/>
  <c r="V3" i="80"/>
  <c r="V4" i="80"/>
  <c r="V5" i="80"/>
  <c r="V6" i="80"/>
  <c r="V7" i="80"/>
  <c r="V8" i="80"/>
  <c r="V9" i="80"/>
  <c r="V10" i="80"/>
  <c r="V11" i="80"/>
  <c r="V12" i="80"/>
  <c r="V13" i="80"/>
  <c r="V14" i="80"/>
  <c r="V15" i="80"/>
  <c r="V16" i="80"/>
  <c r="V17" i="80"/>
  <c r="V18" i="80"/>
  <c r="V19" i="80"/>
  <c r="V20" i="80"/>
  <c r="V21" i="80"/>
  <c r="V22" i="80"/>
  <c r="V23" i="80"/>
  <c r="V24" i="80"/>
  <c r="V25" i="80"/>
  <c r="V26" i="80"/>
  <c r="V27" i="80"/>
  <c r="V28" i="80"/>
  <c r="V29" i="80"/>
  <c r="V30" i="80"/>
  <c r="V31" i="80"/>
  <c r="V32" i="80"/>
  <c r="V33" i="80"/>
  <c r="V34" i="80"/>
  <c r="V35" i="80"/>
  <c r="V36" i="80"/>
  <c r="V37" i="80"/>
  <c r="V38" i="80"/>
  <c r="V39" i="80"/>
  <c r="V40" i="80"/>
  <c r="V41" i="80"/>
  <c r="V42" i="80"/>
  <c r="V43" i="80"/>
  <c r="V44" i="80"/>
  <c r="V45" i="80"/>
  <c r="V46" i="80"/>
  <c r="V47" i="80"/>
  <c r="V48" i="80"/>
  <c r="V49" i="80"/>
  <c r="V50" i="80"/>
  <c r="V51" i="80"/>
  <c r="V52" i="80"/>
  <c r="V53" i="80"/>
  <c r="V54" i="80"/>
  <c r="V55" i="80"/>
  <c r="V2"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Q2" i="80"/>
  <c r="P3" i="80"/>
  <c r="P4" i="80"/>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2" i="80"/>
  <c r="H2" i="80"/>
  <c r="N136" i="93"/>
  <c r="N119" i="93"/>
  <c r="P36" i="81" l="1"/>
  <c r="P36" i="82"/>
  <c r="O752" i="84"/>
  <c r="P56" i="83"/>
  <c r="O753" i="84"/>
  <c r="V56" i="80"/>
  <c r="V933" i="80" s="1"/>
  <c r="L2" i="100"/>
  <c r="M2" i="100"/>
  <c r="L3" i="100"/>
  <c r="M3" i="100"/>
  <c r="L4" i="100"/>
  <c r="M4" i="100"/>
  <c r="L5" i="100"/>
  <c r="M5" i="100"/>
  <c r="L6" i="100"/>
  <c r="M6" i="100"/>
  <c r="L7" i="100"/>
  <c r="M7" i="100"/>
  <c r="L8" i="100"/>
  <c r="M8" i="100"/>
  <c r="F30" i="100"/>
  <c r="I30" i="100"/>
  <c r="F116" i="99"/>
  <c r="N111" i="99"/>
  <c r="N112" i="99" s="1"/>
  <c r="M111" i="99"/>
  <c r="M112" i="99" s="1"/>
  <c r="L111" i="99"/>
  <c r="L112" i="99" s="1"/>
  <c r="K111" i="99"/>
  <c r="K112" i="99" s="1"/>
  <c r="J111" i="99"/>
  <c r="J112" i="99" s="1"/>
  <c r="I111" i="99"/>
  <c r="I112" i="99" s="1"/>
  <c r="H111" i="99"/>
  <c r="H112" i="99" s="1"/>
  <c r="G111" i="99"/>
  <c r="G112" i="99" s="1"/>
  <c r="F111" i="99"/>
  <c r="F112" i="99" s="1"/>
  <c r="E111" i="99"/>
  <c r="E112" i="99" s="1"/>
  <c r="D111" i="99"/>
  <c r="D112" i="99" s="1"/>
  <c r="C111" i="99"/>
  <c r="C112" i="99" s="1"/>
  <c r="M101" i="99"/>
  <c r="N101" i="99" s="1"/>
  <c r="K101" i="99"/>
  <c r="J101" i="99" s="1"/>
  <c r="D101" i="99"/>
  <c r="M100" i="99"/>
  <c r="N100" i="99" s="1"/>
  <c r="K100" i="99"/>
  <c r="J100" i="99" s="1"/>
  <c r="D100" i="99"/>
  <c r="M99" i="99"/>
  <c r="N99" i="99" s="1"/>
  <c r="K99" i="99"/>
  <c r="J99" i="99" s="1"/>
  <c r="D99" i="99"/>
  <c r="M98" i="99"/>
  <c r="N98" i="99" s="1"/>
  <c r="K98" i="99"/>
  <c r="J98" i="99" s="1"/>
  <c r="D98" i="99"/>
  <c r="M97" i="99"/>
  <c r="N97" i="99" s="1"/>
  <c r="K97" i="99"/>
  <c r="J97" i="99"/>
  <c r="D97" i="99"/>
  <c r="M96" i="99"/>
  <c r="N96" i="99" s="1"/>
  <c r="K96" i="99"/>
  <c r="J96" i="99"/>
  <c r="D96" i="99"/>
  <c r="M95" i="99"/>
  <c r="N95" i="99" s="1"/>
  <c r="K95" i="99"/>
  <c r="J95" i="99"/>
  <c r="D95" i="99"/>
  <c r="B95" i="99"/>
  <c r="M94" i="99"/>
  <c r="N94" i="99" s="1"/>
  <c r="K94" i="99"/>
  <c r="J94" i="99" s="1"/>
  <c r="D94" i="99"/>
  <c r="M93" i="99"/>
  <c r="N93" i="99" s="1"/>
  <c r="K93" i="99"/>
  <c r="J93" i="99" s="1"/>
  <c r="F93" i="99"/>
  <c r="H99" i="99" s="1"/>
  <c r="D93" i="99"/>
  <c r="M90" i="99"/>
  <c r="N90" i="99" s="1"/>
  <c r="K90" i="99"/>
  <c r="J90" i="99" s="1"/>
  <c r="D90" i="99"/>
  <c r="M89" i="99"/>
  <c r="N89" i="99" s="1"/>
  <c r="K89" i="99"/>
  <c r="J89" i="99" s="1"/>
  <c r="D89" i="99"/>
  <c r="M88" i="99"/>
  <c r="N88" i="99" s="1"/>
  <c r="K88" i="99"/>
  <c r="J88" i="99" s="1"/>
  <c r="D88" i="99"/>
  <c r="M87" i="99"/>
  <c r="N87" i="99" s="1"/>
  <c r="K87" i="99"/>
  <c r="J87" i="99" s="1"/>
  <c r="D87" i="99"/>
  <c r="M86" i="99"/>
  <c r="N86" i="99" s="1"/>
  <c r="K86" i="99"/>
  <c r="J86" i="99" s="1"/>
  <c r="D86" i="99"/>
  <c r="B86" i="99"/>
  <c r="N85" i="99"/>
  <c r="M85" i="99"/>
  <c r="K85" i="99"/>
  <c r="J85" i="99" s="1"/>
  <c r="D85" i="99"/>
  <c r="B85" i="99"/>
  <c r="M84" i="99"/>
  <c r="N84" i="99" s="1"/>
  <c r="K84" i="99"/>
  <c r="J84" i="99" s="1"/>
  <c r="D84" i="99"/>
  <c r="M83" i="99"/>
  <c r="N83" i="99" s="1"/>
  <c r="K83" i="99"/>
  <c r="J83" i="99" s="1"/>
  <c r="F83" i="99"/>
  <c r="H88" i="99" s="1"/>
  <c r="D83" i="99"/>
  <c r="N80" i="99"/>
  <c r="M80" i="99"/>
  <c r="K80" i="99"/>
  <c r="J80" i="99" s="1"/>
  <c r="D80" i="99"/>
  <c r="M79" i="99"/>
  <c r="N79" i="99" s="1"/>
  <c r="K79" i="99"/>
  <c r="J79" i="99" s="1"/>
  <c r="D79" i="99"/>
  <c r="M78" i="99"/>
  <c r="N78" i="99" s="1"/>
  <c r="K78" i="99"/>
  <c r="J78" i="99" s="1"/>
  <c r="D78" i="99"/>
  <c r="M77" i="99"/>
  <c r="N77" i="99" s="1"/>
  <c r="K77" i="99"/>
  <c r="J77" i="99" s="1"/>
  <c r="D77" i="99"/>
  <c r="M76" i="99"/>
  <c r="N76" i="99" s="1"/>
  <c r="K76" i="99"/>
  <c r="J76" i="99" s="1"/>
  <c r="D76" i="99"/>
  <c r="M75" i="99"/>
  <c r="N75" i="99" s="1"/>
  <c r="K75" i="99"/>
  <c r="J75" i="99" s="1"/>
  <c r="D75" i="99"/>
  <c r="M74" i="99"/>
  <c r="N74" i="99" s="1"/>
  <c r="K74" i="99"/>
  <c r="J74" i="99" s="1"/>
  <c r="D74" i="99"/>
  <c r="B74" i="99"/>
  <c r="M73" i="99"/>
  <c r="N73" i="99" s="1"/>
  <c r="K73" i="99"/>
  <c r="J73" i="99" s="1"/>
  <c r="D73" i="99"/>
  <c r="M72" i="99"/>
  <c r="N72" i="99" s="1"/>
  <c r="K72" i="99"/>
  <c r="J72" i="99" s="1"/>
  <c r="F72" i="99"/>
  <c r="H77" i="99" s="1"/>
  <c r="D72" i="99"/>
  <c r="D67" i="99"/>
  <c r="B63" i="99"/>
  <c r="D58" i="99"/>
  <c r="D56" i="99"/>
  <c r="B52" i="99"/>
  <c r="D50" i="99"/>
  <c r="B50" i="99"/>
  <c r="H42" i="99"/>
  <c r="H41" i="99"/>
  <c r="H40" i="99"/>
  <c r="H39" i="99"/>
  <c r="H37" i="99"/>
  <c r="J24" i="99"/>
  <c r="G24" i="99"/>
  <c r="E44" i="99" s="1"/>
  <c r="E24" i="99"/>
  <c r="P32" i="99" s="1"/>
  <c r="I23" i="99"/>
  <c r="C22" i="99"/>
  <c r="C20" i="99"/>
  <c r="G18" i="99"/>
  <c r="G17" i="99"/>
  <c r="C17" i="99"/>
  <c r="C13" i="99"/>
  <c r="N12" i="99"/>
  <c r="AB10" i="99"/>
  <c r="Y10" i="99"/>
  <c r="C10" i="99"/>
  <c r="C11" i="99" s="1"/>
  <c r="AJ9" i="99"/>
  <c r="AJ10" i="99" s="1"/>
  <c r="AI9" i="99"/>
  <c r="AI10" i="99" s="1"/>
  <c r="AH9" i="99"/>
  <c r="AH10" i="99" s="1"/>
  <c r="AG9" i="99"/>
  <c r="AG10" i="99" s="1"/>
  <c r="AF9" i="99"/>
  <c r="AF10" i="99" s="1"/>
  <c r="AE9" i="99"/>
  <c r="AE10" i="99" s="1"/>
  <c r="AD9" i="99"/>
  <c r="AD10" i="99" s="1"/>
  <c r="AC9" i="99"/>
  <c r="AC10" i="99" s="1"/>
  <c r="AB9" i="99"/>
  <c r="AA9" i="99"/>
  <c r="AA10" i="99" s="1"/>
  <c r="Z9" i="99"/>
  <c r="Z10" i="99" s="1"/>
  <c r="M9" i="99"/>
  <c r="C9" i="99"/>
  <c r="C7" i="99"/>
  <c r="G3" i="99"/>
  <c r="J26" i="99" s="1"/>
  <c r="I2" i="99"/>
  <c r="M12" i="99" s="1"/>
  <c r="G2" i="99"/>
  <c r="F50" i="99" s="1"/>
  <c r="F38" i="98"/>
  <c r="E37" i="98"/>
  <c r="F36" i="98"/>
  <c r="F35" i="98"/>
  <c r="F21" i="98"/>
  <c r="F40" i="98" s="1"/>
  <c r="F20" i="98"/>
  <c r="F39" i="98" s="1"/>
  <c r="C19" i="98"/>
  <c r="E10" i="98"/>
  <c r="E9" i="98"/>
  <c r="F7" i="98"/>
  <c r="L7" i="1"/>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44" i="97"/>
  <c r="B145" i="97"/>
  <c r="B146" i="97"/>
  <c r="B147" i="97"/>
  <c r="B148" i="97"/>
  <c r="B149" i="97"/>
  <c r="B150" i="97"/>
  <c r="B151" i="97"/>
  <c r="B152" i="97"/>
  <c r="B153" i="97"/>
  <c r="B154" i="97"/>
  <c r="B155" i="97"/>
  <c r="B156" i="97"/>
  <c r="B157" i="97"/>
  <c r="B158" i="97"/>
  <c r="B159" i="97"/>
  <c r="B160" i="97"/>
  <c r="B161" i="97"/>
  <c r="B162" i="97"/>
  <c r="B163" i="97"/>
  <c r="B164" i="97"/>
  <c r="B165" i="97"/>
  <c r="B166" i="97"/>
  <c r="B167" i="97"/>
  <c r="B168" i="97"/>
  <c r="B169" i="97"/>
  <c r="B170" i="97"/>
  <c r="B171" i="97"/>
  <c r="B172" i="97"/>
  <c r="B173" i="97"/>
  <c r="B174" i="97"/>
  <c r="B175" i="97"/>
  <c r="B176" i="97"/>
  <c r="B177" i="97"/>
  <c r="B178" i="97"/>
  <c r="B179" i="97"/>
  <c r="B180" i="97"/>
  <c r="B181" i="97"/>
  <c r="B182" i="97"/>
  <c r="B183" i="97"/>
  <c r="B184" i="97"/>
  <c r="B185" i="97"/>
  <c r="B186" i="97"/>
  <c r="B187" i="97"/>
  <c r="B188" i="97"/>
  <c r="B189" i="97"/>
  <c r="B190" i="97"/>
  <c r="B191" i="97"/>
  <c r="B192" i="97"/>
  <c r="B193" i="97"/>
  <c r="B194" i="97"/>
  <c r="B195" i="97"/>
  <c r="B196" i="97"/>
  <c r="B197" i="97"/>
  <c r="B198" i="97"/>
  <c r="B199" i="97"/>
  <c r="B200" i="97"/>
  <c r="B201" i="97"/>
  <c r="B202" i="97"/>
  <c r="B203" i="97"/>
  <c r="B204" i="97"/>
  <c r="B205" i="97"/>
  <c r="B206" i="97"/>
  <c r="B207" i="97"/>
  <c r="B208" i="97"/>
  <c r="B209" i="97"/>
  <c r="B210" i="97"/>
  <c r="B211" i="97"/>
  <c r="B212" i="97"/>
  <c r="B213" i="97"/>
  <c r="B214" i="97"/>
  <c r="B215" i="97"/>
  <c r="B216" i="97"/>
  <c r="B217" i="97"/>
  <c r="B218" i="97"/>
  <c r="B219" i="97"/>
  <c r="B220" i="97"/>
  <c r="B221" i="97"/>
  <c r="B222" i="97"/>
  <c r="B223" i="97"/>
  <c r="B224" i="97"/>
  <c r="B225" i="97"/>
  <c r="B226" i="97"/>
  <c r="B227" i="97"/>
  <c r="B228" i="97"/>
  <c r="B229" i="97"/>
  <c r="B230" i="97"/>
  <c r="B231" i="97"/>
  <c r="B232" i="97"/>
  <c r="B233" i="97"/>
  <c r="B234" i="97"/>
  <c r="B235" i="97"/>
  <c r="B236" i="97"/>
  <c r="B237" i="97"/>
  <c r="B238" i="97"/>
  <c r="B239" i="97"/>
  <c r="B240" i="97"/>
  <c r="B241" i="97"/>
  <c r="B242" i="97"/>
  <c r="B243" i="97"/>
  <c r="B244" i="97"/>
  <c r="B245" i="97"/>
  <c r="B246" i="97"/>
  <c r="B247" i="97"/>
  <c r="B248" i="97"/>
  <c r="B249" i="97"/>
  <c r="B250" i="97"/>
  <c r="B251" i="97"/>
  <c r="B252" i="97"/>
  <c r="B253" i="97"/>
  <c r="B254" i="97"/>
  <c r="B255" i="97"/>
  <c r="B256" i="97"/>
  <c r="B257" i="97"/>
  <c r="B258" i="97"/>
  <c r="B259" i="97"/>
  <c r="B260" i="97"/>
  <c r="B261" i="97"/>
  <c r="B262" i="97"/>
  <c r="B263" i="97"/>
  <c r="B264" i="97"/>
  <c r="B265" i="97"/>
  <c r="B266" i="97"/>
  <c r="B267" i="97"/>
  <c r="B268" i="97"/>
  <c r="B269" i="97"/>
  <c r="B270" i="97"/>
  <c r="B271" i="97"/>
  <c r="B272" i="97"/>
  <c r="B273" i="97"/>
  <c r="B274" i="97"/>
  <c r="B275" i="97"/>
  <c r="B276" i="97"/>
  <c r="B277" i="97"/>
  <c r="B278" i="97"/>
  <c r="B279" i="97"/>
  <c r="B280" i="97"/>
  <c r="B281" i="97"/>
  <c r="B282" i="97"/>
  <c r="B283" i="97"/>
  <c r="B284" i="97"/>
  <c r="B285" i="97"/>
  <c r="B286" i="97"/>
  <c r="B287" i="97"/>
  <c r="B288" i="97"/>
  <c r="B289" i="97"/>
  <c r="B290" i="97"/>
  <c r="B291" i="97"/>
  <c r="B292" i="97"/>
  <c r="B293" i="97"/>
  <c r="B294" i="97"/>
  <c r="B295" i="97"/>
  <c r="B296" i="97"/>
  <c r="B297" i="97"/>
  <c r="B298" i="97"/>
  <c r="B299" i="97"/>
  <c r="B300" i="97"/>
  <c r="B301" i="97"/>
  <c r="B302" i="97"/>
  <c r="B303" i="97"/>
  <c r="B304" i="97"/>
  <c r="B305" i="97"/>
  <c r="B306" i="97"/>
  <c r="B307" i="97"/>
  <c r="B308" i="97"/>
  <c r="B309" i="97"/>
  <c r="B310" i="97"/>
  <c r="B311" i="97"/>
  <c r="B312" i="97"/>
  <c r="B313" i="97"/>
  <c r="B314" i="97"/>
  <c r="B315" i="97"/>
  <c r="B316" i="97"/>
  <c r="B317" i="97"/>
  <c r="B318" i="97"/>
  <c r="B319" i="97"/>
  <c r="B320" i="97"/>
  <c r="B321" i="97"/>
  <c r="B322" i="97"/>
  <c r="B323" i="97"/>
  <c r="B324" i="97"/>
  <c r="B325" i="97"/>
  <c r="B326" i="97"/>
  <c r="B327" i="97"/>
  <c r="B328" i="97"/>
  <c r="B329" i="97"/>
  <c r="B330" i="97"/>
  <c r="B331" i="97"/>
  <c r="B332" i="97"/>
  <c r="B333" i="97"/>
  <c r="B334" i="97"/>
  <c r="B335" i="97"/>
  <c r="B336" i="97"/>
  <c r="B337" i="97"/>
  <c r="B338" i="97"/>
  <c r="B339" i="97"/>
  <c r="B340" i="97"/>
  <c r="B341" i="97"/>
  <c r="B342" i="97"/>
  <c r="B343" i="97"/>
  <c r="B344" i="97"/>
  <c r="B345" i="97"/>
  <c r="B346" i="97"/>
  <c r="B347" i="97"/>
  <c r="B348" i="97"/>
  <c r="B349" i="97"/>
  <c r="B350" i="97"/>
  <c r="B351" i="97"/>
  <c r="B352" i="97"/>
  <c r="B353" i="97"/>
  <c r="B354" i="97"/>
  <c r="B355" i="97"/>
  <c r="B356" i="97"/>
  <c r="B357" i="97"/>
  <c r="B358" i="97"/>
  <c r="B359" i="97"/>
  <c r="B360" i="97"/>
  <c r="B361" i="97"/>
  <c r="B362" i="97"/>
  <c r="B363" i="97"/>
  <c r="B364" i="97"/>
  <c r="B365" i="97"/>
  <c r="B366" i="97"/>
  <c r="B367" i="97"/>
  <c r="B368" i="97"/>
  <c r="B369" i="97"/>
  <c r="B370" i="97"/>
  <c r="B371" i="97"/>
  <c r="B372" i="97"/>
  <c r="B373" i="97"/>
  <c r="B374" i="97"/>
  <c r="B375" i="97"/>
  <c r="B376" i="97"/>
  <c r="B377" i="97"/>
  <c r="B378" i="97"/>
  <c r="B379" i="97"/>
  <c r="B380" i="97"/>
  <c r="B381" i="97"/>
  <c r="B382" i="97"/>
  <c r="B383" i="97"/>
  <c r="B384" i="97"/>
  <c r="B385" i="97"/>
  <c r="B386" i="97"/>
  <c r="B387" i="97"/>
  <c r="B388" i="97"/>
  <c r="B389" i="97"/>
  <c r="B390" i="97"/>
  <c r="B391" i="97"/>
  <c r="B392" i="97"/>
  <c r="B393" i="97"/>
  <c r="B394" i="97"/>
  <c r="B395" i="97"/>
  <c r="B396" i="97"/>
  <c r="B397" i="97"/>
  <c r="B398" i="97"/>
  <c r="B399" i="97"/>
  <c r="B400" i="97"/>
  <c r="B401" i="97"/>
  <c r="B402" i="97"/>
  <c r="B403" i="97"/>
  <c r="B404" i="97"/>
  <c r="B405" i="97"/>
  <c r="B406" i="97"/>
  <c r="B407" i="97"/>
  <c r="B408" i="97"/>
  <c r="B409" i="97"/>
  <c r="B410" i="97"/>
  <c r="B411" i="97"/>
  <c r="B412" i="97"/>
  <c r="B413" i="97"/>
  <c r="B414" i="97"/>
  <c r="B415" i="97"/>
  <c r="B416" i="97"/>
  <c r="B417" i="97"/>
  <c r="B418" i="97"/>
  <c r="B419" i="97"/>
  <c r="B420" i="97"/>
  <c r="B421" i="97"/>
  <c r="B422" i="97"/>
  <c r="B423" i="97"/>
  <c r="B424" i="97"/>
  <c r="B425" i="97"/>
  <c r="B426" i="97"/>
  <c r="B427" i="97"/>
  <c r="B428" i="97"/>
  <c r="B429" i="97"/>
  <c r="B430" i="97"/>
  <c r="B431" i="97"/>
  <c r="B432" i="97"/>
  <c r="B433" i="97"/>
  <c r="B434" i="97"/>
  <c r="B435" i="97"/>
  <c r="B436" i="97"/>
  <c r="B437" i="97"/>
  <c r="B438" i="97"/>
  <c r="B439" i="97"/>
  <c r="B440" i="97"/>
  <c r="B441" i="97"/>
  <c r="B442" i="97"/>
  <c r="B443" i="97"/>
  <c r="B444" i="97"/>
  <c r="B445" i="97"/>
  <c r="B446" i="97"/>
  <c r="B447" i="97"/>
  <c r="B448" i="97"/>
  <c r="B449" i="97"/>
  <c r="B450" i="97"/>
  <c r="B451" i="97"/>
  <c r="B452" i="97"/>
  <c r="B453" i="97"/>
  <c r="B454" i="97"/>
  <c r="B455" i="97"/>
  <c r="B456" i="97"/>
  <c r="B457" i="97"/>
  <c r="B458" i="97"/>
  <c r="B459" i="97"/>
  <c r="B460" i="97"/>
  <c r="B461" i="97"/>
  <c r="B462" i="97"/>
  <c r="B463" i="97"/>
  <c r="B464" i="97"/>
  <c r="B465" i="97"/>
  <c r="B466" i="97"/>
  <c r="B467" i="97"/>
  <c r="B468" i="97"/>
  <c r="B469" i="97"/>
  <c r="B470" i="97"/>
  <c r="B471" i="97"/>
  <c r="B472" i="97"/>
  <c r="B473" i="97"/>
  <c r="B474" i="97"/>
  <c r="B475" i="97"/>
  <c r="B476" i="97"/>
  <c r="B477" i="97"/>
  <c r="B478" i="97"/>
  <c r="B479" i="97"/>
  <c r="B480" i="97"/>
  <c r="B481" i="97"/>
  <c r="B482" i="97"/>
  <c r="B483" i="97"/>
  <c r="B484" i="97"/>
  <c r="B485" i="97"/>
  <c r="B486" i="97"/>
  <c r="B487" i="97"/>
  <c r="B488" i="97"/>
  <c r="B489" i="97"/>
  <c r="B490" i="97"/>
  <c r="B491" i="97"/>
  <c r="B492" i="97"/>
  <c r="B493" i="97"/>
  <c r="B494" i="97"/>
  <c r="B495" i="97"/>
  <c r="B496" i="97"/>
  <c r="B497" i="97"/>
  <c r="B498" i="97"/>
  <c r="B499" i="97"/>
  <c r="B500" i="97"/>
  <c r="B501" i="97"/>
  <c r="B502" i="97"/>
  <c r="B503" i="97"/>
  <c r="B504" i="97"/>
  <c r="B505" i="97"/>
  <c r="B506" i="97"/>
  <c r="B507" i="97"/>
  <c r="B508" i="97"/>
  <c r="B509" i="97"/>
  <c r="B510" i="97"/>
  <c r="B511" i="97"/>
  <c r="B512" i="97"/>
  <c r="B513" i="97"/>
  <c r="B514" i="97"/>
  <c r="B515" i="97"/>
  <c r="B516" i="97"/>
  <c r="B517" i="97"/>
  <c r="B518" i="97"/>
  <c r="B519" i="97"/>
  <c r="B520" i="97"/>
  <c r="B521" i="97"/>
  <c r="B522" i="97"/>
  <c r="B523" i="97"/>
  <c r="B524" i="97"/>
  <c r="B525" i="97"/>
  <c r="B526" i="97"/>
  <c r="B527" i="97"/>
  <c r="B528" i="97"/>
  <c r="B529" i="97"/>
  <c r="B530" i="97"/>
  <c r="B531" i="97"/>
  <c r="B532" i="97"/>
  <c r="B533" i="97"/>
  <c r="B534" i="97"/>
  <c r="B535" i="97"/>
  <c r="B536" i="97"/>
  <c r="B537" i="97"/>
  <c r="B538" i="97"/>
  <c r="B539" i="97"/>
  <c r="B540" i="97"/>
  <c r="B541" i="97"/>
  <c r="B542" i="97"/>
  <c r="B543" i="97"/>
  <c r="B544" i="97"/>
  <c r="B545" i="97"/>
  <c r="B546" i="97"/>
  <c r="B547" i="97"/>
  <c r="B548" i="97"/>
  <c r="B549" i="97"/>
  <c r="B550" i="97"/>
  <c r="B551" i="97"/>
  <c r="B552" i="97"/>
  <c r="B553" i="97"/>
  <c r="B554" i="97"/>
  <c r="B555" i="97"/>
  <c r="B556" i="97"/>
  <c r="B557" i="97"/>
  <c r="B558" i="97"/>
  <c r="B559" i="97"/>
  <c r="B560" i="97"/>
  <c r="B561" i="97"/>
  <c r="B562" i="97"/>
  <c r="B563" i="97"/>
  <c r="B564" i="97"/>
  <c r="B565" i="97"/>
  <c r="B566" i="97"/>
  <c r="B567" i="97"/>
  <c r="B568" i="97"/>
  <c r="B569" i="97"/>
  <c r="B570" i="97"/>
  <c r="B571" i="97"/>
  <c r="B572" i="97"/>
  <c r="B573" i="97"/>
  <c r="B574" i="97"/>
  <c r="B575" i="97"/>
  <c r="B576" i="97"/>
  <c r="B577" i="97"/>
  <c r="B578" i="97"/>
  <c r="B579" i="97"/>
  <c r="B580" i="97"/>
  <c r="B581" i="97"/>
  <c r="B582" i="97"/>
  <c r="B583" i="97"/>
  <c r="B584" i="97"/>
  <c r="B585" i="97"/>
  <c r="B586" i="97"/>
  <c r="B587" i="97"/>
  <c r="B588" i="97"/>
  <c r="B589" i="97"/>
  <c r="B590" i="97"/>
  <c r="B591" i="97"/>
  <c r="B592" i="97"/>
  <c r="B593" i="97"/>
  <c r="B594" i="97"/>
  <c r="B595" i="97"/>
  <c r="B596" i="97"/>
  <c r="B597" i="97"/>
  <c r="B598" i="97"/>
  <c r="B599" i="97"/>
  <c r="B600" i="97"/>
  <c r="B601" i="97"/>
  <c r="B602" i="97"/>
  <c r="B603" i="97"/>
  <c r="B604" i="97"/>
  <c r="B605" i="97"/>
  <c r="B606" i="97"/>
  <c r="B607" i="97"/>
  <c r="B608" i="97"/>
  <c r="B609" i="97"/>
  <c r="B610" i="97"/>
  <c r="B611" i="97"/>
  <c r="B612" i="97"/>
  <c r="B613" i="97"/>
  <c r="B614" i="97"/>
  <c r="B615" i="97"/>
  <c r="B616" i="97"/>
  <c r="B617" i="97"/>
  <c r="B618" i="97"/>
  <c r="B619" i="97"/>
  <c r="B620" i="97"/>
  <c r="B621" i="97"/>
  <c r="B622" i="97"/>
  <c r="B623" i="97"/>
  <c r="B624" i="97"/>
  <c r="B625" i="97"/>
  <c r="B626" i="97"/>
  <c r="B627" i="97"/>
  <c r="B628" i="97"/>
  <c r="B629" i="97"/>
  <c r="B630" i="97"/>
  <c r="B631" i="97"/>
  <c r="B632" i="97"/>
  <c r="B633" i="97"/>
  <c r="B634" i="97"/>
  <c r="B635" i="97"/>
  <c r="B636" i="97"/>
  <c r="B637" i="97"/>
  <c r="B638" i="97"/>
  <c r="B639" i="97"/>
  <c r="B640" i="97"/>
  <c r="B641" i="97"/>
  <c r="B642" i="97"/>
  <c r="B643" i="97"/>
  <c r="B644" i="97"/>
  <c r="B645" i="97"/>
  <c r="B646" i="97"/>
  <c r="B647" i="97"/>
  <c r="B648" i="97"/>
  <c r="B649" i="97"/>
  <c r="B650" i="97"/>
  <c r="B651" i="97"/>
  <c r="B652" i="97"/>
  <c r="B653" i="97"/>
  <c r="B654" i="97"/>
  <c r="B655" i="97"/>
  <c r="B656" i="97"/>
  <c r="B657" i="97"/>
  <c r="B658" i="97"/>
  <c r="B659" i="97"/>
  <c r="B660" i="97"/>
  <c r="B661" i="97"/>
  <c r="B662" i="97"/>
  <c r="B663" i="97"/>
  <c r="B664" i="97"/>
  <c r="B665" i="97"/>
  <c r="B666" i="97"/>
  <c r="B667" i="97"/>
  <c r="B668" i="97"/>
  <c r="B669" i="97"/>
  <c r="B670" i="97"/>
  <c r="B671" i="97"/>
  <c r="B672" i="97"/>
  <c r="B673" i="97"/>
  <c r="B674" i="97"/>
  <c r="B675" i="97"/>
  <c r="B676" i="97"/>
  <c r="B677" i="97"/>
  <c r="B678" i="97"/>
  <c r="B679" i="97"/>
  <c r="B680" i="97"/>
  <c r="B681" i="97"/>
  <c r="B682" i="97"/>
  <c r="B683" i="97"/>
  <c r="B684" i="97"/>
  <c r="B685" i="97"/>
  <c r="B686" i="97"/>
  <c r="B687" i="97"/>
  <c r="B688" i="97"/>
  <c r="B689" i="97"/>
  <c r="B690" i="97"/>
  <c r="B691" i="97"/>
  <c r="B692" i="97"/>
  <c r="B693" i="97"/>
  <c r="B694" i="97"/>
  <c r="B695" i="97"/>
  <c r="B696" i="97"/>
  <c r="B697" i="97"/>
  <c r="B698" i="97"/>
  <c r="B699" i="97"/>
  <c r="B700" i="97"/>
  <c r="B701" i="97"/>
  <c r="B702" i="97"/>
  <c r="B703" i="97"/>
  <c r="B704" i="97"/>
  <c r="B705" i="97"/>
  <c r="B706" i="97"/>
  <c r="B707" i="97"/>
  <c r="B708" i="97"/>
  <c r="B709" i="97"/>
  <c r="B710" i="97"/>
  <c r="B711" i="97"/>
  <c r="B712" i="97"/>
  <c r="B713" i="97"/>
  <c r="B714" i="97"/>
  <c r="B715" i="97"/>
  <c r="B716" i="97"/>
  <c r="B717" i="97"/>
  <c r="B718" i="97"/>
  <c r="B719" i="97"/>
  <c r="B720" i="97"/>
  <c r="B721" i="97"/>
  <c r="B722" i="97"/>
  <c r="B723" i="97"/>
  <c r="B724" i="97"/>
  <c r="B725" i="97"/>
  <c r="B726" i="97"/>
  <c r="B727" i="97"/>
  <c r="B728" i="97"/>
  <c r="B729" i="97"/>
  <c r="B730" i="97"/>
  <c r="B731" i="97"/>
  <c r="B732" i="97"/>
  <c r="B733" i="97"/>
  <c r="B734" i="97"/>
  <c r="B735" i="97"/>
  <c r="B736" i="97"/>
  <c r="B737" i="97"/>
  <c r="B738" i="97"/>
  <c r="B739" i="97"/>
  <c r="B740" i="97"/>
  <c r="B741" i="97"/>
  <c r="B742" i="97"/>
  <c r="B743" i="97"/>
  <c r="B744" i="97"/>
  <c r="B745" i="97"/>
  <c r="B746" i="97"/>
  <c r="B747" i="97"/>
  <c r="B748" i="97"/>
  <c r="B749" i="97"/>
  <c r="B750" i="97"/>
  <c r="B751" i="97"/>
  <c r="B752" i="97"/>
  <c r="B753" i="97"/>
  <c r="B754" i="97"/>
  <c r="B755" i="97"/>
  <c r="B756" i="97"/>
  <c r="B757" i="97"/>
  <c r="B758" i="97"/>
  <c r="B759" i="97"/>
  <c r="B760" i="97"/>
  <c r="B761" i="97"/>
  <c r="B762" i="97"/>
  <c r="B763" i="97"/>
  <c r="B764" i="97"/>
  <c r="B765" i="97"/>
  <c r="B766" i="97"/>
  <c r="B767" i="97"/>
  <c r="B768" i="97"/>
  <c r="B769" i="97"/>
  <c r="B770" i="97"/>
  <c r="B771" i="97"/>
  <c r="B772" i="97"/>
  <c r="B24" i="97"/>
  <c r="E527" i="97"/>
  <c r="G527" i="97"/>
  <c r="I527" i="97"/>
  <c r="K527" i="97"/>
  <c r="M527" i="97"/>
  <c r="O527" i="97"/>
  <c r="Q527" i="97"/>
  <c r="E528" i="97"/>
  <c r="G528" i="97"/>
  <c r="I528" i="97"/>
  <c r="K528" i="97"/>
  <c r="M528" i="97"/>
  <c r="O528" i="97"/>
  <c r="Q528" i="97"/>
  <c r="E529" i="97"/>
  <c r="G529" i="97"/>
  <c r="I529" i="97"/>
  <c r="K529" i="97"/>
  <c r="M529" i="97"/>
  <c r="O529" i="97"/>
  <c r="Q529" i="97"/>
  <c r="E530" i="97"/>
  <c r="G530" i="97"/>
  <c r="I530" i="97"/>
  <c r="K530" i="97"/>
  <c r="M530" i="97"/>
  <c r="O530" i="97"/>
  <c r="Q530" i="97"/>
  <c r="E531" i="97"/>
  <c r="G531" i="97"/>
  <c r="I531" i="97"/>
  <c r="K531" i="97"/>
  <c r="M531" i="97"/>
  <c r="O531" i="97"/>
  <c r="Q531" i="97"/>
  <c r="E532" i="97"/>
  <c r="G532" i="97"/>
  <c r="I532" i="97"/>
  <c r="K532" i="97"/>
  <c r="M532" i="97"/>
  <c r="O532" i="97"/>
  <c r="Q532" i="97"/>
  <c r="E533" i="97"/>
  <c r="G533" i="97"/>
  <c r="I533" i="97"/>
  <c r="K533" i="97"/>
  <c r="M533" i="97"/>
  <c r="O533" i="97"/>
  <c r="Q533" i="97"/>
  <c r="E534" i="97"/>
  <c r="G534" i="97"/>
  <c r="I534" i="97"/>
  <c r="K534" i="97"/>
  <c r="M534" i="97"/>
  <c r="O534" i="97"/>
  <c r="Q534" i="97"/>
  <c r="E535" i="97"/>
  <c r="G535" i="97"/>
  <c r="I535" i="97"/>
  <c r="K535" i="97"/>
  <c r="M535" i="97"/>
  <c r="O535" i="97"/>
  <c r="Q535" i="97"/>
  <c r="E536" i="97"/>
  <c r="G536" i="97"/>
  <c r="I536" i="97"/>
  <c r="K536" i="97"/>
  <c r="M536" i="97"/>
  <c r="O536" i="97"/>
  <c r="Q536" i="97"/>
  <c r="E537" i="97"/>
  <c r="G537" i="97"/>
  <c r="I537" i="97"/>
  <c r="K537" i="97"/>
  <c r="M537" i="97"/>
  <c r="O537" i="97"/>
  <c r="Q537" i="97"/>
  <c r="E538" i="97"/>
  <c r="G538" i="97"/>
  <c r="I538" i="97"/>
  <c r="K538" i="97"/>
  <c r="M538" i="97"/>
  <c r="O538" i="97"/>
  <c r="Q538" i="97"/>
  <c r="E539" i="97"/>
  <c r="G539" i="97"/>
  <c r="I539" i="97"/>
  <c r="K539" i="97"/>
  <c r="M539" i="97"/>
  <c r="O539" i="97"/>
  <c r="Q539" i="97"/>
  <c r="E540" i="97"/>
  <c r="G540" i="97"/>
  <c r="I540" i="97"/>
  <c r="K540" i="97"/>
  <c r="M540" i="97"/>
  <c r="O540" i="97"/>
  <c r="Q540" i="97"/>
  <c r="E541" i="97"/>
  <c r="G541" i="97"/>
  <c r="I541" i="97"/>
  <c r="K541" i="97"/>
  <c r="M541" i="97"/>
  <c r="O541" i="97"/>
  <c r="Q541" i="97"/>
  <c r="E542" i="97"/>
  <c r="G542" i="97"/>
  <c r="I542" i="97"/>
  <c r="K542" i="97"/>
  <c r="M542" i="97"/>
  <c r="O542" i="97"/>
  <c r="Q542" i="97"/>
  <c r="E543" i="97"/>
  <c r="G543" i="97"/>
  <c r="I543" i="97"/>
  <c r="K543" i="97"/>
  <c r="M543" i="97"/>
  <c r="O543" i="97"/>
  <c r="Q543" i="97"/>
  <c r="E544" i="97"/>
  <c r="G544" i="97"/>
  <c r="I544" i="97"/>
  <c r="K544" i="97"/>
  <c r="M544" i="97"/>
  <c r="O544" i="97"/>
  <c r="Q544" i="97"/>
  <c r="E545" i="97"/>
  <c r="G545" i="97"/>
  <c r="I545" i="97"/>
  <c r="K545" i="97"/>
  <c r="M545" i="97"/>
  <c r="O545" i="97"/>
  <c r="Q545" i="97"/>
  <c r="E546" i="97"/>
  <c r="G546" i="97"/>
  <c r="I546" i="97"/>
  <c r="K546" i="97"/>
  <c r="M546" i="97"/>
  <c r="O546" i="97"/>
  <c r="Q546" i="97"/>
  <c r="E547" i="97"/>
  <c r="G547" i="97"/>
  <c r="I547" i="97"/>
  <c r="K547" i="97"/>
  <c r="M547" i="97"/>
  <c r="O547" i="97"/>
  <c r="Q547" i="97"/>
  <c r="E548" i="97"/>
  <c r="G548" i="97"/>
  <c r="I548" i="97"/>
  <c r="K548" i="97"/>
  <c r="M548" i="97"/>
  <c r="O548" i="97"/>
  <c r="Q548" i="97"/>
  <c r="E549" i="97"/>
  <c r="G549" i="97"/>
  <c r="I549" i="97"/>
  <c r="K549" i="97"/>
  <c r="M549" i="97"/>
  <c r="O549" i="97"/>
  <c r="Q549" i="97"/>
  <c r="E550" i="97"/>
  <c r="G550" i="97"/>
  <c r="I550" i="97"/>
  <c r="K550" i="97"/>
  <c r="M550" i="97"/>
  <c r="O550" i="97"/>
  <c r="Q550" i="97"/>
  <c r="E551" i="97"/>
  <c r="G551" i="97"/>
  <c r="I551" i="97"/>
  <c r="K551" i="97"/>
  <c r="M551" i="97"/>
  <c r="O551" i="97"/>
  <c r="Q551" i="97"/>
  <c r="E552" i="97"/>
  <c r="G552" i="97"/>
  <c r="I552" i="97"/>
  <c r="K552" i="97"/>
  <c r="M552" i="97"/>
  <c r="O552" i="97"/>
  <c r="Q552" i="97"/>
  <c r="E553" i="97"/>
  <c r="G553" i="97"/>
  <c r="I553" i="97"/>
  <c r="K553" i="97"/>
  <c r="M553" i="97"/>
  <c r="O553" i="97"/>
  <c r="Q553" i="97"/>
  <c r="E554" i="97"/>
  <c r="G554" i="97"/>
  <c r="I554" i="97"/>
  <c r="K554" i="97"/>
  <c r="M554" i="97"/>
  <c r="O554" i="97"/>
  <c r="Q554" i="97"/>
  <c r="E555" i="97"/>
  <c r="G555" i="97"/>
  <c r="I555" i="97"/>
  <c r="K555" i="97"/>
  <c r="M555" i="97"/>
  <c r="O555" i="97"/>
  <c r="Q555" i="97"/>
  <c r="E556" i="97"/>
  <c r="G556" i="97"/>
  <c r="I556" i="97"/>
  <c r="K556" i="97"/>
  <c r="M556" i="97"/>
  <c r="O556" i="97"/>
  <c r="Q556" i="97"/>
  <c r="E557" i="97"/>
  <c r="G557" i="97"/>
  <c r="I557" i="97"/>
  <c r="K557" i="97"/>
  <c r="M557" i="97"/>
  <c r="O557" i="97"/>
  <c r="Q557" i="97"/>
  <c r="E558" i="97"/>
  <c r="G558" i="97"/>
  <c r="I558" i="97"/>
  <c r="K558" i="97"/>
  <c r="M558" i="97"/>
  <c r="O558" i="97"/>
  <c r="Q558" i="97"/>
  <c r="E559" i="97"/>
  <c r="G559" i="97"/>
  <c r="I559" i="97"/>
  <c r="K559" i="97"/>
  <c r="M559" i="97"/>
  <c r="O559" i="97"/>
  <c r="Q559" i="97"/>
  <c r="E560" i="97"/>
  <c r="G560" i="97"/>
  <c r="I560" i="97"/>
  <c r="K560" i="97"/>
  <c r="M560" i="97"/>
  <c r="O560" i="97"/>
  <c r="Q560" i="97"/>
  <c r="E561" i="97"/>
  <c r="G561" i="97"/>
  <c r="I561" i="97"/>
  <c r="K561" i="97"/>
  <c r="M561" i="97"/>
  <c r="O561" i="97"/>
  <c r="Q561" i="97"/>
  <c r="E562" i="97"/>
  <c r="G562" i="97"/>
  <c r="I562" i="97"/>
  <c r="K562" i="97"/>
  <c r="M562" i="97"/>
  <c r="O562" i="97"/>
  <c r="Q562" i="97"/>
  <c r="E563" i="97"/>
  <c r="G563" i="97"/>
  <c r="I563" i="97"/>
  <c r="K563" i="97"/>
  <c r="M563" i="97"/>
  <c r="O563" i="97"/>
  <c r="Q563" i="97"/>
  <c r="E564" i="97"/>
  <c r="G564" i="97"/>
  <c r="I564" i="97"/>
  <c r="K564" i="97"/>
  <c r="M564" i="97"/>
  <c r="O564" i="97"/>
  <c r="Q564" i="97"/>
  <c r="E565" i="97"/>
  <c r="G565" i="97"/>
  <c r="I565" i="97"/>
  <c r="K565" i="97"/>
  <c r="M565" i="97"/>
  <c r="O565" i="97"/>
  <c r="Q565" i="97"/>
  <c r="E566" i="97"/>
  <c r="G566" i="97"/>
  <c r="I566" i="97"/>
  <c r="K566" i="97"/>
  <c r="M566" i="97"/>
  <c r="O566" i="97"/>
  <c r="Q566" i="97"/>
  <c r="E567" i="97"/>
  <c r="G567" i="97"/>
  <c r="I567" i="97"/>
  <c r="K567" i="97"/>
  <c r="M567" i="97"/>
  <c r="O567" i="97"/>
  <c r="Q567" i="97"/>
  <c r="E568" i="97"/>
  <c r="G568" i="97"/>
  <c r="I568" i="97"/>
  <c r="K568" i="97"/>
  <c r="M568" i="97"/>
  <c r="O568" i="97"/>
  <c r="Q568" i="97"/>
  <c r="E569" i="97"/>
  <c r="G569" i="97"/>
  <c r="I569" i="97"/>
  <c r="K569" i="97"/>
  <c r="M569" i="97"/>
  <c r="O569" i="97"/>
  <c r="Q569" i="97"/>
  <c r="E570" i="97"/>
  <c r="G570" i="97"/>
  <c r="I570" i="97"/>
  <c r="K570" i="97"/>
  <c r="M570" i="97"/>
  <c r="O570" i="97"/>
  <c r="Q570" i="97"/>
  <c r="E571" i="97"/>
  <c r="G571" i="97"/>
  <c r="I571" i="97"/>
  <c r="K571" i="97"/>
  <c r="M571" i="97"/>
  <c r="O571" i="97"/>
  <c r="Q571" i="97"/>
  <c r="E572" i="97"/>
  <c r="G572" i="97"/>
  <c r="I572" i="97"/>
  <c r="K572" i="97"/>
  <c r="M572" i="97"/>
  <c r="O572" i="97"/>
  <c r="Q572" i="97"/>
  <c r="E573" i="97"/>
  <c r="G573" i="97"/>
  <c r="I573" i="97"/>
  <c r="K573" i="97"/>
  <c r="M573" i="97"/>
  <c r="O573" i="97"/>
  <c r="Q573" i="97"/>
  <c r="E574" i="97"/>
  <c r="G574" i="97"/>
  <c r="I574" i="97"/>
  <c r="K574" i="97"/>
  <c r="M574" i="97"/>
  <c r="O574" i="97"/>
  <c r="Q574" i="97"/>
  <c r="E575" i="97"/>
  <c r="G575" i="97"/>
  <c r="I575" i="97"/>
  <c r="K575" i="97"/>
  <c r="M575" i="97"/>
  <c r="O575" i="97"/>
  <c r="Q575" i="97"/>
  <c r="E576" i="97"/>
  <c r="G576" i="97"/>
  <c r="I576" i="97"/>
  <c r="K576" i="97"/>
  <c r="M576" i="97"/>
  <c r="O576" i="97"/>
  <c r="Q576" i="97"/>
  <c r="E577" i="97"/>
  <c r="G577" i="97"/>
  <c r="I577" i="97"/>
  <c r="K577" i="97"/>
  <c r="M577" i="97"/>
  <c r="O577" i="97"/>
  <c r="Q577" i="97"/>
  <c r="E578" i="97"/>
  <c r="G578" i="97"/>
  <c r="I578" i="97"/>
  <c r="K578" i="97"/>
  <c r="M578" i="97"/>
  <c r="O578" i="97"/>
  <c r="Q578" i="97"/>
  <c r="E579" i="97"/>
  <c r="G579" i="97"/>
  <c r="I579" i="97"/>
  <c r="K579" i="97"/>
  <c r="M579" i="97"/>
  <c r="O579" i="97"/>
  <c r="Q579" i="97"/>
  <c r="E580" i="97"/>
  <c r="G580" i="97"/>
  <c r="I580" i="97"/>
  <c r="K580" i="97"/>
  <c r="M580" i="97"/>
  <c r="O580" i="97"/>
  <c r="Q580" i="97"/>
  <c r="E581" i="97"/>
  <c r="G581" i="97"/>
  <c r="I581" i="97"/>
  <c r="K581" i="97"/>
  <c r="M581" i="97"/>
  <c r="O581" i="97"/>
  <c r="Q581" i="97"/>
  <c r="E582" i="97"/>
  <c r="G582" i="97"/>
  <c r="I582" i="97"/>
  <c r="K582" i="97"/>
  <c r="M582" i="97"/>
  <c r="O582" i="97"/>
  <c r="Q582" i="97"/>
  <c r="E583" i="97"/>
  <c r="G583" i="97"/>
  <c r="I583" i="97"/>
  <c r="K583" i="97"/>
  <c r="M583" i="97"/>
  <c r="O583" i="97"/>
  <c r="Q583" i="97"/>
  <c r="E584" i="97"/>
  <c r="G584" i="97"/>
  <c r="I584" i="97"/>
  <c r="K584" i="97"/>
  <c r="M584" i="97"/>
  <c r="O584" i="97"/>
  <c r="Q584" i="97"/>
  <c r="E585" i="97"/>
  <c r="G585" i="97"/>
  <c r="I585" i="97"/>
  <c r="K585" i="97"/>
  <c r="M585" i="97"/>
  <c r="O585" i="97"/>
  <c r="Q585" i="97"/>
  <c r="E586" i="97"/>
  <c r="G586" i="97"/>
  <c r="I586" i="97"/>
  <c r="K586" i="97"/>
  <c r="M586" i="97"/>
  <c r="O586" i="97"/>
  <c r="Q586" i="97"/>
  <c r="E587" i="97"/>
  <c r="G587" i="97"/>
  <c r="I587" i="97"/>
  <c r="K587" i="97"/>
  <c r="M587" i="97"/>
  <c r="O587" i="97"/>
  <c r="Q587" i="97"/>
  <c r="E588" i="97"/>
  <c r="G588" i="97"/>
  <c r="I588" i="97"/>
  <c r="K588" i="97"/>
  <c r="M588" i="97"/>
  <c r="O588" i="97"/>
  <c r="Q588" i="97"/>
  <c r="E589" i="97"/>
  <c r="G589" i="97"/>
  <c r="I589" i="97"/>
  <c r="K589" i="97"/>
  <c r="M589" i="97"/>
  <c r="O589" i="97"/>
  <c r="Q589" i="97"/>
  <c r="E590" i="97"/>
  <c r="G590" i="97"/>
  <c r="I590" i="97"/>
  <c r="K590" i="97"/>
  <c r="M590" i="97"/>
  <c r="O590" i="97"/>
  <c r="Q590" i="97"/>
  <c r="E591" i="97"/>
  <c r="G591" i="97"/>
  <c r="I591" i="97"/>
  <c r="K591" i="97"/>
  <c r="M591" i="97"/>
  <c r="O591" i="97"/>
  <c r="Q591" i="97"/>
  <c r="E592" i="97"/>
  <c r="G592" i="97"/>
  <c r="I592" i="97"/>
  <c r="K592" i="97"/>
  <c r="M592" i="97"/>
  <c r="O592" i="97"/>
  <c r="Q592" i="97"/>
  <c r="E593" i="97"/>
  <c r="G593" i="97"/>
  <c r="I593" i="97"/>
  <c r="K593" i="97"/>
  <c r="M593" i="97"/>
  <c r="O593" i="97"/>
  <c r="Q593" i="97"/>
  <c r="E594" i="97"/>
  <c r="G594" i="97"/>
  <c r="I594" i="97"/>
  <c r="K594" i="97"/>
  <c r="M594" i="97"/>
  <c r="O594" i="97"/>
  <c r="Q594" i="97"/>
  <c r="E595" i="97"/>
  <c r="G595" i="97"/>
  <c r="I595" i="97"/>
  <c r="K595" i="97"/>
  <c r="M595" i="97"/>
  <c r="O595" i="97"/>
  <c r="Q595" i="97"/>
  <c r="E596" i="97"/>
  <c r="G596" i="97"/>
  <c r="I596" i="97"/>
  <c r="K596" i="97"/>
  <c r="M596" i="97"/>
  <c r="O596" i="97"/>
  <c r="Q596" i="97"/>
  <c r="E597" i="97"/>
  <c r="G597" i="97"/>
  <c r="I597" i="97"/>
  <c r="K597" i="97"/>
  <c r="M597" i="97"/>
  <c r="O597" i="97"/>
  <c r="Q597" i="97"/>
  <c r="E598" i="97"/>
  <c r="G598" i="97"/>
  <c r="I598" i="97"/>
  <c r="K598" i="97"/>
  <c r="M598" i="97"/>
  <c r="O598" i="97"/>
  <c r="Q598" i="97"/>
  <c r="E599" i="97"/>
  <c r="G599" i="97"/>
  <c r="I599" i="97"/>
  <c r="K599" i="97"/>
  <c r="M599" i="97"/>
  <c r="O599" i="97"/>
  <c r="Q599" i="97"/>
  <c r="E600" i="97"/>
  <c r="G600" i="97"/>
  <c r="I600" i="97"/>
  <c r="K600" i="97"/>
  <c r="M600" i="97"/>
  <c r="O600" i="97"/>
  <c r="Q600" i="97"/>
  <c r="E601" i="97"/>
  <c r="G601" i="97"/>
  <c r="I601" i="97"/>
  <c r="K601" i="97"/>
  <c r="M601" i="97"/>
  <c r="O601" i="97"/>
  <c r="Q601" i="97"/>
  <c r="E602" i="97"/>
  <c r="G602" i="97"/>
  <c r="I602" i="97"/>
  <c r="K602" i="97"/>
  <c r="M602" i="97"/>
  <c r="O602" i="97"/>
  <c r="Q602" i="97"/>
  <c r="E603" i="97"/>
  <c r="G603" i="97"/>
  <c r="I603" i="97"/>
  <c r="K603" i="97"/>
  <c r="M603" i="97"/>
  <c r="O603" i="97"/>
  <c r="Q603" i="97"/>
  <c r="E604" i="97"/>
  <c r="G604" i="97"/>
  <c r="I604" i="97"/>
  <c r="K604" i="97"/>
  <c r="M604" i="97"/>
  <c r="O604" i="97"/>
  <c r="Q604" i="97"/>
  <c r="E605" i="97"/>
  <c r="G605" i="97"/>
  <c r="I605" i="97"/>
  <c r="K605" i="97"/>
  <c r="M605" i="97"/>
  <c r="O605" i="97"/>
  <c r="Q605" i="97"/>
  <c r="E606" i="97"/>
  <c r="G606" i="97"/>
  <c r="I606" i="97"/>
  <c r="K606" i="97"/>
  <c r="M606" i="97"/>
  <c r="O606" i="97"/>
  <c r="Q606" i="97"/>
  <c r="E607" i="97"/>
  <c r="G607" i="97"/>
  <c r="I607" i="97"/>
  <c r="K607" i="97"/>
  <c r="M607" i="97"/>
  <c r="O607" i="97"/>
  <c r="Q607" i="97"/>
  <c r="E608" i="97"/>
  <c r="G608" i="97"/>
  <c r="I608" i="97"/>
  <c r="K608" i="97"/>
  <c r="M608" i="97"/>
  <c r="O608" i="97"/>
  <c r="Q608" i="97"/>
  <c r="E609" i="97"/>
  <c r="G609" i="97"/>
  <c r="I609" i="97"/>
  <c r="K609" i="97"/>
  <c r="M609" i="97"/>
  <c r="O609" i="97"/>
  <c r="Q609" i="97"/>
  <c r="E610" i="97"/>
  <c r="G610" i="97"/>
  <c r="I610" i="97"/>
  <c r="K610" i="97"/>
  <c r="M610" i="97"/>
  <c r="O610" i="97"/>
  <c r="Q610" i="97"/>
  <c r="E611" i="97"/>
  <c r="G611" i="97"/>
  <c r="I611" i="97"/>
  <c r="K611" i="97"/>
  <c r="M611" i="97"/>
  <c r="O611" i="97"/>
  <c r="Q611" i="97"/>
  <c r="E612" i="97"/>
  <c r="G612" i="97"/>
  <c r="I612" i="97"/>
  <c r="K612" i="97"/>
  <c r="M612" i="97"/>
  <c r="O612" i="97"/>
  <c r="Q612" i="97"/>
  <c r="E613" i="97"/>
  <c r="G613" i="97"/>
  <c r="I613" i="97"/>
  <c r="K613" i="97"/>
  <c r="M613" i="97"/>
  <c r="O613" i="97"/>
  <c r="Q613" i="97"/>
  <c r="E614" i="97"/>
  <c r="G614" i="97"/>
  <c r="I614" i="97"/>
  <c r="K614" i="97"/>
  <c r="M614" i="97"/>
  <c r="O614" i="97"/>
  <c r="Q614" i="97"/>
  <c r="E615" i="97"/>
  <c r="G615" i="97"/>
  <c r="I615" i="97"/>
  <c r="K615" i="97"/>
  <c r="M615" i="97"/>
  <c r="O615" i="97"/>
  <c r="Q615" i="97"/>
  <c r="E616" i="97"/>
  <c r="G616" i="97"/>
  <c r="I616" i="97"/>
  <c r="K616" i="97"/>
  <c r="M616" i="97"/>
  <c r="O616" i="97"/>
  <c r="Q616" i="97"/>
  <c r="E617" i="97"/>
  <c r="G617" i="97"/>
  <c r="I617" i="97"/>
  <c r="K617" i="97"/>
  <c r="M617" i="97"/>
  <c r="O617" i="97"/>
  <c r="Q617" i="97"/>
  <c r="E618" i="97"/>
  <c r="G618" i="97"/>
  <c r="I618" i="97"/>
  <c r="K618" i="97"/>
  <c r="M618" i="97"/>
  <c r="O618" i="97"/>
  <c r="Q618" i="97"/>
  <c r="E619" i="97"/>
  <c r="G619" i="97"/>
  <c r="I619" i="97"/>
  <c r="K619" i="97"/>
  <c r="M619" i="97"/>
  <c r="O619" i="97"/>
  <c r="Q619" i="97"/>
  <c r="E620" i="97"/>
  <c r="G620" i="97"/>
  <c r="I620" i="97"/>
  <c r="K620" i="97"/>
  <c r="M620" i="97"/>
  <c r="O620" i="97"/>
  <c r="Q620" i="97"/>
  <c r="E621" i="97"/>
  <c r="G621" i="97"/>
  <c r="I621" i="97"/>
  <c r="K621" i="97"/>
  <c r="M621" i="97"/>
  <c r="O621" i="97"/>
  <c r="Q621" i="97"/>
  <c r="E622" i="97"/>
  <c r="G622" i="97"/>
  <c r="I622" i="97"/>
  <c r="K622" i="97"/>
  <c r="M622" i="97"/>
  <c r="O622" i="97"/>
  <c r="Q622" i="97"/>
  <c r="E623" i="97"/>
  <c r="G623" i="97"/>
  <c r="I623" i="97"/>
  <c r="K623" i="97"/>
  <c r="M623" i="97"/>
  <c r="O623" i="97"/>
  <c r="Q623" i="97"/>
  <c r="E624" i="97"/>
  <c r="G624" i="97"/>
  <c r="I624" i="97"/>
  <c r="K624" i="97"/>
  <c r="M624" i="97"/>
  <c r="O624" i="97"/>
  <c r="Q624" i="97"/>
  <c r="E625" i="97"/>
  <c r="G625" i="97"/>
  <c r="I625" i="97"/>
  <c r="K625" i="97"/>
  <c r="M625" i="97"/>
  <c r="O625" i="97"/>
  <c r="Q625" i="97"/>
  <c r="E626" i="97"/>
  <c r="G626" i="97"/>
  <c r="I626" i="97"/>
  <c r="K626" i="97"/>
  <c r="M626" i="97"/>
  <c r="O626" i="97"/>
  <c r="Q626" i="97"/>
  <c r="E627" i="97"/>
  <c r="G627" i="97"/>
  <c r="I627" i="97"/>
  <c r="K627" i="97"/>
  <c r="M627" i="97"/>
  <c r="O627" i="97"/>
  <c r="Q627" i="97"/>
  <c r="E628" i="97"/>
  <c r="G628" i="97"/>
  <c r="I628" i="97"/>
  <c r="K628" i="97"/>
  <c r="M628" i="97"/>
  <c r="O628" i="97"/>
  <c r="Q628" i="97"/>
  <c r="E629" i="97"/>
  <c r="G629" i="97"/>
  <c r="I629" i="97"/>
  <c r="K629" i="97"/>
  <c r="M629" i="97"/>
  <c r="O629" i="97"/>
  <c r="Q629" i="97"/>
  <c r="E630" i="97"/>
  <c r="G630" i="97"/>
  <c r="I630" i="97"/>
  <c r="K630" i="97"/>
  <c r="M630" i="97"/>
  <c r="O630" i="97"/>
  <c r="Q630" i="97"/>
  <c r="E631" i="97"/>
  <c r="G631" i="97"/>
  <c r="I631" i="97"/>
  <c r="K631" i="97"/>
  <c r="M631" i="97"/>
  <c r="O631" i="97"/>
  <c r="Q631" i="97"/>
  <c r="E632" i="97"/>
  <c r="G632" i="97"/>
  <c r="I632" i="97"/>
  <c r="K632" i="97"/>
  <c r="M632" i="97"/>
  <c r="O632" i="97"/>
  <c r="Q632" i="97"/>
  <c r="E633" i="97"/>
  <c r="G633" i="97"/>
  <c r="I633" i="97"/>
  <c r="K633" i="97"/>
  <c r="M633" i="97"/>
  <c r="O633" i="97"/>
  <c r="Q633" i="97"/>
  <c r="E634" i="97"/>
  <c r="G634" i="97"/>
  <c r="I634" i="97"/>
  <c r="K634" i="97"/>
  <c r="M634" i="97"/>
  <c r="O634" i="97"/>
  <c r="Q634" i="97"/>
  <c r="E635" i="97"/>
  <c r="G635" i="97"/>
  <c r="I635" i="97"/>
  <c r="K635" i="97"/>
  <c r="M635" i="97"/>
  <c r="O635" i="97"/>
  <c r="Q635" i="97"/>
  <c r="E636" i="97"/>
  <c r="G636" i="97"/>
  <c r="I636" i="97"/>
  <c r="K636" i="97"/>
  <c r="M636" i="97"/>
  <c r="O636" i="97"/>
  <c r="Q636" i="97"/>
  <c r="E637" i="97"/>
  <c r="G637" i="97"/>
  <c r="I637" i="97"/>
  <c r="K637" i="97"/>
  <c r="M637" i="97"/>
  <c r="O637" i="97"/>
  <c r="Q637" i="97"/>
  <c r="E638" i="97"/>
  <c r="G638" i="97"/>
  <c r="I638" i="97"/>
  <c r="K638" i="97"/>
  <c r="M638" i="97"/>
  <c r="O638" i="97"/>
  <c r="Q638" i="97"/>
  <c r="E639" i="97"/>
  <c r="G639" i="97"/>
  <c r="I639" i="97"/>
  <c r="K639" i="97"/>
  <c r="M639" i="97"/>
  <c r="O639" i="97"/>
  <c r="Q639" i="97"/>
  <c r="E640" i="97"/>
  <c r="G640" i="97"/>
  <c r="I640" i="97"/>
  <c r="K640" i="97"/>
  <c r="M640" i="97"/>
  <c r="O640" i="97"/>
  <c r="Q640" i="97"/>
  <c r="E641" i="97"/>
  <c r="G641" i="97"/>
  <c r="I641" i="97"/>
  <c r="K641" i="97"/>
  <c r="M641" i="97"/>
  <c r="O641" i="97"/>
  <c r="Q641" i="97"/>
  <c r="E642" i="97"/>
  <c r="G642" i="97"/>
  <c r="I642" i="97"/>
  <c r="K642" i="97"/>
  <c r="M642" i="97"/>
  <c r="O642" i="97"/>
  <c r="Q642" i="97"/>
  <c r="E643" i="97"/>
  <c r="G643" i="97"/>
  <c r="I643" i="97"/>
  <c r="K643" i="97"/>
  <c r="M643" i="97"/>
  <c r="O643" i="97"/>
  <c r="Q643" i="97"/>
  <c r="E644" i="97"/>
  <c r="G644" i="97"/>
  <c r="I644" i="97"/>
  <c r="K644" i="97"/>
  <c r="M644" i="97"/>
  <c r="O644" i="97"/>
  <c r="Q644" i="97"/>
  <c r="E645" i="97"/>
  <c r="G645" i="97"/>
  <c r="I645" i="97"/>
  <c r="K645" i="97"/>
  <c r="M645" i="97"/>
  <c r="O645" i="97"/>
  <c r="Q645" i="97"/>
  <c r="E646" i="97"/>
  <c r="G646" i="97"/>
  <c r="I646" i="97"/>
  <c r="K646" i="97"/>
  <c r="M646" i="97"/>
  <c r="O646" i="97"/>
  <c r="Q646" i="97"/>
  <c r="E647" i="97"/>
  <c r="G647" i="97"/>
  <c r="I647" i="97"/>
  <c r="K647" i="97"/>
  <c r="M647" i="97"/>
  <c r="O647" i="97"/>
  <c r="Q647" i="97"/>
  <c r="E648" i="97"/>
  <c r="G648" i="97"/>
  <c r="I648" i="97"/>
  <c r="K648" i="97"/>
  <c r="M648" i="97"/>
  <c r="O648" i="97"/>
  <c r="Q648" i="97"/>
  <c r="E649" i="97"/>
  <c r="G649" i="97"/>
  <c r="I649" i="97"/>
  <c r="K649" i="97"/>
  <c r="M649" i="97"/>
  <c r="O649" i="97"/>
  <c r="Q649" i="97"/>
  <c r="E650" i="97"/>
  <c r="G650" i="97"/>
  <c r="I650" i="97"/>
  <c r="K650" i="97"/>
  <c r="M650" i="97"/>
  <c r="O650" i="97"/>
  <c r="Q650" i="97"/>
  <c r="E651" i="97"/>
  <c r="G651" i="97"/>
  <c r="I651" i="97"/>
  <c r="K651" i="97"/>
  <c r="M651" i="97"/>
  <c r="O651" i="97"/>
  <c r="Q651" i="97"/>
  <c r="E652" i="97"/>
  <c r="G652" i="97"/>
  <c r="I652" i="97"/>
  <c r="K652" i="97"/>
  <c r="M652" i="97"/>
  <c r="O652" i="97"/>
  <c r="Q652" i="97"/>
  <c r="E653" i="97"/>
  <c r="G653" i="97"/>
  <c r="I653" i="97"/>
  <c r="K653" i="97"/>
  <c r="M653" i="97"/>
  <c r="O653" i="97"/>
  <c r="Q653" i="97"/>
  <c r="E654" i="97"/>
  <c r="G654" i="97"/>
  <c r="I654" i="97"/>
  <c r="K654" i="97"/>
  <c r="M654" i="97"/>
  <c r="O654" i="97"/>
  <c r="Q654" i="97"/>
  <c r="E655" i="97"/>
  <c r="G655" i="97"/>
  <c r="I655" i="97"/>
  <c r="K655" i="97"/>
  <c r="M655" i="97"/>
  <c r="O655" i="97"/>
  <c r="Q655" i="97"/>
  <c r="E656" i="97"/>
  <c r="G656" i="97"/>
  <c r="I656" i="97"/>
  <c r="K656" i="97"/>
  <c r="M656" i="97"/>
  <c r="O656" i="97"/>
  <c r="Q656" i="97"/>
  <c r="E657" i="97"/>
  <c r="G657" i="97"/>
  <c r="I657" i="97"/>
  <c r="K657" i="97"/>
  <c r="M657" i="97"/>
  <c r="O657" i="97"/>
  <c r="Q657" i="97"/>
  <c r="E658" i="97"/>
  <c r="G658" i="97"/>
  <c r="I658" i="97"/>
  <c r="K658" i="97"/>
  <c r="M658" i="97"/>
  <c r="O658" i="97"/>
  <c r="Q658" i="97"/>
  <c r="E659" i="97"/>
  <c r="G659" i="97"/>
  <c r="I659" i="97"/>
  <c r="K659" i="97"/>
  <c r="M659" i="97"/>
  <c r="O659" i="97"/>
  <c r="Q659" i="97"/>
  <c r="E660" i="97"/>
  <c r="G660" i="97"/>
  <c r="I660" i="97"/>
  <c r="K660" i="97"/>
  <c r="M660" i="97"/>
  <c r="O660" i="97"/>
  <c r="Q660" i="97"/>
  <c r="E661" i="97"/>
  <c r="G661" i="97"/>
  <c r="I661" i="97"/>
  <c r="K661" i="97"/>
  <c r="M661" i="97"/>
  <c r="O661" i="97"/>
  <c r="Q661" i="97"/>
  <c r="E662" i="97"/>
  <c r="G662" i="97"/>
  <c r="I662" i="97"/>
  <c r="K662" i="97"/>
  <c r="M662" i="97"/>
  <c r="O662" i="97"/>
  <c r="Q662" i="97"/>
  <c r="E663" i="97"/>
  <c r="G663" i="97"/>
  <c r="I663" i="97"/>
  <c r="K663" i="97"/>
  <c r="M663" i="97"/>
  <c r="O663" i="97"/>
  <c r="Q663" i="97"/>
  <c r="E664" i="97"/>
  <c r="G664" i="97"/>
  <c r="I664" i="97"/>
  <c r="K664" i="97"/>
  <c r="M664" i="97"/>
  <c r="O664" i="97"/>
  <c r="Q664" i="97"/>
  <c r="E665" i="97"/>
  <c r="G665" i="97"/>
  <c r="I665" i="97"/>
  <c r="K665" i="97"/>
  <c r="M665" i="97"/>
  <c r="O665" i="97"/>
  <c r="Q665" i="97"/>
  <c r="E666" i="97"/>
  <c r="G666" i="97"/>
  <c r="I666" i="97"/>
  <c r="K666" i="97"/>
  <c r="M666" i="97"/>
  <c r="O666" i="97"/>
  <c r="Q666" i="97"/>
  <c r="E667" i="97"/>
  <c r="G667" i="97"/>
  <c r="I667" i="97"/>
  <c r="K667" i="97"/>
  <c r="M667" i="97"/>
  <c r="O667" i="97"/>
  <c r="Q667" i="97"/>
  <c r="E668" i="97"/>
  <c r="G668" i="97"/>
  <c r="I668" i="97"/>
  <c r="K668" i="97"/>
  <c r="M668" i="97"/>
  <c r="O668" i="97"/>
  <c r="Q668" i="97"/>
  <c r="E669" i="97"/>
  <c r="G669" i="97"/>
  <c r="I669" i="97"/>
  <c r="K669" i="97"/>
  <c r="M669" i="97"/>
  <c r="O669" i="97"/>
  <c r="Q669" i="97"/>
  <c r="E670" i="97"/>
  <c r="G670" i="97"/>
  <c r="I670" i="97"/>
  <c r="K670" i="97"/>
  <c r="M670" i="97"/>
  <c r="O670" i="97"/>
  <c r="Q670" i="97"/>
  <c r="E671" i="97"/>
  <c r="G671" i="97"/>
  <c r="I671" i="97"/>
  <c r="K671" i="97"/>
  <c r="M671" i="97"/>
  <c r="O671" i="97"/>
  <c r="Q671" i="97"/>
  <c r="E672" i="97"/>
  <c r="G672" i="97"/>
  <c r="I672" i="97"/>
  <c r="K672" i="97"/>
  <c r="M672" i="97"/>
  <c r="O672" i="97"/>
  <c r="Q672" i="97"/>
  <c r="E673" i="97"/>
  <c r="G673" i="97"/>
  <c r="I673" i="97"/>
  <c r="K673" i="97"/>
  <c r="M673" i="97"/>
  <c r="O673" i="97"/>
  <c r="Q673" i="97"/>
  <c r="E674" i="97"/>
  <c r="G674" i="97"/>
  <c r="I674" i="97"/>
  <c r="K674" i="97"/>
  <c r="M674" i="97"/>
  <c r="O674" i="97"/>
  <c r="Q674" i="97"/>
  <c r="E675" i="97"/>
  <c r="G675" i="97"/>
  <c r="I675" i="97"/>
  <c r="K675" i="97"/>
  <c r="M675" i="97"/>
  <c r="O675" i="97"/>
  <c r="Q675" i="97"/>
  <c r="E676" i="97"/>
  <c r="G676" i="97"/>
  <c r="I676" i="97"/>
  <c r="K676" i="97"/>
  <c r="M676" i="97"/>
  <c r="O676" i="97"/>
  <c r="Q676" i="97"/>
  <c r="E677" i="97"/>
  <c r="G677" i="97"/>
  <c r="I677" i="97"/>
  <c r="K677" i="97"/>
  <c r="M677" i="97"/>
  <c r="O677" i="97"/>
  <c r="Q677" i="97"/>
  <c r="E678" i="97"/>
  <c r="G678" i="97"/>
  <c r="I678" i="97"/>
  <c r="K678" i="97"/>
  <c r="M678" i="97"/>
  <c r="O678" i="97"/>
  <c r="Q678" i="97"/>
  <c r="E679" i="97"/>
  <c r="G679" i="97"/>
  <c r="I679" i="97"/>
  <c r="K679" i="97"/>
  <c r="M679" i="97"/>
  <c r="O679" i="97"/>
  <c r="Q679" i="97"/>
  <c r="E680" i="97"/>
  <c r="G680" i="97"/>
  <c r="I680" i="97"/>
  <c r="K680" i="97"/>
  <c r="M680" i="97"/>
  <c r="O680" i="97"/>
  <c r="Q680" i="97"/>
  <c r="E681" i="97"/>
  <c r="G681" i="97"/>
  <c r="I681" i="97"/>
  <c r="K681" i="97"/>
  <c r="M681" i="97"/>
  <c r="O681" i="97"/>
  <c r="Q681" i="97"/>
  <c r="E682" i="97"/>
  <c r="G682" i="97"/>
  <c r="I682" i="97"/>
  <c r="K682" i="97"/>
  <c r="M682" i="97"/>
  <c r="O682" i="97"/>
  <c r="Q682" i="97"/>
  <c r="E683" i="97"/>
  <c r="G683" i="97"/>
  <c r="I683" i="97"/>
  <c r="K683" i="97"/>
  <c r="M683" i="97"/>
  <c r="O683" i="97"/>
  <c r="Q683" i="97"/>
  <c r="E684" i="97"/>
  <c r="G684" i="97"/>
  <c r="I684" i="97"/>
  <c r="K684" i="97"/>
  <c r="M684" i="97"/>
  <c r="O684" i="97"/>
  <c r="Q684" i="97"/>
  <c r="E685" i="97"/>
  <c r="G685" i="97"/>
  <c r="I685" i="97"/>
  <c r="K685" i="97"/>
  <c r="M685" i="97"/>
  <c r="O685" i="97"/>
  <c r="Q685" i="97"/>
  <c r="E686" i="97"/>
  <c r="G686" i="97"/>
  <c r="I686" i="97"/>
  <c r="K686" i="97"/>
  <c r="M686" i="97"/>
  <c r="O686" i="97"/>
  <c r="Q686" i="97"/>
  <c r="E687" i="97"/>
  <c r="G687" i="97"/>
  <c r="I687" i="97"/>
  <c r="K687" i="97"/>
  <c r="M687" i="97"/>
  <c r="O687" i="97"/>
  <c r="Q687" i="97"/>
  <c r="E688" i="97"/>
  <c r="G688" i="97"/>
  <c r="I688" i="97"/>
  <c r="K688" i="97"/>
  <c r="M688" i="97"/>
  <c r="O688" i="97"/>
  <c r="Q688" i="97"/>
  <c r="E689" i="97"/>
  <c r="G689" i="97"/>
  <c r="I689" i="97"/>
  <c r="K689" i="97"/>
  <c r="M689" i="97"/>
  <c r="O689" i="97"/>
  <c r="Q689" i="97"/>
  <c r="E690" i="97"/>
  <c r="G690" i="97"/>
  <c r="I690" i="97"/>
  <c r="K690" i="97"/>
  <c r="M690" i="97"/>
  <c r="O690" i="97"/>
  <c r="Q690" i="97"/>
  <c r="E691" i="97"/>
  <c r="G691" i="97"/>
  <c r="I691" i="97"/>
  <c r="K691" i="97"/>
  <c r="M691" i="97"/>
  <c r="O691" i="97"/>
  <c r="Q691" i="97"/>
  <c r="E692" i="97"/>
  <c r="G692" i="97"/>
  <c r="I692" i="97"/>
  <c r="K692" i="97"/>
  <c r="M692" i="97"/>
  <c r="O692" i="97"/>
  <c r="Q692" i="97"/>
  <c r="E693" i="97"/>
  <c r="G693" i="97"/>
  <c r="I693" i="97"/>
  <c r="K693" i="97"/>
  <c r="M693" i="97"/>
  <c r="O693" i="97"/>
  <c r="Q693" i="97"/>
  <c r="E694" i="97"/>
  <c r="G694" i="97"/>
  <c r="I694" i="97"/>
  <c r="K694" i="97"/>
  <c r="M694" i="97"/>
  <c r="O694" i="97"/>
  <c r="Q694" i="97"/>
  <c r="E695" i="97"/>
  <c r="G695" i="97"/>
  <c r="I695" i="97"/>
  <c r="K695" i="97"/>
  <c r="M695" i="97"/>
  <c r="O695" i="97"/>
  <c r="Q695" i="97"/>
  <c r="E696" i="97"/>
  <c r="G696" i="97"/>
  <c r="I696" i="97"/>
  <c r="K696" i="97"/>
  <c r="M696" i="97"/>
  <c r="O696" i="97"/>
  <c r="Q696" i="97"/>
  <c r="E697" i="97"/>
  <c r="G697" i="97"/>
  <c r="I697" i="97"/>
  <c r="K697" i="97"/>
  <c r="M697" i="97"/>
  <c r="O697" i="97"/>
  <c r="Q697" i="97"/>
  <c r="E698" i="97"/>
  <c r="G698" i="97"/>
  <c r="I698" i="97"/>
  <c r="K698" i="97"/>
  <c r="M698" i="97"/>
  <c r="O698" i="97"/>
  <c r="Q698" i="97"/>
  <c r="E699" i="97"/>
  <c r="G699" i="97"/>
  <c r="I699" i="97"/>
  <c r="K699" i="97"/>
  <c r="M699" i="97"/>
  <c r="O699" i="97"/>
  <c r="Q699" i="97"/>
  <c r="E700" i="97"/>
  <c r="G700" i="97"/>
  <c r="I700" i="97"/>
  <c r="K700" i="97"/>
  <c r="M700" i="97"/>
  <c r="O700" i="97"/>
  <c r="Q700" i="97"/>
  <c r="E701" i="97"/>
  <c r="G701" i="97"/>
  <c r="I701" i="97"/>
  <c r="K701" i="97"/>
  <c r="M701" i="97"/>
  <c r="O701" i="97"/>
  <c r="Q701" i="97"/>
  <c r="E702" i="97"/>
  <c r="G702" i="97"/>
  <c r="I702" i="97"/>
  <c r="K702" i="97"/>
  <c r="M702" i="97"/>
  <c r="O702" i="97"/>
  <c r="Q702" i="97"/>
  <c r="E703" i="97"/>
  <c r="G703" i="97"/>
  <c r="I703" i="97"/>
  <c r="K703" i="97"/>
  <c r="M703" i="97"/>
  <c r="O703" i="97"/>
  <c r="Q703" i="97"/>
  <c r="E704" i="97"/>
  <c r="G704" i="97"/>
  <c r="I704" i="97"/>
  <c r="K704" i="97"/>
  <c r="M704" i="97"/>
  <c r="O704" i="97"/>
  <c r="Q704" i="97"/>
  <c r="E705" i="97"/>
  <c r="G705" i="97"/>
  <c r="I705" i="97"/>
  <c r="K705" i="97"/>
  <c r="M705" i="97"/>
  <c r="O705" i="97"/>
  <c r="Q705" i="97"/>
  <c r="E706" i="97"/>
  <c r="G706" i="97"/>
  <c r="I706" i="97"/>
  <c r="K706" i="97"/>
  <c r="M706" i="97"/>
  <c r="O706" i="97"/>
  <c r="Q706" i="97"/>
  <c r="E707" i="97"/>
  <c r="G707" i="97"/>
  <c r="I707" i="97"/>
  <c r="K707" i="97"/>
  <c r="M707" i="97"/>
  <c r="O707" i="97"/>
  <c r="Q707" i="97"/>
  <c r="E708" i="97"/>
  <c r="G708" i="97"/>
  <c r="I708" i="97"/>
  <c r="K708" i="97"/>
  <c r="M708" i="97"/>
  <c r="O708" i="97"/>
  <c r="Q708" i="97"/>
  <c r="E709" i="97"/>
  <c r="G709" i="97"/>
  <c r="I709" i="97"/>
  <c r="K709" i="97"/>
  <c r="M709" i="97"/>
  <c r="O709" i="97"/>
  <c r="Q709" i="97"/>
  <c r="E710" i="97"/>
  <c r="G710" i="97"/>
  <c r="I710" i="97"/>
  <c r="K710" i="97"/>
  <c r="M710" i="97"/>
  <c r="O710" i="97"/>
  <c r="Q710" i="97"/>
  <c r="E711" i="97"/>
  <c r="G711" i="97"/>
  <c r="I711" i="97"/>
  <c r="K711" i="97"/>
  <c r="M711" i="97"/>
  <c r="O711" i="97"/>
  <c r="Q711" i="97"/>
  <c r="E712" i="97"/>
  <c r="G712" i="97"/>
  <c r="I712" i="97"/>
  <c r="K712" i="97"/>
  <c r="M712" i="97"/>
  <c r="O712" i="97"/>
  <c r="Q712" i="97"/>
  <c r="E713" i="97"/>
  <c r="G713" i="97"/>
  <c r="I713" i="97"/>
  <c r="K713" i="97"/>
  <c r="M713" i="97"/>
  <c r="O713" i="97"/>
  <c r="Q713" i="97"/>
  <c r="E714" i="97"/>
  <c r="G714" i="97"/>
  <c r="I714" i="97"/>
  <c r="K714" i="97"/>
  <c r="M714" i="97"/>
  <c r="O714" i="97"/>
  <c r="Q714" i="97"/>
  <c r="E715" i="97"/>
  <c r="G715" i="97"/>
  <c r="I715" i="97"/>
  <c r="K715" i="97"/>
  <c r="M715" i="97"/>
  <c r="O715" i="97"/>
  <c r="Q715" i="97"/>
  <c r="E716" i="97"/>
  <c r="G716" i="97"/>
  <c r="I716" i="97"/>
  <c r="K716" i="97"/>
  <c r="M716" i="97"/>
  <c r="O716" i="97"/>
  <c r="Q716" i="97"/>
  <c r="E717" i="97"/>
  <c r="G717" i="97"/>
  <c r="I717" i="97"/>
  <c r="K717" i="97"/>
  <c r="M717" i="97"/>
  <c r="O717" i="97"/>
  <c r="Q717" i="97"/>
  <c r="E718" i="97"/>
  <c r="G718" i="97"/>
  <c r="I718" i="97"/>
  <c r="K718" i="97"/>
  <c r="M718" i="97"/>
  <c r="O718" i="97"/>
  <c r="Q718" i="97"/>
  <c r="E719" i="97"/>
  <c r="G719" i="97"/>
  <c r="I719" i="97"/>
  <c r="K719" i="97"/>
  <c r="M719" i="97"/>
  <c r="O719" i="97"/>
  <c r="Q719" i="97"/>
  <c r="E720" i="97"/>
  <c r="G720" i="97"/>
  <c r="I720" i="97"/>
  <c r="K720" i="97"/>
  <c r="M720" i="97"/>
  <c r="O720" i="97"/>
  <c r="Q720" i="97"/>
  <c r="E721" i="97"/>
  <c r="G721" i="97"/>
  <c r="I721" i="97"/>
  <c r="K721" i="97"/>
  <c r="M721" i="97"/>
  <c r="O721" i="97"/>
  <c r="Q721" i="97"/>
  <c r="E722" i="97"/>
  <c r="G722" i="97"/>
  <c r="I722" i="97"/>
  <c r="K722" i="97"/>
  <c r="M722" i="97"/>
  <c r="O722" i="97"/>
  <c r="Q722" i="97"/>
  <c r="E723" i="97"/>
  <c r="G723" i="97"/>
  <c r="I723" i="97"/>
  <c r="K723" i="97"/>
  <c r="M723" i="97"/>
  <c r="O723" i="97"/>
  <c r="Q723" i="97"/>
  <c r="E724" i="97"/>
  <c r="G724" i="97"/>
  <c r="I724" i="97"/>
  <c r="K724" i="97"/>
  <c r="M724" i="97"/>
  <c r="O724" i="97"/>
  <c r="Q724" i="97"/>
  <c r="E725" i="97"/>
  <c r="G725" i="97"/>
  <c r="I725" i="97"/>
  <c r="K725" i="97"/>
  <c r="M725" i="97"/>
  <c r="O725" i="97"/>
  <c r="Q725" i="97"/>
  <c r="E726" i="97"/>
  <c r="G726" i="97"/>
  <c r="I726" i="97"/>
  <c r="K726" i="97"/>
  <c r="M726" i="97"/>
  <c r="O726" i="97"/>
  <c r="Q726" i="97"/>
  <c r="E727" i="97"/>
  <c r="G727" i="97"/>
  <c r="I727" i="97"/>
  <c r="K727" i="97"/>
  <c r="M727" i="97"/>
  <c r="O727" i="97"/>
  <c r="Q727" i="97"/>
  <c r="E728" i="97"/>
  <c r="G728" i="97"/>
  <c r="I728" i="97"/>
  <c r="K728" i="97"/>
  <c r="M728" i="97"/>
  <c r="O728" i="97"/>
  <c r="Q728" i="97"/>
  <c r="E729" i="97"/>
  <c r="G729" i="97"/>
  <c r="I729" i="97"/>
  <c r="K729" i="97"/>
  <c r="M729" i="97"/>
  <c r="O729" i="97"/>
  <c r="Q729" i="97"/>
  <c r="E730" i="97"/>
  <c r="G730" i="97"/>
  <c r="I730" i="97"/>
  <c r="K730" i="97"/>
  <c r="M730" i="97"/>
  <c r="O730" i="97"/>
  <c r="Q730" i="97"/>
  <c r="E731" i="97"/>
  <c r="G731" i="97"/>
  <c r="I731" i="97"/>
  <c r="K731" i="97"/>
  <c r="M731" i="97"/>
  <c r="O731" i="97"/>
  <c r="Q731" i="97"/>
  <c r="E732" i="97"/>
  <c r="G732" i="97"/>
  <c r="I732" i="97"/>
  <c r="K732" i="97"/>
  <c r="M732" i="97"/>
  <c r="O732" i="97"/>
  <c r="Q732" i="97"/>
  <c r="E733" i="97"/>
  <c r="G733" i="97"/>
  <c r="I733" i="97"/>
  <c r="K733" i="97"/>
  <c r="M733" i="97"/>
  <c r="O733" i="97"/>
  <c r="Q733" i="97"/>
  <c r="E734" i="97"/>
  <c r="G734" i="97"/>
  <c r="I734" i="97"/>
  <c r="K734" i="97"/>
  <c r="M734" i="97"/>
  <c r="O734" i="97"/>
  <c r="Q734" i="97"/>
  <c r="E735" i="97"/>
  <c r="G735" i="97"/>
  <c r="I735" i="97"/>
  <c r="K735" i="97"/>
  <c r="M735" i="97"/>
  <c r="O735" i="97"/>
  <c r="Q735" i="97"/>
  <c r="E736" i="97"/>
  <c r="G736" i="97"/>
  <c r="I736" i="97"/>
  <c r="K736" i="97"/>
  <c r="M736" i="97"/>
  <c r="O736" i="97"/>
  <c r="Q736" i="97"/>
  <c r="E737" i="97"/>
  <c r="G737" i="97"/>
  <c r="I737" i="97"/>
  <c r="K737" i="97"/>
  <c r="M737" i="97"/>
  <c r="O737" i="97"/>
  <c r="Q737" i="97"/>
  <c r="E738" i="97"/>
  <c r="G738" i="97"/>
  <c r="I738" i="97"/>
  <c r="K738" i="97"/>
  <c r="M738" i="97"/>
  <c r="O738" i="97"/>
  <c r="Q738" i="97"/>
  <c r="E739" i="97"/>
  <c r="G739" i="97"/>
  <c r="I739" i="97"/>
  <c r="K739" i="97"/>
  <c r="M739" i="97"/>
  <c r="O739" i="97"/>
  <c r="Q739" i="97"/>
  <c r="E740" i="97"/>
  <c r="G740" i="97"/>
  <c r="I740" i="97"/>
  <c r="K740" i="97"/>
  <c r="M740" i="97"/>
  <c r="O740" i="97"/>
  <c r="Q740" i="97"/>
  <c r="E741" i="97"/>
  <c r="G741" i="97"/>
  <c r="I741" i="97"/>
  <c r="K741" i="97"/>
  <c r="M741" i="97"/>
  <c r="O741" i="97"/>
  <c r="Q741" i="97"/>
  <c r="E742" i="97"/>
  <c r="G742" i="97"/>
  <c r="I742" i="97"/>
  <c r="K742" i="97"/>
  <c r="M742" i="97"/>
  <c r="O742" i="97"/>
  <c r="Q742" i="97"/>
  <c r="E743" i="97"/>
  <c r="G743" i="97"/>
  <c r="I743" i="97"/>
  <c r="K743" i="97"/>
  <c r="M743" i="97"/>
  <c r="O743" i="97"/>
  <c r="Q743" i="97"/>
  <c r="E744" i="97"/>
  <c r="G744" i="97"/>
  <c r="I744" i="97"/>
  <c r="K744" i="97"/>
  <c r="M744" i="97"/>
  <c r="O744" i="97"/>
  <c r="Q744" i="97"/>
  <c r="E745" i="97"/>
  <c r="G745" i="97"/>
  <c r="I745" i="97"/>
  <c r="K745" i="97"/>
  <c r="M745" i="97"/>
  <c r="O745" i="97"/>
  <c r="Q745" i="97"/>
  <c r="E746" i="97"/>
  <c r="G746" i="97"/>
  <c r="I746" i="97"/>
  <c r="K746" i="97"/>
  <c r="M746" i="97"/>
  <c r="O746" i="97"/>
  <c r="Q746" i="97"/>
  <c r="E747" i="97"/>
  <c r="G747" i="97"/>
  <c r="I747" i="97"/>
  <c r="K747" i="97"/>
  <c r="M747" i="97"/>
  <c r="O747" i="97"/>
  <c r="Q747" i="97"/>
  <c r="E748" i="97"/>
  <c r="G748" i="97"/>
  <c r="I748" i="97"/>
  <c r="K748" i="97"/>
  <c r="M748" i="97"/>
  <c r="O748" i="97"/>
  <c r="Q748" i="97"/>
  <c r="E749" i="97"/>
  <c r="G749" i="97"/>
  <c r="I749" i="97"/>
  <c r="K749" i="97"/>
  <c r="M749" i="97"/>
  <c r="O749" i="97"/>
  <c r="Q749" i="97"/>
  <c r="E750" i="97"/>
  <c r="G750" i="97"/>
  <c r="I750" i="97"/>
  <c r="K750" i="97"/>
  <c r="M750" i="97"/>
  <c r="O750" i="97"/>
  <c r="Q750" i="97"/>
  <c r="E751" i="97"/>
  <c r="G751" i="97"/>
  <c r="I751" i="97"/>
  <c r="K751" i="97"/>
  <c r="M751" i="97"/>
  <c r="O751" i="97"/>
  <c r="Q751" i="97"/>
  <c r="E752" i="97"/>
  <c r="G752" i="97"/>
  <c r="I752" i="97"/>
  <c r="K752" i="97"/>
  <c r="M752" i="97"/>
  <c r="O752" i="97"/>
  <c r="Q752" i="97"/>
  <c r="E753" i="97"/>
  <c r="G753" i="97"/>
  <c r="I753" i="97"/>
  <c r="K753" i="97"/>
  <c r="M753" i="97"/>
  <c r="O753" i="97"/>
  <c r="Q753" i="97"/>
  <c r="E754" i="97"/>
  <c r="G754" i="97"/>
  <c r="I754" i="97"/>
  <c r="K754" i="97"/>
  <c r="M754" i="97"/>
  <c r="O754" i="97"/>
  <c r="Q754" i="97"/>
  <c r="E755" i="97"/>
  <c r="G755" i="97"/>
  <c r="I755" i="97"/>
  <c r="K755" i="97"/>
  <c r="M755" i="97"/>
  <c r="O755" i="97"/>
  <c r="Q755" i="97"/>
  <c r="E756" i="97"/>
  <c r="G756" i="97"/>
  <c r="I756" i="97"/>
  <c r="K756" i="97"/>
  <c r="M756" i="97"/>
  <c r="O756" i="97"/>
  <c r="Q756" i="97"/>
  <c r="E757" i="97"/>
  <c r="G757" i="97"/>
  <c r="I757" i="97"/>
  <c r="K757" i="97"/>
  <c r="M757" i="97"/>
  <c r="O757" i="97"/>
  <c r="Q757" i="97"/>
  <c r="E758" i="97"/>
  <c r="G758" i="97"/>
  <c r="I758" i="97"/>
  <c r="K758" i="97"/>
  <c r="M758" i="97"/>
  <c r="O758" i="97"/>
  <c r="Q758" i="97"/>
  <c r="E759" i="97"/>
  <c r="G759" i="97"/>
  <c r="I759" i="97"/>
  <c r="K759" i="97"/>
  <c r="M759" i="97"/>
  <c r="O759" i="97"/>
  <c r="Q759" i="97"/>
  <c r="E760" i="97"/>
  <c r="G760" i="97"/>
  <c r="I760" i="97"/>
  <c r="K760" i="97"/>
  <c r="M760" i="97"/>
  <c r="O760" i="97"/>
  <c r="Q760" i="97"/>
  <c r="E761" i="97"/>
  <c r="G761" i="97"/>
  <c r="I761" i="97"/>
  <c r="K761" i="97"/>
  <c r="M761" i="97"/>
  <c r="O761" i="97"/>
  <c r="Q761" i="97"/>
  <c r="E762" i="97"/>
  <c r="G762" i="97"/>
  <c r="I762" i="97"/>
  <c r="K762" i="97"/>
  <c r="M762" i="97"/>
  <c r="O762" i="97"/>
  <c r="Q762" i="97"/>
  <c r="E763" i="97"/>
  <c r="G763" i="97"/>
  <c r="I763" i="97"/>
  <c r="K763" i="97"/>
  <c r="M763" i="97"/>
  <c r="O763" i="97"/>
  <c r="Q763" i="97"/>
  <c r="E764" i="97"/>
  <c r="G764" i="97"/>
  <c r="I764" i="97"/>
  <c r="K764" i="97"/>
  <c r="M764" i="97"/>
  <c r="O764" i="97"/>
  <c r="Q764" i="97"/>
  <c r="E765" i="97"/>
  <c r="G765" i="97"/>
  <c r="I765" i="97"/>
  <c r="K765" i="97"/>
  <c r="M765" i="97"/>
  <c r="O765" i="97"/>
  <c r="Q765" i="97"/>
  <c r="E766" i="97"/>
  <c r="G766" i="97"/>
  <c r="I766" i="97"/>
  <c r="K766" i="97"/>
  <c r="M766" i="97"/>
  <c r="O766" i="97"/>
  <c r="Q766" i="97"/>
  <c r="E767" i="97"/>
  <c r="G767" i="97"/>
  <c r="I767" i="97"/>
  <c r="K767" i="97"/>
  <c r="M767" i="97"/>
  <c r="O767" i="97"/>
  <c r="Q767" i="97"/>
  <c r="E768" i="97"/>
  <c r="G768" i="97"/>
  <c r="I768" i="97"/>
  <c r="K768" i="97"/>
  <c r="M768" i="97"/>
  <c r="O768" i="97"/>
  <c r="Q768" i="97"/>
  <c r="E769" i="97"/>
  <c r="G769" i="97"/>
  <c r="I769" i="97"/>
  <c r="K769" i="97"/>
  <c r="M769" i="97"/>
  <c r="O769" i="97"/>
  <c r="Q769" i="97"/>
  <c r="E770" i="97"/>
  <c r="G770" i="97"/>
  <c r="I770" i="97"/>
  <c r="K770" i="97"/>
  <c r="M770" i="97"/>
  <c r="O770" i="97"/>
  <c r="Q770" i="97"/>
  <c r="E771" i="97"/>
  <c r="G771" i="97"/>
  <c r="I771" i="97"/>
  <c r="K771" i="97"/>
  <c r="M771" i="97"/>
  <c r="O771" i="97"/>
  <c r="Q771" i="97"/>
  <c r="E772" i="97"/>
  <c r="G772" i="97"/>
  <c r="I772" i="97"/>
  <c r="K772" i="97"/>
  <c r="M772" i="97"/>
  <c r="O772" i="97"/>
  <c r="Q772" i="97"/>
  <c r="C773" i="97"/>
  <c r="E773" i="97"/>
  <c r="G773" i="97"/>
  <c r="I773" i="97"/>
  <c r="K773" i="97"/>
  <c r="M773" i="97"/>
  <c r="O773" i="97"/>
  <c r="Q773" i="97"/>
  <c r="C774" i="97"/>
  <c r="E774" i="97"/>
  <c r="G774" i="97"/>
  <c r="I774" i="97"/>
  <c r="K774" i="97"/>
  <c r="M774" i="97"/>
  <c r="O774" i="97"/>
  <c r="Q774" i="97"/>
  <c r="S774" i="97"/>
  <c r="C775" i="97"/>
  <c r="E775" i="97"/>
  <c r="G775" i="97"/>
  <c r="I775" i="97"/>
  <c r="K775" i="97"/>
  <c r="M775" i="97"/>
  <c r="O775" i="97"/>
  <c r="Q775" i="97"/>
  <c r="S775" i="97"/>
  <c r="C776" i="97"/>
  <c r="E776" i="97"/>
  <c r="G776" i="97"/>
  <c r="I776" i="97"/>
  <c r="K776" i="97"/>
  <c r="M776" i="97"/>
  <c r="O776" i="97"/>
  <c r="Q776" i="97"/>
  <c r="S776" i="97"/>
  <c r="C777" i="97"/>
  <c r="E777" i="97"/>
  <c r="G777" i="97"/>
  <c r="I777" i="97"/>
  <c r="K777" i="97"/>
  <c r="M777" i="97"/>
  <c r="O777" i="97"/>
  <c r="Q777" i="97"/>
  <c r="S777" i="97"/>
  <c r="C778" i="97"/>
  <c r="E778" i="97"/>
  <c r="G778" i="97"/>
  <c r="I778" i="97"/>
  <c r="K778" i="97"/>
  <c r="M778" i="97"/>
  <c r="O778" i="97"/>
  <c r="Q778" i="97"/>
  <c r="S778" i="97"/>
  <c r="C779" i="97"/>
  <c r="E779" i="97"/>
  <c r="G779" i="97"/>
  <c r="I779" i="97"/>
  <c r="K779" i="97"/>
  <c r="M779" i="97"/>
  <c r="O779" i="97"/>
  <c r="Q779" i="97"/>
  <c r="S779" i="97"/>
  <c r="C780" i="97"/>
  <c r="E780" i="97"/>
  <c r="G780" i="97"/>
  <c r="I780" i="97"/>
  <c r="K780" i="97"/>
  <c r="M780" i="97"/>
  <c r="O780" i="97"/>
  <c r="Q780" i="97"/>
  <c r="S780" i="97"/>
  <c r="C781" i="97"/>
  <c r="E781" i="97"/>
  <c r="G781" i="97"/>
  <c r="I781" i="97"/>
  <c r="K781" i="97"/>
  <c r="M781" i="97"/>
  <c r="O781" i="97"/>
  <c r="Q781" i="97"/>
  <c r="S781" i="97"/>
  <c r="C782" i="97"/>
  <c r="E782" i="97"/>
  <c r="G782" i="97"/>
  <c r="I782" i="97"/>
  <c r="K782" i="97"/>
  <c r="M782" i="97"/>
  <c r="O782" i="97"/>
  <c r="Q782" i="97"/>
  <c r="S782" i="97"/>
  <c r="C783" i="97"/>
  <c r="E783" i="97"/>
  <c r="G783" i="97"/>
  <c r="I783" i="97"/>
  <c r="K783" i="97"/>
  <c r="M783" i="97"/>
  <c r="O783" i="97"/>
  <c r="Q783" i="97"/>
  <c r="S783" i="97"/>
  <c r="C784" i="97"/>
  <c r="E784" i="97"/>
  <c r="G784" i="97"/>
  <c r="I784" i="97"/>
  <c r="K784" i="97"/>
  <c r="M784" i="97"/>
  <c r="O784" i="97"/>
  <c r="Q784" i="97"/>
  <c r="R784" i="97"/>
  <c r="S784" i="97" s="1"/>
  <c r="C785" i="97"/>
  <c r="E785" i="97"/>
  <c r="G785" i="97"/>
  <c r="I785" i="97"/>
  <c r="K785" i="97"/>
  <c r="M785" i="97"/>
  <c r="O785" i="97"/>
  <c r="Q785" i="97"/>
  <c r="R785" i="97"/>
  <c r="S785" i="97" s="1"/>
  <c r="C786" i="97"/>
  <c r="E786" i="97"/>
  <c r="G786" i="97"/>
  <c r="I786" i="97"/>
  <c r="K786" i="97"/>
  <c r="M786" i="97"/>
  <c r="O786" i="97"/>
  <c r="Q786" i="97"/>
  <c r="R786" i="97"/>
  <c r="S786" i="97" s="1"/>
  <c r="C787" i="97"/>
  <c r="E787" i="97"/>
  <c r="G787" i="97"/>
  <c r="I787" i="97"/>
  <c r="K787" i="97"/>
  <c r="M787" i="97"/>
  <c r="O787" i="97"/>
  <c r="Q787" i="97"/>
  <c r="R787" i="97"/>
  <c r="S787" i="97" s="1"/>
  <c r="C788" i="97"/>
  <c r="E788" i="97"/>
  <c r="G788" i="97"/>
  <c r="I788" i="97"/>
  <c r="K788" i="97"/>
  <c r="M788" i="97"/>
  <c r="O788" i="97"/>
  <c r="Q788" i="97"/>
  <c r="R788" i="97"/>
  <c r="S788" i="97" s="1"/>
  <c r="C789" i="97"/>
  <c r="E789" i="97"/>
  <c r="G789" i="97"/>
  <c r="I789" i="97"/>
  <c r="K789" i="97"/>
  <c r="M789" i="97"/>
  <c r="O789" i="97"/>
  <c r="Q789" i="97"/>
  <c r="R789" i="97"/>
  <c r="S789" i="97" s="1"/>
  <c r="C790" i="97"/>
  <c r="E790" i="97"/>
  <c r="G790" i="97"/>
  <c r="I790" i="97"/>
  <c r="K790" i="97"/>
  <c r="M790" i="97"/>
  <c r="O790" i="97"/>
  <c r="Q790" i="97"/>
  <c r="R790" i="97"/>
  <c r="S790" i="97" s="1"/>
  <c r="C791" i="97"/>
  <c r="E791" i="97"/>
  <c r="G791" i="97"/>
  <c r="I791" i="97"/>
  <c r="K791" i="97"/>
  <c r="M791" i="97"/>
  <c r="O791" i="97"/>
  <c r="Q791" i="97"/>
  <c r="R791" i="97"/>
  <c r="S791" i="97" s="1"/>
  <c r="C792" i="97"/>
  <c r="E792" i="97"/>
  <c r="G792" i="97"/>
  <c r="I792" i="97"/>
  <c r="K792" i="97"/>
  <c r="M792" i="97"/>
  <c r="O792" i="97"/>
  <c r="Q792" i="97"/>
  <c r="R792" i="97"/>
  <c r="S792" i="97" s="1"/>
  <c r="E525" i="97"/>
  <c r="G525" i="97"/>
  <c r="I525" i="97"/>
  <c r="K525" i="97"/>
  <c r="M525" i="97"/>
  <c r="O525" i="97"/>
  <c r="Q525" i="97"/>
  <c r="E526" i="97"/>
  <c r="G526" i="97"/>
  <c r="I526" i="97"/>
  <c r="K526" i="97"/>
  <c r="M526" i="97"/>
  <c r="O526" i="97"/>
  <c r="Q526" i="97"/>
  <c r="A25" i="97"/>
  <c r="A26" i="97"/>
  <c r="A27" i="97"/>
  <c r="A28" i="97"/>
  <c r="A29" i="97"/>
  <c r="A30" i="97"/>
  <c r="A31" i="97"/>
  <c r="A32" i="97"/>
  <c r="A33" i="97"/>
  <c r="A34" i="97"/>
  <c r="A35" i="97"/>
  <c r="A36" i="97"/>
  <c r="A37" i="97"/>
  <c r="A38" i="97"/>
  <c r="A39" i="97"/>
  <c r="A40" i="97"/>
  <c r="A41" i="97"/>
  <c r="A42" i="97"/>
  <c r="A43" i="97"/>
  <c r="A44" i="97"/>
  <c r="A45" i="97"/>
  <c r="A46" i="97"/>
  <c r="A47" i="97"/>
  <c r="A48" i="97"/>
  <c r="A49" i="97"/>
  <c r="A50" i="97"/>
  <c r="A51" i="97"/>
  <c r="A52" i="97"/>
  <c r="A53" i="97"/>
  <c r="A54" i="97"/>
  <c r="A55" i="97"/>
  <c r="A56" i="97"/>
  <c r="A57" i="97"/>
  <c r="A58" i="97"/>
  <c r="A59" i="97"/>
  <c r="A60" i="97"/>
  <c r="A61" i="97"/>
  <c r="A62" i="97"/>
  <c r="A63" i="97"/>
  <c r="A64" i="97"/>
  <c r="A65" i="97"/>
  <c r="A66" i="97"/>
  <c r="A67" i="97"/>
  <c r="A68" i="97"/>
  <c r="A69" i="97"/>
  <c r="A70" i="97"/>
  <c r="A71" i="97"/>
  <c r="A72" i="97"/>
  <c r="A73" i="97"/>
  <c r="A74" i="97"/>
  <c r="A75" i="97"/>
  <c r="A76" i="97"/>
  <c r="A77" i="97"/>
  <c r="A78" i="97"/>
  <c r="A79" i="97"/>
  <c r="A80" i="97"/>
  <c r="A81" i="97"/>
  <c r="A82" i="97"/>
  <c r="A83" i="97"/>
  <c r="A84" i="97"/>
  <c r="A85" i="97"/>
  <c r="A86" i="97"/>
  <c r="A87" i="97"/>
  <c r="A88" i="97"/>
  <c r="A89" i="97"/>
  <c r="A90" i="97"/>
  <c r="A91" i="97"/>
  <c r="A92" i="97"/>
  <c r="A93" i="97"/>
  <c r="A94" i="97"/>
  <c r="A95" i="97"/>
  <c r="A96" i="97"/>
  <c r="A97" i="97"/>
  <c r="A98" i="97"/>
  <c r="A99" i="97"/>
  <c r="A100" i="97"/>
  <c r="A101" i="97"/>
  <c r="A102" i="97"/>
  <c r="A103" i="97"/>
  <c r="A104" i="97"/>
  <c r="A105" i="97"/>
  <c r="A106" i="97"/>
  <c r="A107" i="97"/>
  <c r="A108" i="97"/>
  <c r="A109" i="97"/>
  <c r="A110" i="97"/>
  <c r="A111" i="97"/>
  <c r="A112" i="97"/>
  <c r="A113" i="97"/>
  <c r="A114" i="97"/>
  <c r="A115" i="97"/>
  <c r="A116" i="97"/>
  <c r="A117" i="97"/>
  <c r="A118" i="97"/>
  <c r="A119" i="97"/>
  <c r="A120" i="97"/>
  <c r="A121" i="97"/>
  <c r="A122" i="97"/>
  <c r="A123" i="97"/>
  <c r="A124" i="97"/>
  <c r="A125" i="97"/>
  <c r="A126" i="97"/>
  <c r="A127" i="97"/>
  <c r="A128" i="97"/>
  <c r="A129" i="97"/>
  <c r="A130" i="97"/>
  <c r="A131" i="97"/>
  <c r="A132" i="97"/>
  <c r="A133" i="97"/>
  <c r="A134" i="97"/>
  <c r="A135" i="97"/>
  <c r="A136" i="97"/>
  <c r="A137" i="97"/>
  <c r="A138" i="97"/>
  <c r="A139" i="97"/>
  <c r="A140" i="97"/>
  <c r="A141" i="97"/>
  <c r="A142" i="97"/>
  <c r="A143" i="97"/>
  <c r="A144" i="97"/>
  <c r="A145" i="97"/>
  <c r="A146" i="97"/>
  <c r="A147" i="97"/>
  <c r="A148" i="97"/>
  <c r="A149" i="97"/>
  <c r="A150" i="97"/>
  <c r="A151" i="97"/>
  <c r="A152" i="97"/>
  <c r="A153" i="97"/>
  <c r="A154" i="97"/>
  <c r="A155" i="97"/>
  <c r="A156" i="97"/>
  <c r="A157" i="97"/>
  <c r="A158" i="97"/>
  <c r="A159" i="97"/>
  <c r="A160" i="97"/>
  <c r="A161" i="97"/>
  <c r="A162" i="97"/>
  <c r="A163" i="97"/>
  <c r="A164" i="97"/>
  <c r="A165" i="97"/>
  <c r="A166" i="97"/>
  <c r="A167" i="97"/>
  <c r="A168" i="97"/>
  <c r="A169" i="97"/>
  <c r="A170" i="97"/>
  <c r="A171" i="97"/>
  <c r="A172" i="97"/>
  <c r="A173" i="97"/>
  <c r="A174" i="97"/>
  <c r="A175" i="97"/>
  <c r="A176" i="97"/>
  <c r="A177" i="97"/>
  <c r="A178" i="97"/>
  <c r="A179" i="97"/>
  <c r="A180" i="97"/>
  <c r="A181" i="97"/>
  <c r="A182" i="97"/>
  <c r="A183" i="97"/>
  <c r="A184" i="97"/>
  <c r="A185" i="97"/>
  <c r="A186" i="97"/>
  <c r="A187" i="97"/>
  <c r="A188" i="97"/>
  <c r="A189" i="97"/>
  <c r="A190" i="97"/>
  <c r="A191" i="97"/>
  <c r="A192" i="97"/>
  <c r="A193" i="97"/>
  <c r="A194" i="97"/>
  <c r="A195" i="97"/>
  <c r="A196" i="97"/>
  <c r="A197" i="97"/>
  <c r="A198" i="97"/>
  <c r="A199" i="97"/>
  <c r="A200" i="97"/>
  <c r="A201" i="97"/>
  <c r="A202" i="97"/>
  <c r="A203" i="97"/>
  <c r="A204" i="97"/>
  <c r="A205" i="97"/>
  <c r="A206" i="97"/>
  <c r="A207" i="97"/>
  <c r="A208" i="97"/>
  <c r="A209" i="97"/>
  <c r="A210" i="97"/>
  <c r="A211" i="97"/>
  <c r="A212" i="97"/>
  <c r="A213" i="97"/>
  <c r="A214" i="97"/>
  <c r="A215" i="97"/>
  <c r="A216" i="97"/>
  <c r="A217" i="97"/>
  <c r="A218" i="97"/>
  <c r="A219" i="97"/>
  <c r="A220" i="97"/>
  <c r="A221" i="97"/>
  <c r="A222" i="97"/>
  <c r="A223" i="97"/>
  <c r="A224" i="97"/>
  <c r="A225" i="97"/>
  <c r="A226" i="97"/>
  <c r="A227" i="97"/>
  <c r="A228" i="97"/>
  <c r="A229" i="97"/>
  <c r="A230" i="97"/>
  <c r="A231" i="97"/>
  <c r="A232" i="97"/>
  <c r="A233" i="97"/>
  <c r="A234" i="97"/>
  <c r="A235" i="97"/>
  <c r="A236" i="97"/>
  <c r="A237" i="97"/>
  <c r="A238" i="97"/>
  <c r="A239" i="97"/>
  <c r="A240" i="97"/>
  <c r="A241" i="97"/>
  <c r="A242" i="97"/>
  <c r="A243" i="97"/>
  <c r="A244" i="97"/>
  <c r="A245" i="97"/>
  <c r="A246" i="97"/>
  <c r="A247" i="97"/>
  <c r="A248" i="97"/>
  <c r="A249" i="97"/>
  <c r="A250" i="97"/>
  <c r="A251" i="97"/>
  <c r="A252" i="97"/>
  <c r="A253" i="97"/>
  <c r="A254" i="97"/>
  <c r="A255" i="97"/>
  <c r="A256" i="97"/>
  <c r="A257" i="97"/>
  <c r="A258" i="97"/>
  <c r="A259" i="97"/>
  <c r="A260" i="97"/>
  <c r="A261" i="97"/>
  <c r="A262" i="97"/>
  <c r="A263" i="97"/>
  <c r="A264" i="97"/>
  <c r="A265" i="97"/>
  <c r="A266" i="97"/>
  <c r="A267" i="97"/>
  <c r="A268" i="97"/>
  <c r="A269" i="97"/>
  <c r="A270" i="97"/>
  <c r="A271" i="97"/>
  <c r="A272" i="97"/>
  <c r="A273" i="97"/>
  <c r="A274" i="97"/>
  <c r="A275" i="97"/>
  <c r="A276" i="97"/>
  <c r="A277" i="97"/>
  <c r="A278" i="97"/>
  <c r="A279" i="97"/>
  <c r="A280" i="97"/>
  <c r="A281" i="97"/>
  <c r="A282" i="97"/>
  <c r="A283" i="97"/>
  <c r="A284" i="97"/>
  <c r="A285" i="97"/>
  <c r="A286" i="97"/>
  <c r="A287" i="97"/>
  <c r="A288" i="97"/>
  <c r="A289" i="97"/>
  <c r="A290" i="97"/>
  <c r="A291" i="97"/>
  <c r="A292" i="97"/>
  <c r="A293" i="97"/>
  <c r="A294" i="97"/>
  <c r="A295" i="97"/>
  <c r="A296" i="97"/>
  <c r="A297" i="97"/>
  <c r="A298" i="97"/>
  <c r="A299" i="97"/>
  <c r="A300" i="97"/>
  <c r="A301" i="97"/>
  <c r="A302" i="97"/>
  <c r="A303" i="97"/>
  <c r="A304" i="97"/>
  <c r="A305" i="97"/>
  <c r="A306" i="97"/>
  <c r="A307" i="97"/>
  <c r="A308" i="97"/>
  <c r="A309" i="97"/>
  <c r="A310" i="97"/>
  <c r="A311" i="97"/>
  <c r="A312" i="97"/>
  <c r="A313" i="97"/>
  <c r="A314" i="97"/>
  <c r="A315" i="97"/>
  <c r="A316" i="97"/>
  <c r="A317" i="97"/>
  <c r="A318" i="97"/>
  <c r="A319" i="97"/>
  <c r="A320" i="97"/>
  <c r="A321" i="97"/>
  <c r="A322" i="97"/>
  <c r="A323" i="97"/>
  <c r="A324" i="97"/>
  <c r="A325" i="97"/>
  <c r="A326" i="97"/>
  <c r="A327" i="97"/>
  <c r="A328" i="97"/>
  <c r="A329" i="97"/>
  <c r="A330" i="97"/>
  <c r="A331" i="97"/>
  <c r="A332" i="97"/>
  <c r="A333" i="97"/>
  <c r="A334" i="97"/>
  <c r="A335" i="97"/>
  <c r="A336" i="97"/>
  <c r="A337" i="97"/>
  <c r="A338" i="97"/>
  <c r="A339" i="97"/>
  <c r="A340" i="97"/>
  <c r="A341" i="97"/>
  <c r="A342" i="97"/>
  <c r="A343" i="97"/>
  <c r="A344" i="97"/>
  <c r="A345" i="97"/>
  <c r="A346" i="97"/>
  <c r="A347" i="97"/>
  <c r="A348" i="97"/>
  <c r="A349" i="97"/>
  <c r="A350" i="97"/>
  <c r="A351" i="97"/>
  <c r="A352" i="97"/>
  <c r="A353" i="97"/>
  <c r="A354" i="97"/>
  <c r="A355" i="97"/>
  <c r="A356" i="97"/>
  <c r="A357" i="97"/>
  <c r="A358" i="97"/>
  <c r="A359" i="97"/>
  <c r="A360" i="97"/>
  <c r="A361" i="97"/>
  <c r="A362" i="97"/>
  <c r="A363" i="97"/>
  <c r="A364" i="97"/>
  <c r="A365" i="97"/>
  <c r="A366" i="97"/>
  <c r="A367" i="97"/>
  <c r="A368" i="97"/>
  <c r="A369" i="97"/>
  <c r="A370" i="97"/>
  <c r="A371" i="97"/>
  <c r="A372" i="97"/>
  <c r="A373" i="97"/>
  <c r="A374" i="97"/>
  <c r="A375" i="97"/>
  <c r="A376" i="97"/>
  <c r="A377" i="97"/>
  <c r="A378" i="97"/>
  <c r="A379" i="97"/>
  <c r="A380" i="97"/>
  <c r="A381" i="97"/>
  <c r="A382" i="97"/>
  <c r="A383" i="97"/>
  <c r="A384" i="97"/>
  <c r="A385" i="97"/>
  <c r="A386" i="97"/>
  <c r="A387" i="97"/>
  <c r="A388" i="97"/>
  <c r="A389" i="97"/>
  <c r="A390" i="97"/>
  <c r="A391" i="97"/>
  <c r="A392" i="97"/>
  <c r="A393" i="97"/>
  <c r="A394" i="97"/>
  <c r="A395" i="97"/>
  <c r="A396" i="97"/>
  <c r="A397" i="97"/>
  <c r="A398" i="97"/>
  <c r="A399" i="97"/>
  <c r="A400" i="97"/>
  <c r="A401" i="97"/>
  <c r="A402" i="97"/>
  <c r="A403" i="97"/>
  <c r="A404" i="97"/>
  <c r="A405" i="97"/>
  <c r="A406" i="97"/>
  <c r="A407" i="97"/>
  <c r="A408" i="97"/>
  <c r="A409" i="97"/>
  <c r="A410" i="97"/>
  <c r="A411" i="97"/>
  <c r="A412" i="97"/>
  <c r="A413" i="97"/>
  <c r="A414" i="97"/>
  <c r="A415" i="97"/>
  <c r="A416" i="97"/>
  <c r="A417" i="97"/>
  <c r="A418" i="97"/>
  <c r="A419" i="97"/>
  <c r="A420" i="97"/>
  <c r="A421" i="97"/>
  <c r="A422" i="97"/>
  <c r="A423" i="97"/>
  <c r="A424" i="97"/>
  <c r="A425" i="97"/>
  <c r="A426" i="97"/>
  <c r="A427" i="97"/>
  <c r="A428" i="97"/>
  <c r="A429" i="97"/>
  <c r="A430" i="97"/>
  <c r="A431" i="97"/>
  <c r="A432" i="97"/>
  <c r="A433" i="97"/>
  <c r="A434" i="97"/>
  <c r="A435" i="97"/>
  <c r="A436" i="97"/>
  <c r="A437" i="97"/>
  <c r="A438" i="97"/>
  <c r="A439" i="97"/>
  <c r="A440" i="97"/>
  <c r="A441" i="97"/>
  <c r="A442" i="97"/>
  <c r="A443" i="97"/>
  <c r="A444" i="97"/>
  <c r="A445" i="97"/>
  <c r="A446" i="97"/>
  <c r="A447" i="97"/>
  <c r="A448" i="97"/>
  <c r="A449" i="97"/>
  <c r="A450" i="97"/>
  <c r="A451" i="97"/>
  <c r="A452" i="97"/>
  <c r="A453" i="97"/>
  <c r="A454" i="97"/>
  <c r="A455" i="97"/>
  <c r="A456" i="97"/>
  <c r="A457" i="97"/>
  <c r="A458" i="97"/>
  <c r="A459" i="97"/>
  <c r="A460" i="97"/>
  <c r="A461" i="97"/>
  <c r="A462" i="97"/>
  <c r="A463" i="97"/>
  <c r="A464" i="97"/>
  <c r="A465" i="97"/>
  <c r="A466" i="97"/>
  <c r="A467" i="97"/>
  <c r="A468" i="97"/>
  <c r="A469" i="97"/>
  <c r="A470" i="97"/>
  <c r="A471" i="97"/>
  <c r="A472" i="97"/>
  <c r="A473" i="97"/>
  <c r="A474" i="97"/>
  <c r="A475" i="97"/>
  <c r="A476" i="97"/>
  <c r="A477" i="97"/>
  <c r="A478" i="97"/>
  <c r="A479" i="97"/>
  <c r="A480" i="97"/>
  <c r="A481" i="97"/>
  <c r="A482" i="97"/>
  <c r="A483" i="97"/>
  <c r="A484" i="97"/>
  <c r="A485" i="97"/>
  <c r="A486" i="97"/>
  <c r="A487" i="97"/>
  <c r="A488" i="97"/>
  <c r="A489" i="97"/>
  <c r="A490" i="97"/>
  <c r="A491" i="97"/>
  <c r="A492" i="97"/>
  <c r="A493" i="97"/>
  <c r="A494" i="97"/>
  <c r="A495" i="97"/>
  <c r="A496" i="97"/>
  <c r="A497" i="97"/>
  <c r="A498" i="97"/>
  <c r="A499" i="97"/>
  <c r="A500" i="97"/>
  <c r="A501" i="97"/>
  <c r="A502" i="97"/>
  <c r="A503" i="97"/>
  <c r="A504" i="97"/>
  <c r="A505" i="97"/>
  <c r="A506" i="97"/>
  <c r="A507" i="97"/>
  <c r="A508" i="97"/>
  <c r="A509" i="97"/>
  <c r="A510" i="97"/>
  <c r="A511" i="97"/>
  <c r="A512" i="97"/>
  <c r="A513" i="97"/>
  <c r="A514" i="97"/>
  <c r="A515" i="97"/>
  <c r="A516" i="97"/>
  <c r="A517" i="97"/>
  <c r="A518" i="97"/>
  <c r="A519" i="97"/>
  <c r="A520" i="97"/>
  <c r="A521" i="97"/>
  <c r="A522" i="97"/>
  <c r="A523" i="97"/>
  <c r="A524" i="97"/>
  <c r="A525" i="97"/>
  <c r="A526" i="97"/>
  <c r="A527" i="97"/>
  <c r="A528" i="97"/>
  <c r="A529" i="97"/>
  <c r="A530" i="97"/>
  <c r="A531" i="97"/>
  <c r="A532" i="97"/>
  <c r="A533" i="97"/>
  <c r="A534" i="97"/>
  <c r="A535" i="97"/>
  <c r="A536" i="97"/>
  <c r="A537" i="97"/>
  <c r="A538" i="97"/>
  <c r="A539" i="97"/>
  <c r="A540" i="97"/>
  <c r="A541" i="97"/>
  <c r="A542" i="97"/>
  <c r="A543" i="97"/>
  <c r="A544" i="97"/>
  <c r="A545" i="97"/>
  <c r="A546" i="97"/>
  <c r="A547" i="97"/>
  <c r="A548" i="97"/>
  <c r="A549" i="97"/>
  <c r="A550" i="97"/>
  <c r="A551" i="97"/>
  <c r="A552" i="97"/>
  <c r="A553" i="97"/>
  <c r="A554" i="97"/>
  <c r="A555" i="97"/>
  <c r="A556" i="97"/>
  <c r="A557" i="97"/>
  <c r="A558" i="97"/>
  <c r="A559" i="97"/>
  <c r="A560" i="97"/>
  <c r="A561" i="97"/>
  <c r="A562" i="97"/>
  <c r="A563" i="97"/>
  <c r="A564" i="97"/>
  <c r="A565" i="97"/>
  <c r="A566" i="97"/>
  <c r="A567" i="97"/>
  <c r="A568" i="97"/>
  <c r="A569" i="97"/>
  <c r="A570" i="97"/>
  <c r="A571" i="97"/>
  <c r="A572" i="97"/>
  <c r="A573" i="97"/>
  <c r="A574" i="97"/>
  <c r="A575" i="97"/>
  <c r="A576" i="97"/>
  <c r="A577" i="97"/>
  <c r="A578" i="97"/>
  <c r="A579" i="97"/>
  <c r="A580" i="97"/>
  <c r="A581" i="97"/>
  <c r="A582" i="97"/>
  <c r="A583" i="97"/>
  <c r="A584" i="97"/>
  <c r="A585" i="97"/>
  <c r="A586" i="97"/>
  <c r="A587" i="97"/>
  <c r="A588" i="97"/>
  <c r="A589" i="97"/>
  <c r="A590" i="97"/>
  <c r="A591" i="97"/>
  <c r="A592" i="97"/>
  <c r="A593" i="97"/>
  <c r="A594" i="97"/>
  <c r="A595" i="97"/>
  <c r="A596" i="97"/>
  <c r="A597" i="97"/>
  <c r="A598" i="97"/>
  <c r="A599" i="97"/>
  <c r="A600" i="97"/>
  <c r="A601" i="97"/>
  <c r="A602" i="97"/>
  <c r="A603" i="97"/>
  <c r="A604" i="97"/>
  <c r="A605" i="97"/>
  <c r="A606" i="97"/>
  <c r="A607" i="97"/>
  <c r="A608" i="97"/>
  <c r="A609" i="97"/>
  <c r="A610" i="97"/>
  <c r="A611" i="97"/>
  <c r="A612" i="97"/>
  <c r="A613" i="97"/>
  <c r="A614" i="97"/>
  <c r="A615" i="97"/>
  <c r="A616" i="97"/>
  <c r="A617" i="97"/>
  <c r="A618" i="97"/>
  <c r="A619" i="97"/>
  <c r="A620" i="97"/>
  <c r="A621" i="97"/>
  <c r="A622" i="97"/>
  <c r="A623" i="97"/>
  <c r="A624" i="97"/>
  <c r="A625" i="97"/>
  <c r="A626" i="97"/>
  <c r="A627" i="97"/>
  <c r="A628" i="97"/>
  <c r="A629" i="97"/>
  <c r="A630" i="97"/>
  <c r="A631" i="97"/>
  <c r="A632" i="97"/>
  <c r="A633" i="97"/>
  <c r="A634" i="97"/>
  <c r="A635" i="97"/>
  <c r="A636" i="97"/>
  <c r="A637" i="97"/>
  <c r="A638" i="97"/>
  <c r="A639" i="97"/>
  <c r="A640" i="97"/>
  <c r="A641" i="97"/>
  <c r="A642" i="97"/>
  <c r="A643" i="97"/>
  <c r="A644" i="97"/>
  <c r="A645" i="97"/>
  <c r="A646" i="97"/>
  <c r="A647" i="97"/>
  <c r="A648" i="97"/>
  <c r="A649" i="97"/>
  <c r="A650" i="97"/>
  <c r="A651" i="97"/>
  <c r="A652" i="97"/>
  <c r="A653" i="97"/>
  <c r="A654" i="97"/>
  <c r="A655" i="97"/>
  <c r="A656" i="97"/>
  <c r="A657" i="97"/>
  <c r="A658" i="97"/>
  <c r="A659" i="97"/>
  <c r="A660" i="97"/>
  <c r="A661" i="97"/>
  <c r="A662" i="97"/>
  <c r="A663" i="97"/>
  <c r="A664" i="97"/>
  <c r="A665" i="97"/>
  <c r="A666" i="97"/>
  <c r="A667" i="97"/>
  <c r="A668" i="97"/>
  <c r="A669" i="97"/>
  <c r="A670" i="97"/>
  <c r="A671" i="97"/>
  <c r="A672" i="97"/>
  <c r="A673" i="97"/>
  <c r="A674" i="97"/>
  <c r="A675" i="97"/>
  <c r="A676" i="97"/>
  <c r="A677" i="97"/>
  <c r="A678" i="97"/>
  <c r="A679" i="97"/>
  <c r="A680" i="97"/>
  <c r="A681" i="97"/>
  <c r="A682" i="97"/>
  <c r="A683" i="97"/>
  <c r="A684" i="97"/>
  <c r="A685" i="97"/>
  <c r="A686" i="97"/>
  <c r="A687" i="97"/>
  <c r="A688" i="97"/>
  <c r="A689" i="97"/>
  <c r="A690" i="97"/>
  <c r="A691" i="97"/>
  <c r="A692" i="97"/>
  <c r="A693" i="97"/>
  <c r="A694" i="97"/>
  <c r="A695" i="97"/>
  <c r="A696" i="97"/>
  <c r="A697" i="97"/>
  <c r="A698" i="97"/>
  <c r="A699" i="97"/>
  <c r="A700" i="97"/>
  <c r="A701" i="97"/>
  <c r="A702" i="97"/>
  <c r="A703" i="97"/>
  <c r="A704" i="97"/>
  <c r="A705" i="97"/>
  <c r="A706" i="97"/>
  <c r="A707" i="97"/>
  <c r="A708" i="97"/>
  <c r="A709" i="97"/>
  <c r="A710" i="97"/>
  <c r="A711" i="97"/>
  <c r="A712" i="97"/>
  <c r="A713" i="97"/>
  <c r="A714" i="97"/>
  <c r="A715" i="97"/>
  <c r="A716" i="97"/>
  <c r="A717" i="97"/>
  <c r="A718" i="97"/>
  <c r="A719" i="97"/>
  <c r="A720" i="97"/>
  <c r="A721" i="97"/>
  <c r="A722" i="97"/>
  <c r="A723" i="97"/>
  <c r="A724" i="97"/>
  <c r="A725" i="97"/>
  <c r="A726" i="97"/>
  <c r="A727" i="97"/>
  <c r="A728" i="97"/>
  <c r="A729" i="97"/>
  <c r="A730" i="97"/>
  <c r="A731" i="97"/>
  <c r="A732" i="97"/>
  <c r="A733" i="97"/>
  <c r="A734" i="97"/>
  <c r="A735" i="97"/>
  <c r="A736" i="97"/>
  <c r="A737" i="97"/>
  <c r="A738" i="97"/>
  <c r="A739" i="97"/>
  <c r="A740" i="97"/>
  <c r="A741" i="97"/>
  <c r="A742" i="97"/>
  <c r="A743" i="97"/>
  <c r="A744" i="97"/>
  <c r="A745" i="97"/>
  <c r="A746" i="97"/>
  <c r="A747" i="97"/>
  <c r="A748" i="97"/>
  <c r="A749" i="97"/>
  <c r="A750" i="97"/>
  <c r="A751" i="97"/>
  <c r="A752" i="97"/>
  <c r="A753" i="97"/>
  <c r="A754" i="97"/>
  <c r="A755" i="97"/>
  <c r="A756" i="97"/>
  <c r="A757" i="97"/>
  <c r="A758" i="97"/>
  <c r="A759" i="97"/>
  <c r="A760" i="97"/>
  <c r="A761" i="97"/>
  <c r="A762" i="97"/>
  <c r="A763" i="97"/>
  <c r="A764" i="97"/>
  <c r="A765" i="97"/>
  <c r="A766" i="97"/>
  <c r="A767" i="97"/>
  <c r="A768" i="97"/>
  <c r="A769" i="97"/>
  <c r="A770" i="97"/>
  <c r="A771" i="97"/>
  <c r="A772" i="97"/>
  <c r="A24" i="97"/>
  <c r="Q524" i="97"/>
  <c r="O524" i="97"/>
  <c r="M524" i="97"/>
  <c r="K524" i="97"/>
  <c r="I524" i="97"/>
  <c r="G524" i="97"/>
  <c r="E524" i="97"/>
  <c r="Q523" i="97"/>
  <c r="O523" i="97"/>
  <c r="M523" i="97"/>
  <c r="K523" i="97"/>
  <c r="I523" i="97"/>
  <c r="G523" i="97"/>
  <c r="E523" i="97"/>
  <c r="Q522" i="97"/>
  <c r="O522" i="97"/>
  <c r="M522" i="97"/>
  <c r="K522" i="97"/>
  <c r="I522" i="97"/>
  <c r="G522" i="97"/>
  <c r="E522" i="97"/>
  <c r="Q521" i="97"/>
  <c r="O521" i="97"/>
  <c r="M521" i="97"/>
  <c r="K521" i="97"/>
  <c r="I521" i="97"/>
  <c r="G521" i="97"/>
  <c r="E521" i="97"/>
  <c r="Q520" i="97"/>
  <c r="O520" i="97"/>
  <c r="M520" i="97"/>
  <c r="K520" i="97"/>
  <c r="I520" i="97"/>
  <c r="G520" i="97"/>
  <c r="E520" i="97"/>
  <c r="Q519" i="97"/>
  <c r="O519" i="97"/>
  <c r="M519" i="97"/>
  <c r="K519" i="97"/>
  <c r="I519" i="97"/>
  <c r="G519" i="97"/>
  <c r="E519" i="97"/>
  <c r="Q518" i="97"/>
  <c r="O518" i="97"/>
  <c r="M518" i="97"/>
  <c r="K518" i="97"/>
  <c r="I518" i="97"/>
  <c r="G518" i="97"/>
  <c r="E518" i="97"/>
  <c r="Q517" i="97"/>
  <c r="O517" i="97"/>
  <c r="M517" i="97"/>
  <c r="K517" i="97"/>
  <c r="I517" i="97"/>
  <c r="G517" i="97"/>
  <c r="E517" i="97"/>
  <c r="Q516" i="97"/>
  <c r="O516" i="97"/>
  <c r="M516" i="97"/>
  <c r="K516" i="97"/>
  <c r="I516" i="97"/>
  <c r="G516" i="97"/>
  <c r="E516" i="97"/>
  <c r="Q515" i="97"/>
  <c r="O515" i="97"/>
  <c r="M515" i="97"/>
  <c r="K515" i="97"/>
  <c r="I515" i="97"/>
  <c r="G515" i="97"/>
  <c r="E515" i="97"/>
  <c r="Q514" i="97"/>
  <c r="O514" i="97"/>
  <c r="M514" i="97"/>
  <c r="K514" i="97"/>
  <c r="I514" i="97"/>
  <c r="G514" i="97"/>
  <c r="E514" i="97"/>
  <c r="Q513" i="97"/>
  <c r="O513" i="97"/>
  <c r="M513" i="97"/>
  <c r="K513" i="97"/>
  <c r="I513" i="97"/>
  <c r="G513" i="97"/>
  <c r="E513" i="97"/>
  <c r="Q512" i="97"/>
  <c r="O512" i="97"/>
  <c r="M512" i="97"/>
  <c r="K512" i="97"/>
  <c r="I512" i="97"/>
  <c r="G512" i="97"/>
  <c r="E512" i="97"/>
  <c r="Q511" i="97"/>
  <c r="O511" i="97"/>
  <c r="M511" i="97"/>
  <c r="K511" i="97"/>
  <c r="I511" i="97"/>
  <c r="G511" i="97"/>
  <c r="E511" i="97"/>
  <c r="Q510" i="97"/>
  <c r="O510" i="97"/>
  <c r="M510" i="97"/>
  <c r="K510" i="97"/>
  <c r="I510" i="97"/>
  <c r="G510" i="97"/>
  <c r="E510" i="97"/>
  <c r="Q509" i="97"/>
  <c r="O509" i="97"/>
  <c r="M509" i="97"/>
  <c r="K509" i="97"/>
  <c r="I509" i="97"/>
  <c r="G509" i="97"/>
  <c r="E509" i="97"/>
  <c r="Q508" i="97"/>
  <c r="O508" i="97"/>
  <c r="M508" i="97"/>
  <c r="K508" i="97"/>
  <c r="I508" i="97"/>
  <c r="G508" i="97"/>
  <c r="E508" i="97"/>
  <c r="Q507" i="97"/>
  <c r="O507" i="97"/>
  <c r="M507" i="97"/>
  <c r="K507" i="97"/>
  <c r="I507" i="97"/>
  <c r="G507" i="97"/>
  <c r="E507" i="97"/>
  <c r="Q506" i="97"/>
  <c r="O506" i="97"/>
  <c r="M506" i="97"/>
  <c r="K506" i="97"/>
  <c r="I506" i="97"/>
  <c r="G506" i="97"/>
  <c r="E506" i="97"/>
  <c r="Q505" i="97"/>
  <c r="O505" i="97"/>
  <c r="M505" i="97"/>
  <c r="K505" i="97"/>
  <c r="I505" i="97"/>
  <c r="G505" i="97"/>
  <c r="E505" i="97"/>
  <c r="Q504" i="97"/>
  <c r="O504" i="97"/>
  <c r="M504" i="97"/>
  <c r="K504" i="97"/>
  <c r="I504" i="97"/>
  <c r="G504" i="97"/>
  <c r="E504" i="97"/>
  <c r="Q503" i="97"/>
  <c r="O503" i="97"/>
  <c r="M503" i="97"/>
  <c r="K503" i="97"/>
  <c r="I503" i="97"/>
  <c r="G503" i="97"/>
  <c r="E503" i="97"/>
  <c r="Q502" i="97"/>
  <c r="O502" i="97"/>
  <c r="M502" i="97"/>
  <c r="K502" i="97"/>
  <c r="I502" i="97"/>
  <c r="G502" i="97"/>
  <c r="E502" i="97"/>
  <c r="Q501" i="97"/>
  <c r="O501" i="97"/>
  <c r="M501" i="97"/>
  <c r="K501" i="97"/>
  <c r="I501" i="97"/>
  <c r="G501" i="97"/>
  <c r="E501" i="97"/>
  <c r="Q500" i="97"/>
  <c r="O500" i="97"/>
  <c r="M500" i="97"/>
  <c r="K500" i="97"/>
  <c r="I500" i="97"/>
  <c r="G500" i="97"/>
  <c r="E500" i="97"/>
  <c r="Q499" i="97"/>
  <c r="O499" i="97"/>
  <c r="M499" i="97"/>
  <c r="K499" i="97"/>
  <c r="I499" i="97"/>
  <c r="G499" i="97"/>
  <c r="E499" i="97"/>
  <c r="Q498" i="97"/>
  <c r="O498" i="97"/>
  <c r="M498" i="97"/>
  <c r="K498" i="97"/>
  <c r="I498" i="97"/>
  <c r="G498" i="97"/>
  <c r="E498" i="97"/>
  <c r="Q497" i="97"/>
  <c r="O497" i="97"/>
  <c r="M497" i="97"/>
  <c r="K497" i="97"/>
  <c r="I497" i="97"/>
  <c r="G497" i="97"/>
  <c r="E497" i="97"/>
  <c r="Q496" i="97"/>
  <c r="O496" i="97"/>
  <c r="M496" i="97"/>
  <c r="K496" i="97"/>
  <c r="I496" i="97"/>
  <c r="G496" i="97"/>
  <c r="E496" i="97"/>
  <c r="Q495" i="97"/>
  <c r="O495" i="97"/>
  <c r="M495" i="97"/>
  <c r="K495" i="97"/>
  <c r="I495" i="97"/>
  <c r="G495" i="97"/>
  <c r="E495" i="97"/>
  <c r="Q494" i="97"/>
  <c r="O494" i="97"/>
  <c r="M494" i="97"/>
  <c r="K494" i="97"/>
  <c r="I494" i="97"/>
  <c r="G494" i="97"/>
  <c r="E494" i="97"/>
  <c r="Q493" i="97"/>
  <c r="O493" i="97"/>
  <c r="M493" i="97"/>
  <c r="K493" i="97"/>
  <c r="I493" i="97"/>
  <c r="G493" i="97"/>
  <c r="E493" i="97"/>
  <c r="Q492" i="97"/>
  <c r="O492" i="97"/>
  <c r="M492" i="97"/>
  <c r="K492" i="97"/>
  <c r="I492" i="97"/>
  <c r="G492" i="97"/>
  <c r="E492" i="97"/>
  <c r="Q491" i="97"/>
  <c r="O491" i="97"/>
  <c r="M491" i="97"/>
  <c r="K491" i="97"/>
  <c r="I491" i="97"/>
  <c r="G491" i="97"/>
  <c r="E491" i="97"/>
  <c r="Q490" i="97"/>
  <c r="O490" i="97"/>
  <c r="M490" i="97"/>
  <c r="K490" i="97"/>
  <c r="I490" i="97"/>
  <c r="G490" i="97"/>
  <c r="E490" i="97"/>
  <c r="Q489" i="97"/>
  <c r="O489" i="97"/>
  <c r="M489" i="97"/>
  <c r="K489" i="97"/>
  <c r="I489" i="97"/>
  <c r="G489" i="97"/>
  <c r="E489" i="97"/>
  <c r="Q488" i="97"/>
  <c r="O488" i="97"/>
  <c r="M488" i="97"/>
  <c r="K488" i="97"/>
  <c r="I488" i="97"/>
  <c r="G488" i="97"/>
  <c r="E488" i="97"/>
  <c r="Q487" i="97"/>
  <c r="O487" i="97"/>
  <c r="M487" i="97"/>
  <c r="K487" i="97"/>
  <c r="I487" i="97"/>
  <c r="G487" i="97"/>
  <c r="E487" i="97"/>
  <c r="Q486" i="97"/>
  <c r="O486" i="97"/>
  <c r="M486" i="97"/>
  <c r="K486" i="97"/>
  <c r="I486" i="97"/>
  <c r="G486" i="97"/>
  <c r="E486" i="97"/>
  <c r="Q485" i="97"/>
  <c r="O485" i="97"/>
  <c r="M485" i="97"/>
  <c r="K485" i="97"/>
  <c r="I485" i="97"/>
  <c r="G485" i="97"/>
  <c r="E485" i="97"/>
  <c r="Q484" i="97"/>
  <c r="O484" i="97"/>
  <c r="M484" i="97"/>
  <c r="K484" i="97"/>
  <c r="I484" i="97"/>
  <c r="G484" i="97"/>
  <c r="E484" i="97"/>
  <c r="Q483" i="97"/>
  <c r="O483" i="97"/>
  <c r="M483" i="97"/>
  <c r="K483" i="97"/>
  <c r="I483" i="97"/>
  <c r="G483" i="97"/>
  <c r="E483" i="97"/>
  <c r="Q482" i="97"/>
  <c r="O482" i="97"/>
  <c r="M482" i="97"/>
  <c r="K482" i="97"/>
  <c r="I482" i="97"/>
  <c r="G482" i="97"/>
  <c r="E482" i="97"/>
  <c r="Q481" i="97"/>
  <c r="O481" i="97"/>
  <c r="M481" i="97"/>
  <c r="K481" i="97"/>
  <c r="I481" i="97"/>
  <c r="G481" i="97"/>
  <c r="E481" i="97"/>
  <c r="Q480" i="97"/>
  <c r="O480" i="97"/>
  <c r="M480" i="97"/>
  <c r="K480" i="97"/>
  <c r="I480" i="97"/>
  <c r="G480" i="97"/>
  <c r="E480" i="97"/>
  <c r="Q479" i="97"/>
  <c r="O479" i="97"/>
  <c r="M479" i="97"/>
  <c r="K479" i="97"/>
  <c r="I479" i="97"/>
  <c r="G479" i="97"/>
  <c r="E479" i="97"/>
  <c r="Q478" i="97"/>
  <c r="O478" i="97"/>
  <c r="M478" i="97"/>
  <c r="K478" i="97"/>
  <c r="I478" i="97"/>
  <c r="G478" i="97"/>
  <c r="E478" i="97"/>
  <c r="Q477" i="97"/>
  <c r="O477" i="97"/>
  <c r="M477" i="97"/>
  <c r="K477" i="97"/>
  <c r="I477" i="97"/>
  <c r="G477" i="97"/>
  <c r="E477" i="97"/>
  <c r="Q476" i="97"/>
  <c r="O476" i="97"/>
  <c r="M476" i="97"/>
  <c r="K476" i="97"/>
  <c r="I476" i="97"/>
  <c r="G476" i="97"/>
  <c r="E476" i="97"/>
  <c r="Q475" i="97"/>
  <c r="O475" i="97"/>
  <c r="M475" i="97"/>
  <c r="K475" i="97"/>
  <c r="I475" i="97"/>
  <c r="G475" i="97"/>
  <c r="E475" i="97"/>
  <c r="Q474" i="97"/>
  <c r="O474" i="97"/>
  <c r="M474" i="97"/>
  <c r="K474" i="97"/>
  <c r="I474" i="97"/>
  <c r="G474" i="97"/>
  <c r="E474" i="97"/>
  <c r="Q473" i="97"/>
  <c r="O473" i="97"/>
  <c r="M473" i="97"/>
  <c r="K473" i="97"/>
  <c r="I473" i="97"/>
  <c r="G473" i="97"/>
  <c r="E473" i="97"/>
  <c r="Q472" i="97"/>
  <c r="O472" i="97"/>
  <c r="M472" i="97"/>
  <c r="K472" i="97"/>
  <c r="I472" i="97"/>
  <c r="G472" i="97"/>
  <c r="E472" i="97"/>
  <c r="Q471" i="97"/>
  <c r="O471" i="97"/>
  <c r="M471" i="97"/>
  <c r="K471" i="97"/>
  <c r="I471" i="97"/>
  <c r="G471" i="97"/>
  <c r="E471" i="97"/>
  <c r="Q470" i="97"/>
  <c r="O470" i="97"/>
  <c r="M470" i="97"/>
  <c r="K470" i="97"/>
  <c r="I470" i="97"/>
  <c r="G470" i="97"/>
  <c r="E470" i="97"/>
  <c r="Q469" i="97"/>
  <c r="O469" i="97"/>
  <c r="M469" i="97"/>
  <c r="K469" i="97"/>
  <c r="I469" i="97"/>
  <c r="G469" i="97"/>
  <c r="E469" i="97"/>
  <c r="Q468" i="97"/>
  <c r="O468" i="97"/>
  <c r="M468" i="97"/>
  <c r="K468" i="97"/>
  <c r="I468" i="97"/>
  <c r="G468" i="97"/>
  <c r="E468" i="97"/>
  <c r="Q467" i="97"/>
  <c r="O467" i="97"/>
  <c r="M467" i="97"/>
  <c r="K467" i="97"/>
  <c r="I467" i="97"/>
  <c r="G467" i="97"/>
  <c r="E467" i="97"/>
  <c r="Q466" i="97"/>
  <c r="O466" i="97"/>
  <c r="M466" i="97"/>
  <c r="K466" i="97"/>
  <c r="I466" i="97"/>
  <c r="G466" i="97"/>
  <c r="E466" i="97"/>
  <c r="Q465" i="97"/>
  <c r="O465" i="97"/>
  <c r="M465" i="97"/>
  <c r="K465" i="97"/>
  <c r="I465" i="97"/>
  <c r="G465" i="97"/>
  <c r="E465" i="97"/>
  <c r="Q464" i="97"/>
  <c r="O464" i="97"/>
  <c r="M464" i="97"/>
  <c r="K464" i="97"/>
  <c r="I464" i="97"/>
  <c r="G464" i="97"/>
  <c r="E464" i="97"/>
  <c r="Q463" i="97"/>
  <c r="O463" i="97"/>
  <c r="M463" i="97"/>
  <c r="K463" i="97"/>
  <c r="I463" i="97"/>
  <c r="G463" i="97"/>
  <c r="E463" i="97"/>
  <c r="Q462" i="97"/>
  <c r="O462" i="97"/>
  <c r="M462" i="97"/>
  <c r="K462" i="97"/>
  <c r="I462" i="97"/>
  <c r="G462" i="97"/>
  <c r="E462" i="97"/>
  <c r="Q461" i="97"/>
  <c r="O461" i="97"/>
  <c r="M461" i="97"/>
  <c r="K461" i="97"/>
  <c r="I461" i="97"/>
  <c r="G461" i="97"/>
  <c r="E461" i="97"/>
  <c r="Q460" i="97"/>
  <c r="O460" i="97"/>
  <c r="M460" i="97"/>
  <c r="K460" i="97"/>
  <c r="I460" i="97"/>
  <c r="G460" i="97"/>
  <c r="E460" i="97"/>
  <c r="Q459" i="97"/>
  <c r="O459" i="97"/>
  <c r="M459" i="97"/>
  <c r="K459" i="97"/>
  <c r="I459" i="97"/>
  <c r="G459" i="97"/>
  <c r="E459" i="97"/>
  <c r="Q458" i="97"/>
  <c r="O458" i="97"/>
  <c r="M458" i="97"/>
  <c r="K458" i="97"/>
  <c r="I458" i="97"/>
  <c r="G458" i="97"/>
  <c r="E458" i="97"/>
  <c r="Q457" i="97"/>
  <c r="O457" i="97"/>
  <c r="M457" i="97"/>
  <c r="K457" i="97"/>
  <c r="I457" i="97"/>
  <c r="G457" i="97"/>
  <c r="E457" i="97"/>
  <c r="Q456" i="97"/>
  <c r="O456" i="97"/>
  <c r="M456" i="97"/>
  <c r="K456" i="97"/>
  <c r="I456" i="97"/>
  <c r="G456" i="97"/>
  <c r="E456" i="97"/>
  <c r="Q455" i="97"/>
  <c r="O455" i="97"/>
  <c r="M455" i="97"/>
  <c r="K455" i="97"/>
  <c r="I455" i="97"/>
  <c r="G455" i="97"/>
  <c r="E455" i="97"/>
  <c r="Q454" i="97"/>
  <c r="O454" i="97"/>
  <c r="M454" i="97"/>
  <c r="K454" i="97"/>
  <c r="I454" i="97"/>
  <c r="G454" i="97"/>
  <c r="E454" i="97"/>
  <c r="Q453" i="97"/>
  <c r="O453" i="97"/>
  <c r="M453" i="97"/>
  <c r="K453" i="97"/>
  <c r="I453" i="97"/>
  <c r="G453" i="97"/>
  <c r="E453" i="97"/>
  <c r="Q452" i="97"/>
  <c r="O452" i="97"/>
  <c r="M452" i="97"/>
  <c r="K452" i="97"/>
  <c r="I452" i="97"/>
  <c r="G452" i="97"/>
  <c r="E452" i="97"/>
  <c r="Q451" i="97"/>
  <c r="O451" i="97"/>
  <c r="M451" i="97"/>
  <c r="K451" i="97"/>
  <c r="I451" i="97"/>
  <c r="G451" i="97"/>
  <c r="E451" i="97"/>
  <c r="Q450" i="97"/>
  <c r="O450" i="97"/>
  <c r="M450" i="97"/>
  <c r="K450" i="97"/>
  <c r="I450" i="97"/>
  <c r="G450" i="97"/>
  <c r="E450" i="97"/>
  <c r="Q449" i="97"/>
  <c r="O449" i="97"/>
  <c r="M449" i="97"/>
  <c r="K449" i="97"/>
  <c r="I449" i="97"/>
  <c r="G449" i="97"/>
  <c r="E449" i="97"/>
  <c r="Q448" i="97"/>
  <c r="O448" i="97"/>
  <c r="M448" i="97"/>
  <c r="K448" i="97"/>
  <c r="I448" i="97"/>
  <c r="G448" i="97"/>
  <c r="E448" i="97"/>
  <c r="Q447" i="97"/>
  <c r="O447" i="97"/>
  <c r="M447" i="97"/>
  <c r="K447" i="97"/>
  <c r="I447" i="97"/>
  <c r="G447" i="97"/>
  <c r="E447" i="97"/>
  <c r="Q446" i="97"/>
  <c r="O446" i="97"/>
  <c r="M446" i="97"/>
  <c r="K446" i="97"/>
  <c r="I446" i="97"/>
  <c r="G446" i="97"/>
  <c r="E446" i="97"/>
  <c r="Q445" i="97"/>
  <c r="O445" i="97"/>
  <c r="M445" i="97"/>
  <c r="K445" i="97"/>
  <c r="I445" i="97"/>
  <c r="G445" i="97"/>
  <c r="E445" i="97"/>
  <c r="Q444" i="97"/>
  <c r="O444" i="97"/>
  <c r="M444" i="97"/>
  <c r="K444" i="97"/>
  <c r="I444" i="97"/>
  <c r="G444" i="97"/>
  <c r="E444" i="97"/>
  <c r="Q443" i="97"/>
  <c r="O443" i="97"/>
  <c r="M443" i="97"/>
  <c r="K443" i="97"/>
  <c r="I443" i="97"/>
  <c r="G443" i="97"/>
  <c r="E443" i="97"/>
  <c r="Q442" i="97"/>
  <c r="O442" i="97"/>
  <c r="M442" i="97"/>
  <c r="K442" i="97"/>
  <c r="I442" i="97"/>
  <c r="G442" i="97"/>
  <c r="E442" i="97"/>
  <c r="Q441" i="97"/>
  <c r="O441" i="97"/>
  <c r="M441" i="97"/>
  <c r="K441" i="97"/>
  <c r="I441" i="97"/>
  <c r="G441" i="97"/>
  <c r="E441" i="97"/>
  <c r="Q440" i="97"/>
  <c r="O440" i="97"/>
  <c r="M440" i="97"/>
  <c r="K440" i="97"/>
  <c r="I440" i="97"/>
  <c r="G440" i="97"/>
  <c r="E440" i="97"/>
  <c r="Q439" i="97"/>
  <c r="O439" i="97"/>
  <c r="M439" i="97"/>
  <c r="K439" i="97"/>
  <c r="I439" i="97"/>
  <c r="G439" i="97"/>
  <c r="E439" i="97"/>
  <c r="Q438" i="97"/>
  <c r="O438" i="97"/>
  <c r="M438" i="97"/>
  <c r="K438" i="97"/>
  <c r="I438" i="97"/>
  <c r="G438" i="97"/>
  <c r="E438" i="97"/>
  <c r="Q437" i="97"/>
  <c r="O437" i="97"/>
  <c r="M437" i="97"/>
  <c r="K437" i="97"/>
  <c r="I437" i="97"/>
  <c r="G437" i="97"/>
  <c r="E437" i="97"/>
  <c r="Q436" i="97"/>
  <c r="O436" i="97"/>
  <c r="M436" i="97"/>
  <c r="K436" i="97"/>
  <c r="I436" i="97"/>
  <c r="G436" i="97"/>
  <c r="E436" i="97"/>
  <c r="Q435" i="97"/>
  <c r="O435" i="97"/>
  <c r="M435" i="97"/>
  <c r="K435" i="97"/>
  <c r="I435" i="97"/>
  <c r="G435" i="97"/>
  <c r="E435" i="97"/>
  <c r="Q434" i="97"/>
  <c r="O434" i="97"/>
  <c r="M434" i="97"/>
  <c r="K434" i="97"/>
  <c r="I434" i="97"/>
  <c r="G434" i="97"/>
  <c r="E434" i="97"/>
  <c r="Q433" i="97"/>
  <c r="O433" i="97"/>
  <c r="M433" i="97"/>
  <c r="K433" i="97"/>
  <c r="I433" i="97"/>
  <c r="G433" i="97"/>
  <c r="E433" i="97"/>
  <c r="Q432" i="97"/>
  <c r="O432" i="97"/>
  <c r="M432" i="97"/>
  <c r="K432" i="97"/>
  <c r="I432" i="97"/>
  <c r="G432" i="97"/>
  <c r="E432" i="97"/>
  <c r="Q431" i="97"/>
  <c r="O431" i="97"/>
  <c r="M431" i="97"/>
  <c r="K431" i="97"/>
  <c r="I431" i="97"/>
  <c r="G431" i="97"/>
  <c r="E431" i="97"/>
  <c r="Q430" i="97"/>
  <c r="O430" i="97"/>
  <c r="M430" i="97"/>
  <c r="K430" i="97"/>
  <c r="I430" i="97"/>
  <c r="G430" i="97"/>
  <c r="E430" i="97"/>
  <c r="Q429" i="97"/>
  <c r="O429" i="97"/>
  <c r="M429" i="97"/>
  <c r="K429" i="97"/>
  <c r="I429" i="97"/>
  <c r="G429" i="97"/>
  <c r="E429" i="97"/>
  <c r="Q428" i="97"/>
  <c r="O428" i="97"/>
  <c r="M428" i="97"/>
  <c r="K428" i="97"/>
  <c r="I428" i="97"/>
  <c r="G428" i="97"/>
  <c r="E428" i="97"/>
  <c r="Q427" i="97"/>
  <c r="O427" i="97"/>
  <c r="M427" i="97"/>
  <c r="K427" i="97"/>
  <c r="I427" i="97"/>
  <c r="G427" i="97"/>
  <c r="E427" i="97"/>
  <c r="Q426" i="97"/>
  <c r="O426" i="97"/>
  <c r="M426" i="97"/>
  <c r="K426" i="97"/>
  <c r="I426" i="97"/>
  <c r="G426" i="97"/>
  <c r="E426" i="97"/>
  <c r="Q425" i="97"/>
  <c r="O425" i="97"/>
  <c r="M425" i="97"/>
  <c r="K425" i="97"/>
  <c r="I425" i="97"/>
  <c r="G425" i="97"/>
  <c r="E425" i="97"/>
  <c r="Q424" i="97"/>
  <c r="O424" i="97"/>
  <c r="M424" i="97"/>
  <c r="K424" i="97"/>
  <c r="I424" i="97"/>
  <c r="G424" i="97"/>
  <c r="E424" i="97"/>
  <c r="Q423" i="97"/>
  <c r="O423" i="97"/>
  <c r="M423" i="97"/>
  <c r="K423" i="97"/>
  <c r="I423" i="97"/>
  <c r="G423" i="97"/>
  <c r="E423" i="97"/>
  <c r="Q422" i="97"/>
  <c r="O422" i="97"/>
  <c r="M422" i="97"/>
  <c r="K422" i="97"/>
  <c r="I422" i="97"/>
  <c r="G422" i="97"/>
  <c r="E422" i="97"/>
  <c r="Q421" i="97"/>
  <c r="O421" i="97"/>
  <c r="M421" i="97"/>
  <c r="K421" i="97"/>
  <c r="I421" i="97"/>
  <c r="G421" i="97"/>
  <c r="E421" i="97"/>
  <c r="Q420" i="97"/>
  <c r="O420" i="97"/>
  <c r="M420" i="97"/>
  <c r="K420" i="97"/>
  <c r="I420" i="97"/>
  <c r="G420" i="97"/>
  <c r="E420" i="97"/>
  <c r="Q419" i="97"/>
  <c r="O419" i="97"/>
  <c r="M419" i="97"/>
  <c r="K419" i="97"/>
  <c r="I419" i="97"/>
  <c r="G419" i="97"/>
  <c r="E419" i="97"/>
  <c r="Q418" i="97"/>
  <c r="O418" i="97"/>
  <c r="M418" i="97"/>
  <c r="K418" i="97"/>
  <c r="I418" i="97"/>
  <c r="G418" i="97"/>
  <c r="E418" i="97"/>
  <c r="Q417" i="97"/>
  <c r="O417" i="97"/>
  <c r="M417" i="97"/>
  <c r="K417" i="97"/>
  <c r="I417" i="97"/>
  <c r="G417" i="97"/>
  <c r="E417" i="97"/>
  <c r="Q416" i="97"/>
  <c r="O416" i="97"/>
  <c r="M416" i="97"/>
  <c r="K416" i="97"/>
  <c r="I416" i="97"/>
  <c r="G416" i="97"/>
  <c r="E416" i="97"/>
  <c r="Q415" i="97"/>
  <c r="O415" i="97"/>
  <c r="M415" i="97"/>
  <c r="K415" i="97"/>
  <c r="I415" i="97"/>
  <c r="G415" i="97"/>
  <c r="E415" i="97"/>
  <c r="Q414" i="97"/>
  <c r="O414" i="97"/>
  <c r="M414" i="97"/>
  <c r="K414" i="97"/>
  <c r="I414" i="97"/>
  <c r="G414" i="97"/>
  <c r="E414" i="97"/>
  <c r="Q413" i="97"/>
  <c r="O413" i="97"/>
  <c r="M413" i="97"/>
  <c r="K413" i="97"/>
  <c r="I413" i="97"/>
  <c r="G413" i="97"/>
  <c r="E413" i="97"/>
  <c r="Q412" i="97"/>
  <c r="O412" i="97"/>
  <c r="M412" i="97"/>
  <c r="K412" i="97"/>
  <c r="I412" i="97"/>
  <c r="G412" i="97"/>
  <c r="E412" i="97"/>
  <c r="Q411" i="97"/>
  <c r="O411" i="97"/>
  <c r="M411" i="97"/>
  <c r="K411" i="97"/>
  <c r="I411" i="97"/>
  <c r="G411" i="97"/>
  <c r="E411" i="97"/>
  <c r="Q410" i="97"/>
  <c r="O410" i="97"/>
  <c r="M410" i="97"/>
  <c r="K410" i="97"/>
  <c r="I410" i="97"/>
  <c r="G410" i="97"/>
  <c r="E410" i="97"/>
  <c r="Q409" i="97"/>
  <c r="O409" i="97"/>
  <c r="M409" i="97"/>
  <c r="K409" i="97"/>
  <c r="I409" i="97"/>
  <c r="G409" i="97"/>
  <c r="E409" i="97"/>
  <c r="Q408" i="97"/>
  <c r="O408" i="97"/>
  <c r="M408" i="97"/>
  <c r="K408" i="97"/>
  <c r="I408" i="97"/>
  <c r="G408" i="97"/>
  <c r="E408" i="97"/>
  <c r="Q407" i="97"/>
  <c r="O407" i="97"/>
  <c r="M407" i="97"/>
  <c r="K407" i="97"/>
  <c r="I407" i="97"/>
  <c r="G407" i="97"/>
  <c r="E407" i="97"/>
  <c r="Q406" i="97"/>
  <c r="O406" i="97"/>
  <c r="M406" i="97"/>
  <c r="K406" i="97"/>
  <c r="I406" i="97"/>
  <c r="G406" i="97"/>
  <c r="E406" i="97"/>
  <c r="Q405" i="97"/>
  <c r="O405" i="97"/>
  <c r="M405" i="97"/>
  <c r="K405" i="97"/>
  <c r="I405" i="97"/>
  <c r="G405" i="97"/>
  <c r="E405" i="97"/>
  <c r="Q404" i="97"/>
  <c r="O404" i="97"/>
  <c r="M404" i="97"/>
  <c r="K404" i="97"/>
  <c r="I404" i="97"/>
  <c r="G404" i="97"/>
  <c r="E404" i="97"/>
  <c r="Q403" i="97"/>
  <c r="O403" i="97"/>
  <c r="M403" i="97"/>
  <c r="K403" i="97"/>
  <c r="I403" i="97"/>
  <c r="G403" i="97"/>
  <c r="E403" i="97"/>
  <c r="Q402" i="97"/>
  <c r="O402" i="97"/>
  <c r="M402" i="97"/>
  <c r="K402" i="97"/>
  <c r="I402" i="97"/>
  <c r="G402" i="97"/>
  <c r="E402" i="97"/>
  <c r="Q401" i="97"/>
  <c r="O401" i="97"/>
  <c r="M401" i="97"/>
  <c r="K401" i="97"/>
  <c r="I401" i="97"/>
  <c r="G401" i="97"/>
  <c r="E401" i="97"/>
  <c r="Q400" i="97"/>
  <c r="O400" i="97"/>
  <c r="M400" i="97"/>
  <c r="K400" i="97"/>
  <c r="I400" i="97"/>
  <c r="G400" i="97"/>
  <c r="E400" i="97"/>
  <c r="Q399" i="97"/>
  <c r="O399" i="97"/>
  <c r="M399" i="97"/>
  <c r="K399" i="97"/>
  <c r="I399" i="97"/>
  <c r="G399" i="97"/>
  <c r="E399" i="97"/>
  <c r="Q398" i="97"/>
  <c r="O398" i="97"/>
  <c r="M398" i="97"/>
  <c r="K398" i="97"/>
  <c r="I398" i="97"/>
  <c r="G398" i="97"/>
  <c r="E398" i="97"/>
  <c r="Q397" i="97"/>
  <c r="O397" i="97"/>
  <c r="M397" i="97"/>
  <c r="K397" i="97"/>
  <c r="I397" i="97"/>
  <c r="G397" i="97"/>
  <c r="E397" i="97"/>
  <c r="Q396" i="97"/>
  <c r="O396" i="97"/>
  <c r="M396" i="97"/>
  <c r="K396" i="97"/>
  <c r="I396" i="97"/>
  <c r="G396" i="97"/>
  <c r="E396" i="97"/>
  <c r="Q395" i="97"/>
  <c r="O395" i="97"/>
  <c r="M395" i="97"/>
  <c r="K395" i="97"/>
  <c r="I395" i="97"/>
  <c r="G395" i="97"/>
  <c r="E395" i="97"/>
  <c r="Q394" i="97"/>
  <c r="O394" i="97"/>
  <c r="M394" i="97"/>
  <c r="K394" i="97"/>
  <c r="I394" i="97"/>
  <c r="G394" i="97"/>
  <c r="E394" i="97"/>
  <c r="Q393" i="97"/>
  <c r="O393" i="97"/>
  <c r="M393" i="97"/>
  <c r="K393" i="97"/>
  <c r="I393" i="97"/>
  <c r="G393" i="97"/>
  <c r="E393" i="97"/>
  <c r="Q392" i="97"/>
  <c r="O392" i="97"/>
  <c r="M392" i="97"/>
  <c r="K392" i="97"/>
  <c r="I392" i="97"/>
  <c r="G392" i="97"/>
  <c r="E392" i="97"/>
  <c r="Q391" i="97"/>
  <c r="O391" i="97"/>
  <c r="M391" i="97"/>
  <c r="K391" i="97"/>
  <c r="I391" i="97"/>
  <c r="G391" i="97"/>
  <c r="E391" i="97"/>
  <c r="Q390" i="97"/>
  <c r="O390" i="97"/>
  <c r="M390" i="97"/>
  <c r="K390" i="97"/>
  <c r="I390" i="97"/>
  <c r="G390" i="97"/>
  <c r="E390" i="97"/>
  <c r="Q389" i="97"/>
  <c r="O389" i="97"/>
  <c r="M389" i="97"/>
  <c r="K389" i="97"/>
  <c r="I389" i="97"/>
  <c r="G389" i="97"/>
  <c r="E389" i="97"/>
  <c r="Q388" i="97"/>
  <c r="O388" i="97"/>
  <c r="M388" i="97"/>
  <c r="K388" i="97"/>
  <c r="I388" i="97"/>
  <c r="G388" i="97"/>
  <c r="E388" i="97"/>
  <c r="Q387" i="97"/>
  <c r="O387" i="97"/>
  <c r="M387" i="97"/>
  <c r="K387" i="97"/>
  <c r="I387" i="97"/>
  <c r="G387" i="97"/>
  <c r="E387" i="97"/>
  <c r="Q386" i="97"/>
  <c r="O386" i="97"/>
  <c r="M386" i="97"/>
  <c r="K386" i="97"/>
  <c r="I386" i="97"/>
  <c r="G386" i="97"/>
  <c r="E386" i="97"/>
  <c r="Q385" i="97"/>
  <c r="O385" i="97"/>
  <c r="M385" i="97"/>
  <c r="K385" i="97"/>
  <c r="I385" i="97"/>
  <c r="G385" i="97"/>
  <c r="E385" i="97"/>
  <c r="Q384" i="97"/>
  <c r="O384" i="97"/>
  <c r="M384" i="97"/>
  <c r="K384" i="97"/>
  <c r="I384" i="97"/>
  <c r="G384" i="97"/>
  <c r="E384" i="97"/>
  <c r="Q383" i="97"/>
  <c r="O383" i="97"/>
  <c r="M383" i="97"/>
  <c r="K383" i="97"/>
  <c r="I383" i="97"/>
  <c r="G383" i="97"/>
  <c r="E383" i="97"/>
  <c r="Q382" i="97"/>
  <c r="O382" i="97"/>
  <c r="M382" i="97"/>
  <c r="K382" i="97"/>
  <c r="I382" i="97"/>
  <c r="G382" i="97"/>
  <c r="E382" i="97"/>
  <c r="Q381" i="97"/>
  <c r="O381" i="97"/>
  <c r="M381" i="97"/>
  <c r="K381" i="97"/>
  <c r="I381" i="97"/>
  <c r="G381" i="97"/>
  <c r="E381" i="97"/>
  <c r="Q380" i="97"/>
  <c r="O380" i="97"/>
  <c r="M380" i="97"/>
  <c r="K380" i="97"/>
  <c r="I380" i="97"/>
  <c r="G380" i="97"/>
  <c r="E380" i="97"/>
  <c r="Q379" i="97"/>
  <c r="O379" i="97"/>
  <c r="M379" i="97"/>
  <c r="K379" i="97"/>
  <c r="I379" i="97"/>
  <c r="G379" i="97"/>
  <c r="E379" i="97"/>
  <c r="Q378" i="97"/>
  <c r="O378" i="97"/>
  <c r="M378" i="97"/>
  <c r="K378" i="97"/>
  <c r="I378" i="97"/>
  <c r="G378" i="97"/>
  <c r="E378" i="97"/>
  <c r="Q377" i="97"/>
  <c r="O377" i="97"/>
  <c r="M377" i="97"/>
  <c r="K377" i="97"/>
  <c r="I377" i="97"/>
  <c r="G377" i="97"/>
  <c r="E377" i="97"/>
  <c r="Q376" i="97"/>
  <c r="O376" i="97"/>
  <c r="M376" i="97"/>
  <c r="K376" i="97"/>
  <c r="I376" i="97"/>
  <c r="G376" i="97"/>
  <c r="E376" i="97"/>
  <c r="Q375" i="97"/>
  <c r="O375" i="97"/>
  <c r="M375" i="97"/>
  <c r="K375" i="97"/>
  <c r="I375" i="97"/>
  <c r="G375" i="97"/>
  <c r="E375" i="97"/>
  <c r="Q374" i="97"/>
  <c r="O374" i="97"/>
  <c r="M374" i="97"/>
  <c r="K374" i="97"/>
  <c r="I374" i="97"/>
  <c r="G374" i="97"/>
  <c r="E374" i="97"/>
  <c r="Q373" i="97"/>
  <c r="O373" i="97"/>
  <c r="M373" i="97"/>
  <c r="K373" i="97"/>
  <c r="I373" i="97"/>
  <c r="G373" i="97"/>
  <c r="E373" i="97"/>
  <c r="Q372" i="97"/>
  <c r="O372" i="97"/>
  <c r="M372" i="97"/>
  <c r="K372" i="97"/>
  <c r="I372" i="97"/>
  <c r="G372" i="97"/>
  <c r="E372" i="97"/>
  <c r="Q371" i="97"/>
  <c r="O371" i="97"/>
  <c r="M371" i="97"/>
  <c r="K371" i="97"/>
  <c r="I371" i="97"/>
  <c r="G371" i="97"/>
  <c r="E371" i="97"/>
  <c r="Q370" i="97"/>
  <c r="O370" i="97"/>
  <c r="M370" i="97"/>
  <c r="K370" i="97"/>
  <c r="I370" i="97"/>
  <c r="G370" i="97"/>
  <c r="E370" i="97"/>
  <c r="Q369" i="97"/>
  <c r="O369" i="97"/>
  <c r="M369" i="97"/>
  <c r="K369" i="97"/>
  <c r="I369" i="97"/>
  <c r="G369" i="97"/>
  <c r="E369" i="97"/>
  <c r="Q368" i="97"/>
  <c r="O368" i="97"/>
  <c r="M368" i="97"/>
  <c r="K368" i="97"/>
  <c r="I368" i="97"/>
  <c r="G368" i="97"/>
  <c r="E368" i="97"/>
  <c r="Q367" i="97"/>
  <c r="O367" i="97"/>
  <c r="M367" i="97"/>
  <c r="K367" i="97"/>
  <c r="I367" i="97"/>
  <c r="G367" i="97"/>
  <c r="E367" i="97"/>
  <c r="Q366" i="97"/>
  <c r="O366" i="97"/>
  <c r="M366" i="97"/>
  <c r="K366" i="97"/>
  <c r="I366" i="97"/>
  <c r="G366" i="97"/>
  <c r="E366" i="97"/>
  <c r="Q365" i="97"/>
  <c r="O365" i="97"/>
  <c r="M365" i="97"/>
  <c r="K365" i="97"/>
  <c r="I365" i="97"/>
  <c r="G365" i="97"/>
  <c r="E365" i="97"/>
  <c r="Q364" i="97"/>
  <c r="O364" i="97"/>
  <c r="M364" i="97"/>
  <c r="K364" i="97"/>
  <c r="I364" i="97"/>
  <c r="G364" i="97"/>
  <c r="E364" i="97"/>
  <c r="Q363" i="97"/>
  <c r="O363" i="97"/>
  <c r="M363" i="97"/>
  <c r="K363" i="97"/>
  <c r="I363" i="97"/>
  <c r="G363" i="97"/>
  <c r="E363" i="97"/>
  <c r="Q362" i="97"/>
  <c r="O362" i="97"/>
  <c r="M362" i="97"/>
  <c r="K362" i="97"/>
  <c r="I362" i="97"/>
  <c r="G362" i="97"/>
  <c r="E362" i="97"/>
  <c r="Q361" i="97"/>
  <c r="O361" i="97"/>
  <c r="M361" i="97"/>
  <c r="K361" i="97"/>
  <c r="I361" i="97"/>
  <c r="G361" i="97"/>
  <c r="E361" i="97"/>
  <c r="Q360" i="97"/>
  <c r="O360" i="97"/>
  <c r="M360" i="97"/>
  <c r="K360" i="97"/>
  <c r="I360" i="97"/>
  <c r="G360" i="97"/>
  <c r="E360" i="97"/>
  <c r="Q359" i="97"/>
  <c r="O359" i="97"/>
  <c r="M359" i="97"/>
  <c r="K359" i="97"/>
  <c r="I359" i="97"/>
  <c r="G359" i="97"/>
  <c r="E359" i="97"/>
  <c r="Q358" i="97"/>
  <c r="O358" i="97"/>
  <c r="M358" i="97"/>
  <c r="K358" i="97"/>
  <c r="I358" i="97"/>
  <c r="G358" i="97"/>
  <c r="E358" i="97"/>
  <c r="Q357" i="97"/>
  <c r="O357" i="97"/>
  <c r="M357" i="97"/>
  <c r="K357" i="97"/>
  <c r="I357" i="97"/>
  <c r="G357" i="97"/>
  <c r="E357" i="97"/>
  <c r="Q356" i="97"/>
  <c r="O356" i="97"/>
  <c r="M356" i="97"/>
  <c r="K356" i="97"/>
  <c r="I356" i="97"/>
  <c r="G356" i="97"/>
  <c r="E356" i="97"/>
  <c r="Q355" i="97"/>
  <c r="O355" i="97"/>
  <c r="M355" i="97"/>
  <c r="K355" i="97"/>
  <c r="I355" i="97"/>
  <c r="G355" i="97"/>
  <c r="E355" i="97"/>
  <c r="Q354" i="97"/>
  <c r="O354" i="97"/>
  <c r="M354" i="97"/>
  <c r="K354" i="97"/>
  <c r="I354" i="97"/>
  <c r="G354" i="97"/>
  <c r="E354" i="97"/>
  <c r="Q353" i="97"/>
  <c r="O353" i="97"/>
  <c r="M353" i="97"/>
  <c r="K353" i="97"/>
  <c r="I353" i="97"/>
  <c r="G353" i="97"/>
  <c r="E353" i="97"/>
  <c r="Q352" i="97"/>
  <c r="O352" i="97"/>
  <c r="M352" i="97"/>
  <c r="K352" i="97"/>
  <c r="I352" i="97"/>
  <c r="G352" i="97"/>
  <c r="E352" i="97"/>
  <c r="Q351" i="97"/>
  <c r="O351" i="97"/>
  <c r="M351" i="97"/>
  <c r="K351" i="97"/>
  <c r="I351" i="97"/>
  <c r="G351" i="97"/>
  <c r="E351" i="97"/>
  <c r="Q350" i="97"/>
  <c r="O350" i="97"/>
  <c r="M350" i="97"/>
  <c r="K350" i="97"/>
  <c r="I350" i="97"/>
  <c r="G350" i="97"/>
  <c r="E350" i="97"/>
  <c r="Q349" i="97"/>
  <c r="O349" i="97"/>
  <c r="M349" i="97"/>
  <c r="K349" i="97"/>
  <c r="I349" i="97"/>
  <c r="G349" i="97"/>
  <c r="E349" i="97"/>
  <c r="Q348" i="97"/>
  <c r="O348" i="97"/>
  <c r="M348" i="97"/>
  <c r="K348" i="97"/>
  <c r="I348" i="97"/>
  <c r="G348" i="97"/>
  <c r="E348" i="97"/>
  <c r="Q347" i="97"/>
  <c r="O347" i="97"/>
  <c r="M347" i="97"/>
  <c r="K347" i="97"/>
  <c r="I347" i="97"/>
  <c r="G347" i="97"/>
  <c r="E347" i="97"/>
  <c r="Q346" i="97"/>
  <c r="O346" i="97"/>
  <c r="M346" i="97"/>
  <c r="K346" i="97"/>
  <c r="I346" i="97"/>
  <c r="G346" i="97"/>
  <c r="E346" i="97"/>
  <c r="Q345" i="97"/>
  <c r="O345" i="97"/>
  <c r="M345" i="97"/>
  <c r="K345" i="97"/>
  <c r="I345" i="97"/>
  <c r="G345" i="97"/>
  <c r="E345" i="97"/>
  <c r="Q344" i="97"/>
  <c r="O344" i="97"/>
  <c r="M344" i="97"/>
  <c r="K344" i="97"/>
  <c r="I344" i="97"/>
  <c r="G344" i="97"/>
  <c r="E344" i="97"/>
  <c r="Q343" i="97"/>
  <c r="O343" i="97"/>
  <c r="M343" i="97"/>
  <c r="K343" i="97"/>
  <c r="I343" i="97"/>
  <c r="G343" i="97"/>
  <c r="E343" i="97"/>
  <c r="Q342" i="97"/>
  <c r="O342" i="97"/>
  <c r="M342" i="97"/>
  <c r="K342" i="97"/>
  <c r="I342" i="97"/>
  <c r="G342" i="97"/>
  <c r="E342" i="97"/>
  <c r="Q341" i="97"/>
  <c r="O341" i="97"/>
  <c r="M341" i="97"/>
  <c r="K341" i="97"/>
  <c r="I341" i="97"/>
  <c r="G341" i="97"/>
  <c r="E341" i="97"/>
  <c r="Q340" i="97"/>
  <c r="O340" i="97"/>
  <c r="M340" i="97"/>
  <c r="K340" i="97"/>
  <c r="I340" i="97"/>
  <c r="G340" i="97"/>
  <c r="E340" i="97"/>
  <c r="Q339" i="97"/>
  <c r="O339" i="97"/>
  <c r="M339" i="97"/>
  <c r="K339" i="97"/>
  <c r="I339" i="97"/>
  <c r="G339" i="97"/>
  <c r="E339" i="97"/>
  <c r="Q338" i="97"/>
  <c r="O338" i="97"/>
  <c r="M338" i="97"/>
  <c r="K338" i="97"/>
  <c r="I338" i="97"/>
  <c r="G338" i="97"/>
  <c r="E338" i="97"/>
  <c r="Q337" i="97"/>
  <c r="O337" i="97"/>
  <c r="M337" i="97"/>
  <c r="K337" i="97"/>
  <c r="I337" i="97"/>
  <c r="G337" i="97"/>
  <c r="E337" i="97"/>
  <c r="Q336" i="97"/>
  <c r="O336" i="97"/>
  <c r="M336" i="97"/>
  <c r="K336" i="97"/>
  <c r="I336" i="97"/>
  <c r="G336" i="97"/>
  <c r="E336" i="97"/>
  <c r="Q335" i="97"/>
  <c r="O335" i="97"/>
  <c r="M335" i="97"/>
  <c r="K335" i="97"/>
  <c r="I335" i="97"/>
  <c r="G335" i="97"/>
  <c r="E335" i="97"/>
  <c r="Q334" i="97"/>
  <c r="O334" i="97"/>
  <c r="M334" i="97"/>
  <c r="K334" i="97"/>
  <c r="I334" i="97"/>
  <c r="G334" i="97"/>
  <c r="E334" i="97"/>
  <c r="Q333" i="97"/>
  <c r="O333" i="97"/>
  <c r="M333" i="97"/>
  <c r="K333" i="97"/>
  <c r="I333" i="97"/>
  <c r="G333" i="97"/>
  <c r="E333" i="97"/>
  <c r="Q332" i="97"/>
  <c r="O332" i="97"/>
  <c r="M332" i="97"/>
  <c r="K332" i="97"/>
  <c r="I332" i="97"/>
  <c r="G332" i="97"/>
  <c r="E332" i="97"/>
  <c r="Q331" i="97"/>
  <c r="O331" i="97"/>
  <c r="M331" i="97"/>
  <c r="K331" i="97"/>
  <c r="I331" i="97"/>
  <c r="G331" i="97"/>
  <c r="E331" i="97"/>
  <c r="Q330" i="97"/>
  <c r="O330" i="97"/>
  <c r="M330" i="97"/>
  <c r="K330" i="97"/>
  <c r="I330" i="97"/>
  <c r="G330" i="97"/>
  <c r="E330" i="97"/>
  <c r="Q329" i="97"/>
  <c r="O329" i="97"/>
  <c r="M329" i="97"/>
  <c r="K329" i="97"/>
  <c r="I329" i="97"/>
  <c r="G329" i="97"/>
  <c r="E329" i="97"/>
  <c r="Q328" i="97"/>
  <c r="O328" i="97"/>
  <c r="M328" i="97"/>
  <c r="K328" i="97"/>
  <c r="I328" i="97"/>
  <c r="G328" i="97"/>
  <c r="E328" i="97"/>
  <c r="Q327" i="97"/>
  <c r="O327" i="97"/>
  <c r="M327" i="97"/>
  <c r="K327" i="97"/>
  <c r="I327" i="97"/>
  <c r="G327" i="97"/>
  <c r="E327" i="97"/>
  <c r="Q326" i="97"/>
  <c r="O326" i="97"/>
  <c r="M326" i="97"/>
  <c r="K326" i="97"/>
  <c r="I326" i="97"/>
  <c r="G326" i="97"/>
  <c r="E326" i="97"/>
  <c r="Q325" i="97"/>
  <c r="O325" i="97"/>
  <c r="M325" i="97"/>
  <c r="K325" i="97"/>
  <c r="I325" i="97"/>
  <c r="G325" i="97"/>
  <c r="E325" i="97"/>
  <c r="Q324" i="97"/>
  <c r="O324" i="97"/>
  <c r="M324" i="97"/>
  <c r="K324" i="97"/>
  <c r="I324" i="97"/>
  <c r="G324" i="97"/>
  <c r="E324" i="97"/>
  <c r="Q323" i="97"/>
  <c r="O323" i="97"/>
  <c r="M323" i="97"/>
  <c r="K323" i="97"/>
  <c r="I323" i="97"/>
  <c r="G323" i="97"/>
  <c r="E323" i="97"/>
  <c r="Q322" i="97"/>
  <c r="O322" i="97"/>
  <c r="M322" i="97"/>
  <c r="K322" i="97"/>
  <c r="I322" i="97"/>
  <c r="G322" i="97"/>
  <c r="E322" i="97"/>
  <c r="Q321" i="97"/>
  <c r="O321" i="97"/>
  <c r="M321" i="97"/>
  <c r="K321" i="97"/>
  <c r="I321" i="97"/>
  <c r="G321" i="97"/>
  <c r="E321" i="97"/>
  <c r="Q320" i="97"/>
  <c r="O320" i="97"/>
  <c r="M320" i="97"/>
  <c r="K320" i="97"/>
  <c r="I320" i="97"/>
  <c r="G320" i="97"/>
  <c r="E320" i="97"/>
  <c r="Q319" i="97"/>
  <c r="O319" i="97"/>
  <c r="M319" i="97"/>
  <c r="K319" i="97"/>
  <c r="I319" i="97"/>
  <c r="G319" i="97"/>
  <c r="E319" i="97"/>
  <c r="Q318" i="97"/>
  <c r="O318" i="97"/>
  <c r="M318" i="97"/>
  <c r="K318" i="97"/>
  <c r="I318" i="97"/>
  <c r="G318" i="97"/>
  <c r="E318" i="97"/>
  <c r="Q317" i="97"/>
  <c r="O317" i="97"/>
  <c r="M317" i="97"/>
  <c r="K317" i="97"/>
  <c r="I317" i="97"/>
  <c r="G317" i="97"/>
  <c r="E317" i="97"/>
  <c r="Q316" i="97"/>
  <c r="O316" i="97"/>
  <c r="M316" i="97"/>
  <c r="K316" i="97"/>
  <c r="I316" i="97"/>
  <c r="G316" i="97"/>
  <c r="E316" i="97"/>
  <c r="Q315" i="97"/>
  <c r="O315" i="97"/>
  <c r="M315" i="97"/>
  <c r="K315" i="97"/>
  <c r="I315" i="97"/>
  <c r="G315" i="97"/>
  <c r="E315" i="97"/>
  <c r="Q314" i="97"/>
  <c r="O314" i="97"/>
  <c r="M314" i="97"/>
  <c r="K314" i="97"/>
  <c r="I314" i="97"/>
  <c r="G314" i="97"/>
  <c r="E314" i="97"/>
  <c r="Q313" i="97"/>
  <c r="O313" i="97"/>
  <c r="M313" i="97"/>
  <c r="K313" i="97"/>
  <c r="I313" i="97"/>
  <c r="G313" i="97"/>
  <c r="E313" i="97"/>
  <c r="Q312" i="97"/>
  <c r="O312" i="97"/>
  <c r="M312" i="97"/>
  <c r="K312" i="97"/>
  <c r="I312" i="97"/>
  <c r="G312" i="97"/>
  <c r="E312" i="97"/>
  <c r="Q311" i="97"/>
  <c r="O311" i="97"/>
  <c r="M311" i="97"/>
  <c r="K311" i="97"/>
  <c r="I311" i="97"/>
  <c r="G311" i="97"/>
  <c r="E311" i="97"/>
  <c r="Q310" i="97"/>
  <c r="O310" i="97"/>
  <c r="M310" i="97"/>
  <c r="K310" i="97"/>
  <c r="I310" i="97"/>
  <c r="G310" i="97"/>
  <c r="E310" i="97"/>
  <c r="Q309" i="97"/>
  <c r="O309" i="97"/>
  <c r="M309" i="97"/>
  <c r="K309" i="97"/>
  <c r="I309" i="97"/>
  <c r="G309" i="97"/>
  <c r="E309" i="97"/>
  <c r="Q308" i="97"/>
  <c r="O308" i="97"/>
  <c r="M308" i="97"/>
  <c r="K308" i="97"/>
  <c r="I308" i="97"/>
  <c r="G308" i="97"/>
  <c r="E308" i="97"/>
  <c r="Q307" i="97"/>
  <c r="O307" i="97"/>
  <c r="M307" i="97"/>
  <c r="K307" i="97"/>
  <c r="I307" i="97"/>
  <c r="G307" i="97"/>
  <c r="E307" i="97"/>
  <c r="Q306" i="97"/>
  <c r="O306" i="97"/>
  <c r="M306" i="97"/>
  <c r="K306" i="97"/>
  <c r="I306" i="97"/>
  <c r="G306" i="97"/>
  <c r="E306" i="97"/>
  <c r="Q305" i="97"/>
  <c r="O305" i="97"/>
  <c r="M305" i="97"/>
  <c r="K305" i="97"/>
  <c r="I305" i="97"/>
  <c r="G305" i="97"/>
  <c r="E305" i="97"/>
  <c r="Q304" i="97"/>
  <c r="O304" i="97"/>
  <c r="M304" i="97"/>
  <c r="K304" i="97"/>
  <c r="I304" i="97"/>
  <c r="G304" i="97"/>
  <c r="E304" i="97"/>
  <c r="Q303" i="97"/>
  <c r="O303" i="97"/>
  <c r="M303" i="97"/>
  <c r="K303" i="97"/>
  <c r="I303" i="97"/>
  <c r="G303" i="97"/>
  <c r="E303" i="97"/>
  <c r="Q302" i="97"/>
  <c r="O302" i="97"/>
  <c r="M302" i="97"/>
  <c r="K302" i="97"/>
  <c r="I302" i="97"/>
  <c r="G302" i="97"/>
  <c r="E302" i="97"/>
  <c r="Q301" i="97"/>
  <c r="O301" i="97"/>
  <c r="M301" i="97"/>
  <c r="K301" i="97"/>
  <c r="I301" i="97"/>
  <c r="G301" i="97"/>
  <c r="E301" i="97"/>
  <c r="Q300" i="97"/>
  <c r="O300" i="97"/>
  <c r="M300" i="97"/>
  <c r="K300" i="97"/>
  <c r="I300" i="97"/>
  <c r="G300" i="97"/>
  <c r="E300" i="97"/>
  <c r="Q299" i="97"/>
  <c r="O299" i="97"/>
  <c r="M299" i="97"/>
  <c r="K299" i="97"/>
  <c r="I299" i="97"/>
  <c r="G299" i="97"/>
  <c r="E299" i="97"/>
  <c r="Q298" i="97"/>
  <c r="O298" i="97"/>
  <c r="M298" i="97"/>
  <c r="K298" i="97"/>
  <c r="I298" i="97"/>
  <c r="G298" i="97"/>
  <c r="E298" i="97"/>
  <c r="Q297" i="97"/>
  <c r="O297" i="97"/>
  <c r="M297" i="97"/>
  <c r="K297" i="97"/>
  <c r="I297" i="97"/>
  <c r="G297" i="97"/>
  <c r="E297" i="97"/>
  <c r="Q296" i="97"/>
  <c r="O296" i="97"/>
  <c r="M296" i="97"/>
  <c r="K296" i="97"/>
  <c r="I296" i="97"/>
  <c r="G296" i="97"/>
  <c r="E296" i="97"/>
  <c r="Q295" i="97"/>
  <c r="O295" i="97"/>
  <c r="M295" i="97"/>
  <c r="K295" i="97"/>
  <c r="I295" i="97"/>
  <c r="G295" i="97"/>
  <c r="E295" i="97"/>
  <c r="Q294" i="97"/>
  <c r="O294" i="97"/>
  <c r="M294" i="97"/>
  <c r="K294" i="97"/>
  <c r="I294" i="97"/>
  <c r="G294" i="97"/>
  <c r="E294" i="97"/>
  <c r="Q293" i="97"/>
  <c r="O293" i="97"/>
  <c r="M293" i="97"/>
  <c r="K293" i="97"/>
  <c r="I293" i="97"/>
  <c r="G293" i="97"/>
  <c r="E293" i="97"/>
  <c r="Q292" i="97"/>
  <c r="O292" i="97"/>
  <c r="M292" i="97"/>
  <c r="K292" i="97"/>
  <c r="I292" i="97"/>
  <c r="G292" i="97"/>
  <c r="E292" i="97"/>
  <c r="Q291" i="97"/>
  <c r="O291" i="97"/>
  <c r="M291" i="97"/>
  <c r="K291" i="97"/>
  <c r="I291" i="97"/>
  <c r="G291" i="97"/>
  <c r="E291" i="97"/>
  <c r="Q290" i="97"/>
  <c r="O290" i="97"/>
  <c r="M290" i="97"/>
  <c r="K290" i="97"/>
  <c r="I290" i="97"/>
  <c r="G290" i="97"/>
  <c r="E290" i="97"/>
  <c r="Q289" i="97"/>
  <c r="O289" i="97"/>
  <c r="M289" i="97"/>
  <c r="K289" i="97"/>
  <c r="I289" i="97"/>
  <c r="G289" i="97"/>
  <c r="E289" i="97"/>
  <c r="Q288" i="97"/>
  <c r="O288" i="97"/>
  <c r="M288" i="97"/>
  <c r="K288" i="97"/>
  <c r="I288" i="97"/>
  <c r="G288" i="97"/>
  <c r="E288" i="97"/>
  <c r="Q287" i="97"/>
  <c r="O287" i="97"/>
  <c r="M287" i="97"/>
  <c r="K287" i="97"/>
  <c r="I287" i="97"/>
  <c r="G287" i="97"/>
  <c r="E287" i="97"/>
  <c r="Q286" i="97"/>
  <c r="O286" i="97"/>
  <c r="M286" i="97"/>
  <c r="K286" i="97"/>
  <c r="I286" i="97"/>
  <c r="G286" i="97"/>
  <c r="E286" i="97"/>
  <c r="Q285" i="97"/>
  <c r="O285" i="97"/>
  <c r="M285" i="97"/>
  <c r="K285" i="97"/>
  <c r="I285" i="97"/>
  <c r="G285" i="97"/>
  <c r="E285" i="97"/>
  <c r="Q284" i="97"/>
  <c r="O284" i="97"/>
  <c r="M284" i="97"/>
  <c r="K284" i="97"/>
  <c r="I284" i="97"/>
  <c r="G284" i="97"/>
  <c r="E284" i="97"/>
  <c r="Q283" i="97"/>
  <c r="O283" i="97"/>
  <c r="M283" i="97"/>
  <c r="K283" i="97"/>
  <c r="I283" i="97"/>
  <c r="G283" i="97"/>
  <c r="E283" i="97"/>
  <c r="Q282" i="97"/>
  <c r="O282" i="97"/>
  <c r="M282" i="97"/>
  <c r="K282" i="97"/>
  <c r="I282" i="97"/>
  <c r="G282" i="97"/>
  <c r="E282" i="97"/>
  <c r="Q281" i="97"/>
  <c r="O281" i="97"/>
  <c r="M281" i="97"/>
  <c r="K281" i="97"/>
  <c r="I281" i="97"/>
  <c r="G281" i="97"/>
  <c r="E281" i="97"/>
  <c r="Q280" i="97"/>
  <c r="O280" i="97"/>
  <c r="M280" i="97"/>
  <c r="K280" i="97"/>
  <c r="I280" i="97"/>
  <c r="G280" i="97"/>
  <c r="E280" i="97"/>
  <c r="Q279" i="97"/>
  <c r="O279" i="97"/>
  <c r="M279" i="97"/>
  <c r="K279" i="97"/>
  <c r="I279" i="97"/>
  <c r="G279" i="97"/>
  <c r="E279" i="97"/>
  <c r="Q278" i="97"/>
  <c r="O278" i="97"/>
  <c r="M278" i="97"/>
  <c r="K278" i="97"/>
  <c r="I278" i="97"/>
  <c r="G278" i="97"/>
  <c r="E278" i="97"/>
  <c r="Q277" i="97"/>
  <c r="O277" i="97"/>
  <c r="M277" i="97"/>
  <c r="K277" i="97"/>
  <c r="I277" i="97"/>
  <c r="G277" i="97"/>
  <c r="E277" i="97"/>
  <c r="Q276" i="97"/>
  <c r="O276" i="97"/>
  <c r="M276" i="97"/>
  <c r="K276" i="97"/>
  <c r="I276" i="97"/>
  <c r="G276" i="97"/>
  <c r="E276" i="97"/>
  <c r="Q275" i="97"/>
  <c r="O275" i="97"/>
  <c r="M275" i="97"/>
  <c r="K275" i="97"/>
  <c r="I275" i="97"/>
  <c r="G275" i="97"/>
  <c r="E275" i="97"/>
  <c r="Q274" i="97"/>
  <c r="O274" i="97"/>
  <c r="M274" i="97"/>
  <c r="K274" i="97"/>
  <c r="I274" i="97"/>
  <c r="G274" i="97"/>
  <c r="E274" i="97"/>
  <c r="Q273" i="97"/>
  <c r="O273" i="97"/>
  <c r="M273" i="97"/>
  <c r="K273" i="97"/>
  <c r="I273" i="97"/>
  <c r="G273" i="97"/>
  <c r="E273" i="97"/>
  <c r="Q272" i="97"/>
  <c r="O272" i="97"/>
  <c r="M272" i="97"/>
  <c r="K272" i="97"/>
  <c r="I272" i="97"/>
  <c r="G272" i="97"/>
  <c r="E272" i="97"/>
  <c r="Q271" i="97"/>
  <c r="O271" i="97"/>
  <c r="M271" i="97"/>
  <c r="K271" i="97"/>
  <c r="I271" i="97"/>
  <c r="G271" i="97"/>
  <c r="E271" i="97"/>
  <c r="Q270" i="97"/>
  <c r="O270" i="97"/>
  <c r="M270" i="97"/>
  <c r="K270" i="97"/>
  <c r="I270" i="97"/>
  <c r="G270" i="97"/>
  <c r="E270" i="97"/>
  <c r="Q269" i="97"/>
  <c r="O269" i="97"/>
  <c r="M269" i="97"/>
  <c r="K269" i="97"/>
  <c r="I269" i="97"/>
  <c r="G269" i="97"/>
  <c r="E269" i="97"/>
  <c r="Q268" i="97"/>
  <c r="O268" i="97"/>
  <c r="M268" i="97"/>
  <c r="K268" i="97"/>
  <c r="I268" i="97"/>
  <c r="G268" i="97"/>
  <c r="E268" i="97"/>
  <c r="Q267" i="97"/>
  <c r="O267" i="97"/>
  <c r="M267" i="97"/>
  <c r="K267" i="97"/>
  <c r="I267" i="97"/>
  <c r="G267" i="97"/>
  <c r="E267" i="97"/>
  <c r="Q266" i="97"/>
  <c r="O266" i="97"/>
  <c r="M266" i="97"/>
  <c r="K266" i="97"/>
  <c r="I266" i="97"/>
  <c r="G266" i="97"/>
  <c r="E266" i="97"/>
  <c r="Q265" i="97"/>
  <c r="O265" i="97"/>
  <c r="M265" i="97"/>
  <c r="K265" i="97"/>
  <c r="I265" i="97"/>
  <c r="G265" i="97"/>
  <c r="E265" i="97"/>
  <c r="Q264" i="97"/>
  <c r="O264" i="97"/>
  <c r="M264" i="97"/>
  <c r="K264" i="97"/>
  <c r="I264" i="97"/>
  <c r="G264" i="97"/>
  <c r="E264" i="97"/>
  <c r="Q263" i="97"/>
  <c r="O263" i="97"/>
  <c r="M263" i="97"/>
  <c r="K263" i="97"/>
  <c r="I263" i="97"/>
  <c r="G263" i="97"/>
  <c r="E263" i="97"/>
  <c r="Q262" i="97"/>
  <c r="O262" i="97"/>
  <c r="M262" i="97"/>
  <c r="K262" i="97"/>
  <c r="I262" i="97"/>
  <c r="G262" i="97"/>
  <c r="E262" i="97"/>
  <c r="Q261" i="97"/>
  <c r="O261" i="97"/>
  <c r="M261" i="97"/>
  <c r="K261" i="97"/>
  <c r="I261" i="97"/>
  <c r="G261" i="97"/>
  <c r="E261" i="97"/>
  <c r="Q260" i="97"/>
  <c r="O260" i="97"/>
  <c r="M260" i="97"/>
  <c r="K260" i="97"/>
  <c r="I260" i="97"/>
  <c r="G260" i="97"/>
  <c r="E260" i="97"/>
  <c r="Q259" i="97"/>
  <c r="O259" i="97"/>
  <c r="M259" i="97"/>
  <c r="K259" i="97"/>
  <c r="I259" i="97"/>
  <c r="G259" i="97"/>
  <c r="E259" i="97"/>
  <c r="Q258" i="97"/>
  <c r="O258" i="97"/>
  <c r="M258" i="97"/>
  <c r="K258" i="97"/>
  <c r="I258" i="97"/>
  <c r="G258" i="97"/>
  <c r="E258" i="97"/>
  <c r="Q257" i="97"/>
  <c r="O257" i="97"/>
  <c r="M257" i="97"/>
  <c r="K257" i="97"/>
  <c r="I257" i="97"/>
  <c r="G257" i="97"/>
  <c r="E257" i="97"/>
  <c r="Q256" i="97"/>
  <c r="O256" i="97"/>
  <c r="M256" i="97"/>
  <c r="K256" i="97"/>
  <c r="I256" i="97"/>
  <c r="G256" i="97"/>
  <c r="E256" i="97"/>
  <c r="Q255" i="97"/>
  <c r="O255" i="97"/>
  <c r="M255" i="97"/>
  <c r="K255" i="97"/>
  <c r="I255" i="97"/>
  <c r="G255" i="97"/>
  <c r="E255" i="97"/>
  <c r="Q254" i="97"/>
  <c r="O254" i="97"/>
  <c r="M254" i="97"/>
  <c r="K254" i="97"/>
  <c r="I254" i="97"/>
  <c r="G254" i="97"/>
  <c r="E254" i="97"/>
  <c r="Q253" i="97"/>
  <c r="O253" i="97"/>
  <c r="M253" i="97"/>
  <c r="K253" i="97"/>
  <c r="I253" i="97"/>
  <c r="G253" i="97"/>
  <c r="E253" i="97"/>
  <c r="Q252" i="97"/>
  <c r="O252" i="97"/>
  <c r="M252" i="97"/>
  <c r="K252" i="97"/>
  <c r="I252" i="97"/>
  <c r="G252" i="97"/>
  <c r="E252" i="97"/>
  <c r="Q251" i="97"/>
  <c r="O251" i="97"/>
  <c r="M251" i="97"/>
  <c r="K251" i="97"/>
  <c r="I251" i="97"/>
  <c r="G251" i="97"/>
  <c r="E251" i="97"/>
  <c r="Q250" i="97"/>
  <c r="O250" i="97"/>
  <c r="M250" i="97"/>
  <c r="K250" i="97"/>
  <c r="I250" i="97"/>
  <c r="G250" i="97"/>
  <c r="E250" i="97"/>
  <c r="Q249" i="97"/>
  <c r="O249" i="97"/>
  <c r="M249" i="97"/>
  <c r="K249" i="97"/>
  <c r="I249" i="97"/>
  <c r="G249" i="97"/>
  <c r="E249" i="97"/>
  <c r="Q248" i="97"/>
  <c r="O248" i="97"/>
  <c r="M248" i="97"/>
  <c r="K248" i="97"/>
  <c r="I248" i="97"/>
  <c r="G248" i="97"/>
  <c r="E248" i="97"/>
  <c r="Q247" i="97"/>
  <c r="O247" i="97"/>
  <c r="M247" i="97"/>
  <c r="K247" i="97"/>
  <c r="I247" i="97"/>
  <c r="G247" i="97"/>
  <c r="E247" i="97"/>
  <c r="Q246" i="97"/>
  <c r="O246" i="97"/>
  <c r="M246" i="97"/>
  <c r="K246" i="97"/>
  <c r="I246" i="97"/>
  <c r="G246" i="97"/>
  <c r="E246" i="97"/>
  <c r="Q245" i="97"/>
  <c r="O245" i="97"/>
  <c r="M245" i="97"/>
  <c r="K245" i="97"/>
  <c r="I245" i="97"/>
  <c r="G245" i="97"/>
  <c r="E245" i="97"/>
  <c r="Q244" i="97"/>
  <c r="O244" i="97"/>
  <c r="M244" i="97"/>
  <c r="K244" i="97"/>
  <c r="I244" i="97"/>
  <c r="G244" i="97"/>
  <c r="E244" i="97"/>
  <c r="Q243" i="97"/>
  <c r="O243" i="97"/>
  <c r="M243" i="97"/>
  <c r="K243" i="97"/>
  <c r="I243" i="97"/>
  <c r="G243" i="97"/>
  <c r="E243" i="97"/>
  <c r="Q242" i="97"/>
  <c r="O242" i="97"/>
  <c r="M242" i="97"/>
  <c r="K242" i="97"/>
  <c r="I242" i="97"/>
  <c r="G242" i="97"/>
  <c r="E242" i="97"/>
  <c r="Q241" i="97"/>
  <c r="O241" i="97"/>
  <c r="M241" i="97"/>
  <c r="K241" i="97"/>
  <c r="I241" i="97"/>
  <c r="G241" i="97"/>
  <c r="E241" i="97"/>
  <c r="Q240" i="97"/>
  <c r="O240" i="97"/>
  <c r="M240" i="97"/>
  <c r="K240" i="97"/>
  <c r="I240" i="97"/>
  <c r="G240" i="97"/>
  <c r="E240" i="97"/>
  <c r="Q239" i="97"/>
  <c r="O239" i="97"/>
  <c r="M239" i="97"/>
  <c r="K239" i="97"/>
  <c r="I239" i="97"/>
  <c r="G239" i="97"/>
  <c r="E239" i="97"/>
  <c r="Q238" i="97"/>
  <c r="O238" i="97"/>
  <c r="M238" i="97"/>
  <c r="K238" i="97"/>
  <c r="I238" i="97"/>
  <c r="G238" i="97"/>
  <c r="E238" i="97"/>
  <c r="Q237" i="97"/>
  <c r="O237" i="97"/>
  <c r="M237" i="97"/>
  <c r="K237" i="97"/>
  <c r="I237" i="97"/>
  <c r="G237" i="97"/>
  <c r="E237" i="97"/>
  <c r="Q236" i="97"/>
  <c r="O236" i="97"/>
  <c r="M236" i="97"/>
  <c r="K236" i="97"/>
  <c r="I236" i="97"/>
  <c r="G236" i="97"/>
  <c r="E236" i="97"/>
  <c r="Q235" i="97"/>
  <c r="O235" i="97"/>
  <c r="M235" i="97"/>
  <c r="K235" i="97"/>
  <c r="I235" i="97"/>
  <c r="G235" i="97"/>
  <c r="E235" i="97"/>
  <c r="Q234" i="97"/>
  <c r="O234" i="97"/>
  <c r="M234" i="97"/>
  <c r="K234" i="97"/>
  <c r="I234" i="97"/>
  <c r="G234" i="97"/>
  <c r="E234" i="97"/>
  <c r="Q233" i="97"/>
  <c r="O233" i="97"/>
  <c r="M233" i="97"/>
  <c r="K233" i="97"/>
  <c r="I233" i="97"/>
  <c r="G233" i="97"/>
  <c r="E233" i="97"/>
  <c r="Q232" i="97"/>
  <c r="O232" i="97"/>
  <c r="M232" i="97"/>
  <c r="K232" i="97"/>
  <c r="I232" i="97"/>
  <c r="G232" i="97"/>
  <c r="E232" i="97"/>
  <c r="Q231" i="97"/>
  <c r="O231" i="97"/>
  <c r="M231" i="97"/>
  <c r="K231" i="97"/>
  <c r="I231" i="97"/>
  <c r="G231" i="97"/>
  <c r="E231" i="97"/>
  <c r="Q230" i="97"/>
  <c r="O230" i="97"/>
  <c r="M230" i="97"/>
  <c r="K230" i="97"/>
  <c r="I230" i="97"/>
  <c r="G230" i="97"/>
  <c r="E230" i="97"/>
  <c r="Q229" i="97"/>
  <c r="O229" i="97"/>
  <c r="M229" i="97"/>
  <c r="K229" i="97"/>
  <c r="I229" i="97"/>
  <c r="G229" i="97"/>
  <c r="E229" i="97"/>
  <c r="Q228" i="97"/>
  <c r="O228" i="97"/>
  <c r="M228" i="97"/>
  <c r="K228" i="97"/>
  <c r="I228" i="97"/>
  <c r="G228" i="97"/>
  <c r="E228" i="97"/>
  <c r="Q227" i="97"/>
  <c r="O227" i="97"/>
  <c r="M227" i="97"/>
  <c r="K227" i="97"/>
  <c r="I227" i="97"/>
  <c r="G227" i="97"/>
  <c r="E227" i="97"/>
  <c r="Q226" i="97"/>
  <c r="O226" i="97"/>
  <c r="M226" i="97"/>
  <c r="K226" i="97"/>
  <c r="I226" i="97"/>
  <c r="G226" i="97"/>
  <c r="E226" i="97"/>
  <c r="Q225" i="97"/>
  <c r="O225" i="97"/>
  <c r="M225" i="97"/>
  <c r="K225" i="97"/>
  <c r="I225" i="97"/>
  <c r="G225" i="97"/>
  <c r="E225" i="97"/>
  <c r="Q224" i="97"/>
  <c r="O224" i="97"/>
  <c r="M224" i="97"/>
  <c r="K224" i="97"/>
  <c r="I224" i="97"/>
  <c r="G224" i="97"/>
  <c r="E224" i="97"/>
  <c r="Q223" i="97"/>
  <c r="O223" i="97"/>
  <c r="M223" i="97"/>
  <c r="K223" i="97"/>
  <c r="I223" i="97"/>
  <c r="G223" i="97"/>
  <c r="E223" i="97"/>
  <c r="Q222" i="97"/>
  <c r="O222" i="97"/>
  <c r="M222" i="97"/>
  <c r="K222" i="97"/>
  <c r="I222" i="97"/>
  <c r="G222" i="97"/>
  <c r="E222" i="97"/>
  <c r="Q221" i="97"/>
  <c r="O221" i="97"/>
  <c r="M221" i="97"/>
  <c r="K221" i="97"/>
  <c r="I221" i="97"/>
  <c r="G221" i="97"/>
  <c r="E221" i="97"/>
  <c r="Q220" i="97"/>
  <c r="O220" i="97"/>
  <c r="M220" i="97"/>
  <c r="K220" i="97"/>
  <c r="I220" i="97"/>
  <c r="G220" i="97"/>
  <c r="E220" i="97"/>
  <c r="Q219" i="97"/>
  <c r="O219" i="97"/>
  <c r="M219" i="97"/>
  <c r="K219" i="97"/>
  <c r="I219" i="97"/>
  <c r="G219" i="97"/>
  <c r="E219" i="97"/>
  <c r="Q218" i="97"/>
  <c r="O218" i="97"/>
  <c r="M218" i="97"/>
  <c r="K218" i="97"/>
  <c r="I218" i="97"/>
  <c r="G218" i="97"/>
  <c r="E218" i="97"/>
  <c r="Q217" i="97"/>
  <c r="O217" i="97"/>
  <c r="M217" i="97"/>
  <c r="K217" i="97"/>
  <c r="I217" i="97"/>
  <c r="G217" i="97"/>
  <c r="E217" i="97"/>
  <c r="Q216" i="97"/>
  <c r="O216" i="97"/>
  <c r="M216" i="97"/>
  <c r="K216" i="97"/>
  <c r="I216" i="97"/>
  <c r="G216" i="97"/>
  <c r="E216" i="97"/>
  <c r="Q215" i="97"/>
  <c r="O215" i="97"/>
  <c r="M215" i="97"/>
  <c r="K215" i="97"/>
  <c r="I215" i="97"/>
  <c r="G215" i="97"/>
  <c r="E215" i="97"/>
  <c r="Q214" i="97"/>
  <c r="O214" i="97"/>
  <c r="M214" i="97"/>
  <c r="K214" i="97"/>
  <c r="I214" i="97"/>
  <c r="G214" i="97"/>
  <c r="E214" i="97"/>
  <c r="Q213" i="97"/>
  <c r="O213" i="97"/>
  <c r="M213" i="97"/>
  <c r="K213" i="97"/>
  <c r="I213" i="97"/>
  <c r="G213" i="97"/>
  <c r="E213" i="97"/>
  <c r="Q212" i="97"/>
  <c r="O212" i="97"/>
  <c r="M212" i="97"/>
  <c r="K212" i="97"/>
  <c r="I212" i="97"/>
  <c r="G212" i="97"/>
  <c r="E212" i="97"/>
  <c r="Q211" i="97"/>
  <c r="O211" i="97"/>
  <c r="M211" i="97"/>
  <c r="K211" i="97"/>
  <c r="I211" i="97"/>
  <c r="G211" i="97"/>
  <c r="E211" i="97"/>
  <c r="Q210" i="97"/>
  <c r="O210" i="97"/>
  <c r="M210" i="97"/>
  <c r="K210" i="97"/>
  <c r="I210" i="97"/>
  <c r="G210" i="97"/>
  <c r="E210" i="97"/>
  <c r="Q209" i="97"/>
  <c r="O209" i="97"/>
  <c r="M209" i="97"/>
  <c r="K209" i="97"/>
  <c r="I209" i="97"/>
  <c r="G209" i="97"/>
  <c r="E209" i="97"/>
  <c r="Q208" i="97"/>
  <c r="O208" i="97"/>
  <c r="M208" i="97"/>
  <c r="K208" i="97"/>
  <c r="I208" i="97"/>
  <c r="G208" i="97"/>
  <c r="E208" i="97"/>
  <c r="Q207" i="97"/>
  <c r="O207" i="97"/>
  <c r="M207" i="97"/>
  <c r="K207" i="97"/>
  <c r="I207" i="97"/>
  <c r="G207" i="97"/>
  <c r="E207" i="97"/>
  <c r="Q206" i="97"/>
  <c r="O206" i="97"/>
  <c r="M206" i="97"/>
  <c r="K206" i="97"/>
  <c r="I206" i="97"/>
  <c r="G206" i="97"/>
  <c r="E206" i="97"/>
  <c r="Q205" i="97"/>
  <c r="O205" i="97"/>
  <c r="M205" i="97"/>
  <c r="K205" i="97"/>
  <c r="I205" i="97"/>
  <c r="G205" i="97"/>
  <c r="E205" i="97"/>
  <c r="Q204" i="97"/>
  <c r="O204" i="97"/>
  <c r="M204" i="97"/>
  <c r="K204" i="97"/>
  <c r="I204" i="97"/>
  <c r="G204" i="97"/>
  <c r="E204" i="97"/>
  <c r="Q203" i="97"/>
  <c r="O203" i="97"/>
  <c r="M203" i="97"/>
  <c r="K203" i="97"/>
  <c r="I203" i="97"/>
  <c r="G203" i="97"/>
  <c r="E203" i="97"/>
  <c r="Q202" i="97"/>
  <c r="O202" i="97"/>
  <c r="M202" i="97"/>
  <c r="K202" i="97"/>
  <c r="I202" i="97"/>
  <c r="G202" i="97"/>
  <c r="E202" i="97"/>
  <c r="Q201" i="97"/>
  <c r="O201" i="97"/>
  <c r="M201" i="97"/>
  <c r="K201" i="97"/>
  <c r="I201" i="97"/>
  <c r="G201" i="97"/>
  <c r="E201" i="97"/>
  <c r="Q200" i="97"/>
  <c r="O200" i="97"/>
  <c r="M200" i="97"/>
  <c r="K200" i="97"/>
  <c r="I200" i="97"/>
  <c r="G200" i="97"/>
  <c r="E200" i="97"/>
  <c r="Q199" i="97"/>
  <c r="O199" i="97"/>
  <c r="M199" i="97"/>
  <c r="K199" i="97"/>
  <c r="I199" i="97"/>
  <c r="G199" i="97"/>
  <c r="E199" i="97"/>
  <c r="Q198" i="97"/>
  <c r="O198" i="97"/>
  <c r="M198" i="97"/>
  <c r="K198" i="97"/>
  <c r="I198" i="97"/>
  <c r="G198" i="97"/>
  <c r="E198" i="97"/>
  <c r="Q197" i="97"/>
  <c r="O197" i="97"/>
  <c r="M197" i="97"/>
  <c r="K197" i="97"/>
  <c r="I197" i="97"/>
  <c r="G197" i="97"/>
  <c r="E197" i="97"/>
  <c r="Q196" i="97"/>
  <c r="O196" i="97"/>
  <c r="M196" i="97"/>
  <c r="K196" i="97"/>
  <c r="I196" i="97"/>
  <c r="G196" i="97"/>
  <c r="E196" i="97"/>
  <c r="Q195" i="97"/>
  <c r="O195" i="97"/>
  <c r="M195" i="97"/>
  <c r="K195" i="97"/>
  <c r="I195" i="97"/>
  <c r="G195" i="97"/>
  <c r="E195" i="97"/>
  <c r="Q194" i="97"/>
  <c r="O194" i="97"/>
  <c r="M194" i="97"/>
  <c r="K194" i="97"/>
  <c r="I194" i="97"/>
  <c r="G194" i="97"/>
  <c r="E194" i="97"/>
  <c r="Q193" i="97"/>
  <c r="O193" i="97"/>
  <c r="M193" i="97"/>
  <c r="K193" i="97"/>
  <c r="I193" i="97"/>
  <c r="G193" i="97"/>
  <c r="E193" i="97"/>
  <c r="Q192" i="97"/>
  <c r="O192" i="97"/>
  <c r="M192" i="97"/>
  <c r="K192" i="97"/>
  <c r="I192" i="97"/>
  <c r="G192" i="97"/>
  <c r="E192" i="97"/>
  <c r="Q191" i="97"/>
  <c r="O191" i="97"/>
  <c r="M191" i="97"/>
  <c r="K191" i="97"/>
  <c r="I191" i="97"/>
  <c r="G191" i="97"/>
  <c r="E191" i="97"/>
  <c r="Q190" i="97"/>
  <c r="O190" i="97"/>
  <c r="M190" i="97"/>
  <c r="K190" i="97"/>
  <c r="I190" i="97"/>
  <c r="G190" i="97"/>
  <c r="E190" i="97"/>
  <c r="Q189" i="97"/>
  <c r="O189" i="97"/>
  <c r="M189" i="97"/>
  <c r="K189" i="97"/>
  <c r="I189" i="97"/>
  <c r="G189" i="97"/>
  <c r="E189" i="97"/>
  <c r="Q188" i="97"/>
  <c r="O188" i="97"/>
  <c r="M188" i="97"/>
  <c r="K188" i="97"/>
  <c r="I188" i="97"/>
  <c r="G188" i="97"/>
  <c r="E188" i="97"/>
  <c r="Q187" i="97"/>
  <c r="O187" i="97"/>
  <c r="M187" i="97"/>
  <c r="K187" i="97"/>
  <c r="I187" i="97"/>
  <c r="G187" i="97"/>
  <c r="E187" i="97"/>
  <c r="Q186" i="97"/>
  <c r="O186" i="97"/>
  <c r="M186" i="97"/>
  <c r="K186" i="97"/>
  <c r="I186" i="97"/>
  <c r="G186" i="97"/>
  <c r="E186" i="97"/>
  <c r="Q185" i="97"/>
  <c r="O185" i="97"/>
  <c r="M185" i="97"/>
  <c r="K185" i="97"/>
  <c r="I185" i="97"/>
  <c r="G185" i="97"/>
  <c r="E185" i="97"/>
  <c r="Q184" i="97"/>
  <c r="O184" i="97"/>
  <c r="M184" i="97"/>
  <c r="K184" i="97"/>
  <c r="I184" i="97"/>
  <c r="G184" i="97"/>
  <c r="E184" i="97"/>
  <c r="Q183" i="97"/>
  <c r="O183" i="97"/>
  <c r="M183" i="97"/>
  <c r="K183" i="97"/>
  <c r="I183" i="97"/>
  <c r="G183" i="97"/>
  <c r="E183" i="97"/>
  <c r="Q182" i="97"/>
  <c r="O182" i="97"/>
  <c r="M182" i="97"/>
  <c r="K182" i="97"/>
  <c r="I182" i="97"/>
  <c r="G182" i="97"/>
  <c r="E182" i="97"/>
  <c r="Q181" i="97"/>
  <c r="O181" i="97"/>
  <c r="M181" i="97"/>
  <c r="K181" i="97"/>
  <c r="I181" i="97"/>
  <c r="G181" i="97"/>
  <c r="E181" i="97"/>
  <c r="Q180" i="97"/>
  <c r="O180" i="97"/>
  <c r="M180" i="97"/>
  <c r="K180" i="97"/>
  <c r="I180" i="97"/>
  <c r="G180" i="97"/>
  <c r="E180" i="97"/>
  <c r="Q179" i="97"/>
  <c r="O179" i="97"/>
  <c r="M179" i="97"/>
  <c r="K179" i="97"/>
  <c r="I179" i="97"/>
  <c r="G179" i="97"/>
  <c r="E179" i="97"/>
  <c r="Q178" i="97"/>
  <c r="O178" i="97"/>
  <c r="M178" i="97"/>
  <c r="K178" i="97"/>
  <c r="I178" i="97"/>
  <c r="G178" i="97"/>
  <c r="E178" i="97"/>
  <c r="Q177" i="97"/>
  <c r="O177" i="97"/>
  <c r="M177" i="97"/>
  <c r="K177" i="97"/>
  <c r="I177" i="97"/>
  <c r="G177" i="97"/>
  <c r="E177" i="97"/>
  <c r="Q176" i="97"/>
  <c r="O176" i="97"/>
  <c r="M176" i="97"/>
  <c r="K176" i="97"/>
  <c r="I176" i="97"/>
  <c r="G176" i="97"/>
  <c r="E176" i="97"/>
  <c r="Q175" i="97"/>
  <c r="O175" i="97"/>
  <c r="M175" i="97"/>
  <c r="K175" i="97"/>
  <c r="I175" i="97"/>
  <c r="G175" i="97"/>
  <c r="E175" i="97"/>
  <c r="Q174" i="97"/>
  <c r="O174" i="97"/>
  <c r="M174" i="97"/>
  <c r="K174" i="97"/>
  <c r="I174" i="97"/>
  <c r="G174" i="97"/>
  <c r="E174" i="97"/>
  <c r="Q173" i="97"/>
  <c r="O173" i="97"/>
  <c r="M173" i="97"/>
  <c r="K173" i="97"/>
  <c r="I173" i="97"/>
  <c r="G173" i="97"/>
  <c r="E173" i="97"/>
  <c r="Q172" i="97"/>
  <c r="O172" i="97"/>
  <c r="M172" i="97"/>
  <c r="K172" i="97"/>
  <c r="I172" i="97"/>
  <c r="G172" i="97"/>
  <c r="E172" i="97"/>
  <c r="Q171" i="97"/>
  <c r="O171" i="97"/>
  <c r="M171" i="97"/>
  <c r="K171" i="97"/>
  <c r="I171" i="97"/>
  <c r="G171" i="97"/>
  <c r="E171" i="97"/>
  <c r="Q170" i="97"/>
  <c r="O170" i="97"/>
  <c r="M170" i="97"/>
  <c r="K170" i="97"/>
  <c r="I170" i="97"/>
  <c r="G170" i="97"/>
  <c r="E170" i="97"/>
  <c r="Q169" i="97"/>
  <c r="O169" i="97"/>
  <c r="M169" i="97"/>
  <c r="K169" i="97"/>
  <c r="I169" i="97"/>
  <c r="G169" i="97"/>
  <c r="E169" i="97"/>
  <c r="Q168" i="97"/>
  <c r="O168" i="97"/>
  <c r="M168" i="97"/>
  <c r="K168" i="97"/>
  <c r="I168" i="97"/>
  <c r="G168" i="97"/>
  <c r="E168" i="97"/>
  <c r="Q167" i="97"/>
  <c r="O167" i="97"/>
  <c r="M167" i="97"/>
  <c r="K167" i="97"/>
  <c r="I167" i="97"/>
  <c r="G167" i="97"/>
  <c r="E167" i="97"/>
  <c r="Q166" i="97"/>
  <c r="O166" i="97"/>
  <c r="M166" i="97"/>
  <c r="K166" i="97"/>
  <c r="I166" i="97"/>
  <c r="G166" i="97"/>
  <c r="E166" i="97"/>
  <c r="Q165" i="97"/>
  <c r="O165" i="97"/>
  <c r="M165" i="97"/>
  <c r="K165" i="97"/>
  <c r="I165" i="97"/>
  <c r="G165" i="97"/>
  <c r="E165" i="97"/>
  <c r="Q164" i="97"/>
  <c r="O164" i="97"/>
  <c r="M164" i="97"/>
  <c r="K164" i="97"/>
  <c r="I164" i="97"/>
  <c r="G164" i="97"/>
  <c r="E164" i="97"/>
  <c r="Q163" i="97"/>
  <c r="O163" i="97"/>
  <c r="M163" i="97"/>
  <c r="K163" i="97"/>
  <c r="I163" i="97"/>
  <c r="G163" i="97"/>
  <c r="E163" i="97"/>
  <c r="Q162" i="97"/>
  <c r="O162" i="97"/>
  <c r="M162" i="97"/>
  <c r="K162" i="97"/>
  <c r="I162" i="97"/>
  <c r="G162" i="97"/>
  <c r="E162" i="97"/>
  <c r="Q161" i="97"/>
  <c r="O161" i="97"/>
  <c r="M161" i="97"/>
  <c r="K161" i="97"/>
  <c r="I161" i="97"/>
  <c r="G161" i="97"/>
  <c r="E161" i="97"/>
  <c r="Q160" i="97"/>
  <c r="O160" i="97"/>
  <c r="M160" i="97"/>
  <c r="K160" i="97"/>
  <c r="I160" i="97"/>
  <c r="G160" i="97"/>
  <c r="E160" i="97"/>
  <c r="Q159" i="97"/>
  <c r="O159" i="97"/>
  <c r="M159" i="97"/>
  <c r="K159" i="97"/>
  <c r="I159" i="97"/>
  <c r="G159" i="97"/>
  <c r="E159" i="97"/>
  <c r="Q158" i="97"/>
  <c r="O158" i="97"/>
  <c r="M158" i="97"/>
  <c r="K158" i="97"/>
  <c r="I158" i="97"/>
  <c r="G158" i="97"/>
  <c r="E158" i="97"/>
  <c r="Q157" i="97"/>
  <c r="O157" i="97"/>
  <c r="M157" i="97"/>
  <c r="K157" i="97"/>
  <c r="I157" i="97"/>
  <c r="G157" i="97"/>
  <c r="E157" i="97"/>
  <c r="Q156" i="97"/>
  <c r="O156" i="97"/>
  <c r="M156" i="97"/>
  <c r="K156" i="97"/>
  <c r="I156" i="97"/>
  <c r="G156" i="97"/>
  <c r="E156" i="97"/>
  <c r="Q155" i="97"/>
  <c r="O155" i="97"/>
  <c r="M155" i="97"/>
  <c r="K155" i="97"/>
  <c r="I155" i="97"/>
  <c r="G155" i="97"/>
  <c r="E155" i="97"/>
  <c r="Q154" i="97"/>
  <c r="O154" i="97"/>
  <c r="M154" i="97"/>
  <c r="K154" i="97"/>
  <c r="I154" i="97"/>
  <c r="G154" i="97"/>
  <c r="E154" i="97"/>
  <c r="Q153" i="97"/>
  <c r="O153" i="97"/>
  <c r="M153" i="97"/>
  <c r="K153" i="97"/>
  <c r="I153" i="97"/>
  <c r="G153" i="97"/>
  <c r="E153" i="97"/>
  <c r="Q152" i="97"/>
  <c r="O152" i="97"/>
  <c r="M152" i="97"/>
  <c r="K152" i="97"/>
  <c r="I152" i="97"/>
  <c r="G152" i="97"/>
  <c r="E152" i="97"/>
  <c r="Q151" i="97"/>
  <c r="O151" i="97"/>
  <c r="M151" i="97"/>
  <c r="K151" i="97"/>
  <c r="I151" i="97"/>
  <c r="G151" i="97"/>
  <c r="E151" i="97"/>
  <c r="Q150" i="97"/>
  <c r="O150" i="97"/>
  <c r="M150" i="97"/>
  <c r="K150" i="97"/>
  <c r="I150" i="97"/>
  <c r="G150" i="97"/>
  <c r="E150" i="97"/>
  <c r="Q149" i="97"/>
  <c r="O149" i="97"/>
  <c r="M149" i="97"/>
  <c r="K149" i="97"/>
  <c r="I149" i="97"/>
  <c r="G149" i="97"/>
  <c r="E149" i="97"/>
  <c r="Q148" i="97"/>
  <c r="O148" i="97"/>
  <c r="M148" i="97"/>
  <c r="K148" i="97"/>
  <c r="I148" i="97"/>
  <c r="G148" i="97"/>
  <c r="E148" i="97"/>
  <c r="Q147" i="97"/>
  <c r="O147" i="97"/>
  <c r="M147" i="97"/>
  <c r="K147" i="97"/>
  <c r="I147" i="97"/>
  <c r="G147" i="97"/>
  <c r="E147" i="97"/>
  <c r="Q146" i="97"/>
  <c r="O146" i="97"/>
  <c r="M146" i="97"/>
  <c r="K146" i="97"/>
  <c r="I146" i="97"/>
  <c r="G146" i="97"/>
  <c r="E146" i="97"/>
  <c r="Q145" i="97"/>
  <c r="O145" i="97"/>
  <c r="M145" i="97"/>
  <c r="K145" i="97"/>
  <c r="I145" i="97"/>
  <c r="G145" i="97"/>
  <c r="E145" i="97"/>
  <c r="Q144" i="97"/>
  <c r="O144" i="97"/>
  <c r="M144" i="97"/>
  <c r="K144" i="97"/>
  <c r="I144" i="97"/>
  <c r="G144" i="97"/>
  <c r="E144" i="97"/>
  <c r="Q143" i="97"/>
  <c r="O143" i="97"/>
  <c r="M143" i="97"/>
  <c r="K143" i="97"/>
  <c r="I143" i="97"/>
  <c r="G143" i="97"/>
  <c r="E143" i="97"/>
  <c r="Q142" i="97"/>
  <c r="O142" i="97"/>
  <c r="M142" i="97"/>
  <c r="K142" i="97"/>
  <c r="I142" i="97"/>
  <c r="G142" i="97"/>
  <c r="E142" i="97"/>
  <c r="Q141" i="97"/>
  <c r="O141" i="97"/>
  <c r="M141" i="97"/>
  <c r="K141" i="97"/>
  <c r="I141" i="97"/>
  <c r="G141" i="97"/>
  <c r="E141" i="97"/>
  <c r="Q140" i="97"/>
  <c r="O140" i="97"/>
  <c r="M140" i="97"/>
  <c r="K140" i="97"/>
  <c r="I140" i="97"/>
  <c r="G140" i="97"/>
  <c r="E140" i="97"/>
  <c r="Q139" i="97"/>
  <c r="O139" i="97"/>
  <c r="M139" i="97"/>
  <c r="K139" i="97"/>
  <c r="I139" i="97"/>
  <c r="G139" i="97"/>
  <c r="E139" i="97"/>
  <c r="Q138" i="97"/>
  <c r="O138" i="97"/>
  <c r="M138" i="97"/>
  <c r="K138" i="97"/>
  <c r="I138" i="97"/>
  <c r="G138" i="97"/>
  <c r="E138" i="97"/>
  <c r="Q137" i="97"/>
  <c r="O137" i="97"/>
  <c r="M137" i="97"/>
  <c r="K137" i="97"/>
  <c r="I137" i="97"/>
  <c r="G137" i="97"/>
  <c r="E137" i="97"/>
  <c r="Q136" i="97"/>
  <c r="O136" i="97"/>
  <c r="M136" i="97"/>
  <c r="K136" i="97"/>
  <c r="I136" i="97"/>
  <c r="G136" i="97"/>
  <c r="E136" i="97"/>
  <c r="Q135" i="97"/>
  <c r="O135" i="97"/>
  <c r="M135" i="97"/>
  <c r="K135" i="97"/>
  <c r="I135" i="97"/>
  <c r="G135" i="97"/>
  <c r="E135" i="97"/>
  <c r="Q134" i="97"/>
  <c r="O134" i="97"/>
  <c r="M134" i="97"/>
  <c r="K134" i="97"/>
  <c r="I134" i="97"/>
  <c r="G134" i="97"/>
  <c r="E134" i="97"/>
  <c r="Q133" i="97"/>
  <c r="O133" i="97"/>
  <c r="M133" i="97"/>
  <c r="K133" i="97"/>
  <c r="I133" i="97"/>
  <c r="G133" i="97"/>
  <c r="E133" i="97"/>
  <c r="Q132" i="97"/>
  <c r="O132" i="97"/>
  <c r="M132" i="97"/>
  <c r="K132" i="97"/>
  <c r="I132" i="97"/>
  <c r="G132" i="97"/>
  <c r="E132" i="97"/>
  <c r="Q131" i="97"/>
  <c r="O131" i="97"/>
  <c r="M131" i="97"/>
  <c r="K131" i="97"/>
  <c r="I131" i="97"/>
  <c r="G131" i="97"/>
  <c r="E131" i="97"/>
  <c r="Q130" i="97"/>
  <c r="O130" i="97"/>
  <c r="M130" i="97"/>
  <c r="K130" i="97"/>
  <c r="I130" i="97"/>
  <c r="G130" i="97"/>
  <c r="E130" i="97"/>
  <c r="Q129" i="97"/>
  <c r="O129" i="97"/>
  <c r="M129" i="97"/>
  <c r="K129" i="97"/>
  <c r="I129" i="97"/>
  <c r="G129" i="97"/>
  <c r="E129" i="97"/>
  <c r="Q128" i="97"/>
  <c r="O128" i="97"/>
  <c r="M128" i="97"/>
  <c r="K128" i="97"/>
  <c r="I128" i="97"/>
  <c r="G128" i="97"/>
  <c r="E128" i="97"/>
  <c r="Q127" i="97"/>
  <c r="O127" i="97"/>
  <c r="M127" i="97"/>
  <c r="K127" i="97"/>
  <c r="I127" i="97"/>
  <c r="G127" i="97"/>
  <c r="E127" i="97"/>
  <c r="Q126" i="97"/>
  <c r="O126" i="97"/>
  <c r="M126" i="97"/>
  <c r="K126" i="97"/>
  <c r="I126" i="97"/>
  <c r="G126" i="97"/>
  <c r="E126" i="97"/>
  <c r="Q125" i="97"/>
  <c r="O125" i="97"/>
  <c r="M125" i="97"/>
  <c r="K125" i="97"/>
  <c r="I125" i="97"/>
  <c r="G125" i="97"/>
  <c r="E125" i="97"/>
  <c r="Q124" i="97"/>
  <c r="O124" i="97"/>
  <c r="M124" i="97"/>
  <c r="K124" i="97"/>
  <c r="I124" i="97"/>
  <c r="G124" i="97"/>
  <c r="E124" i="97"/>
  <c r="Q123" i="97"/>
  <c r="O123" i="97"/>
  <c r="M123" i="97"/>
  <c r="K123" i="97"/>
  <c r="I123" i="97"/>
  <c r="G123" i="97"/>
  <c r="E123" i="97"/>
  <c r="Q122" i="97"/>
  <c r="O122" i="97"/>
  <c r="M122" i="97"/>
  <c r="K122" i="97"/>
  <c r="I122" i="97"/>
  <c r="G122" i="97"/>
  <c r="E122" i="97"/>
  <c r="Q121" i="97"/>
  <c r="O121" i="97"/>
  <c r="M121" i="97"/>
  <c r="K121" i="97"/>
  <c r="I121" i="97"/>
  <c r="G121" i="97"/>
  <c r="E121" i="97"/>
  <c r="Q120" i="97"/>
  <c r="O120" i="97"/>
  <c r="M120" i="97"/>
  <c r="K120" i="97"/>
  <c r="I120" i="97"/>
  <c r="G120" i="97"/>
  <c r="E120" i="97"/>
  <c r="Q119" i="97"/>
  <c r="O119" i="97"/>
  <c r="M119" i="97"/>
  <c r="K119" i="97"/>
  <c r="I119" i="97"/>
  <c r="G119" i="97"/>
  <c r="E119" i="97"/>
  <c r="Q118" i="97"/>
  <c r="O118" i="97"/>
  <c r="M118" i="97"/>
  <c r="K118" i="97"/>
  <c r="I118" i="97"/>
  <c r="G118" i="97"/>
  <c r="E118" i="97"/>
  <c r="Q117" i="97"/>
  <c r="O117" i="97"/>
  <c r="M117" i="97"/>
  <c r="K117" i="97"/>
  <c r="I117" i="97"/>
  <c r="G117" i="97"/>
  <c r="E117" i="97"/>
  <c r="Q116" i="97"/>
  <c r="O116" i="97"/>
  <c r="M116" i="97"/>
  <c r="K116" i="97"/>
  <c r="I116" i="97"/>
  <c r="G116" i="97"/>
  <c r="E116" i="97"/>
  <c r="Q115" i="97"/>
  <c r="O115" i="97"/>
  <c r="M115" i="97"/>
  <c r="K115" i="97"/>
  <c r="I115" i="97"/>
  <c r="G115" i="97"/>
  <c r="E115" i="97"/>
  <c r="Q114" i="97"/>
  <c r="O114" i="97"/>
  <c r="M114" i="97"/>
  <c r="K114" i="97"/>
  <c r="I114" i="97"/>
  <c r="G114" i="97"/>
  <c r="E114" i="97"/>
  <c r="Q113" i="97"/>
  <c r="O113" i="97"/>
  <c r="M113" i="97"/>
  <c r="K113" i="97"/>
  <c r="I113" i="97"/>
  <c r="G113" i="97"/>
  <c r="E113" i="97"/>
  <c r="Q112" i="97"/>
  <c r="O112" i="97"/>
  <c r="M112" i="97"/>
  <c r="K112" i="97"/>
  <c r="I112" i="97"/>
  <c r="G112" i="97"/>
  <c r="E112" i="97"/>
  <c r="Q111" i="97"/>
  <c r="O111" i="97"/>
  <c r="M111" i="97"/>
  <c r="K111" i="97"/>
  <c r="I111" i="97"/>
  <c r="G111" i="97"/>
  <c r="E111" i="97"/>
  <c r="Q110" i="97"/>
  <c r="O110" i="97"/>
  <c r="M110" i="97"/>
  <c r="K110" i="97"/>
  <c r="I110" i="97"/>
  <c r="G110" i="97"/>
  <c r="E110" i="97"/>
  <c r="Q109" i="97"/>
  <c r="O109" i="97"/>
  <c r="M109" i="97"/>
  <c r="K109" i="97"/>
  <c r="I109" i="97"/>
  <c r="G109" i="97"/>
  <c r="E109" i="97"/>
  <c r="Q108" i="97"/>
  <c r="O108" i="97"/>
  <c r="M108" i="97"/>
  <c r="K108" i="97"/>
  <c r="I108" i="97"/>
  <c r="G108" i="97"/>
  <c r="E108" i="97"/>
  <c r="Q107" i="97"/>
  <c r="O107" i="97"/>
  <c r="M107" i="97"/>
  <c r="K107" i="97"/>
  <c r="I107" i="97"/>
  <c r="G107" i="97"/>
  <c r="E107" i="97"/>
  <c r="Q106" i="97"/>
  <c r="O106" i="97"/>
  <c r="M106" i="97"/>
  <c r="K106" i="97"/>
  <c r="I106" i="97"/>
  <c r="G106" i="97"/>
  <c r="E106" i="97"/>
  <c r="Q105" i="97"/>
  <c r="O105" i="97"/>
  <c r="M105" i="97"/>
  <c r="K105" i="97"/>
  <c r="I105" i="97"/>
  <c r="G105" i="97"/>
  <c r="E105" i="97"/>
  <c r="Q104" i="97"/>
  <c r="O104" i="97"/>
  <c r="M104" i="97"/>
  <c r="K104" i="97"/>
  <c r="I104" i="97"/>
  <c r="G104" i="97"/>
  <c r="E104" i="97"/>
  <c r="Q103" i="97"/>
  <c r="O103" i="97"/>
  <c r="M103" i="97"/>
  <c r="K103" i="97"/>
  <c r="I103" i="97"/>
  <c r="G103" i="97"/>
  <c r="E103" i="97"/>
  <c r="Q102" i="97"/>
  <c r="O102" i="97"/>
  <c r="M102" i="97"/>
  <c r="K102" i="97"/>
  <c r="I102" i="97"/>
  <c r="G102" i="97"/>
  <c r="E102" i="97"/>
  <c r="Q101" i="97"/>
  <c r="O101" i="97"/>
  <c r="M101" i="97"/>
  <c r="K101" i="97"/>
  <c r="I101" i="97"/>
  <c r="G101" i="97"/>
  <c r="E101" i="97"/>
  <c r="Q100" i="97"/>
  <c r="O100" i="97"/>
  <c r="M100" i="97"/>
  <c r="K100" i="97"/>
  <c r="I100" i="97"/>
  <c r="G100" i="97"/>
  <c r="E100" i="97"/>
  <c r="Q99" i="97"/>
  <c r="O99" i="97"/>
  <c r="M99" i="97"/>
  <c r="K99" i="97"/>
  <c r="I99" i="97"/>
  <c r="G99" i="97"/>
  <c r="E99" i="97"/>
  <c r="Q98" i="97"/>
  <c r="O98" i="97"/>
  <c r="M98" i="97"/>
  <c r="K98" i="97"/>
  <c r="I98" i="97"/>
  <c r="G98" i="97"/>
  <c r="E98" i="97"/>
  <c r="Q97" i="97"/>
  <c r="O97" i="97"/>
  <c r="M97" i="97"/>
  <c r="K97" i="97"/>
  <c r="I97" i="97"/>
  <c r="G97" i="97"/>
  <c r="E97" i="97"/>
  <c r="Q96" i="97"/>
  <c r="O96" i="97"/>
  <c r="M96" i="97"/>
  <c r="K96" i="97"/>
  <c r="I96" i="97"/>
  <c r="G96" i="97"/>
  <c r="E96" i="97"/>
  <c r="Q95" i="97"/>
  <c r="O95" i="97"/>
  <c r="M95" i="97"/>
  <c r="K95" i="97"/>
  <c r="I95" i="97"/>
  <c r="G95" i="97"/>
  <c r="E95" i="97"/>
  <c r="Q94" i="97"/>
  <c r="O94" i="97"/>
  <c r="M94" i="97"/>
  <c r="K94" i="97"/>
  <c r="I94" i="97"/>
  <c r="G94" i="97"/>
  <c r="E94" i="97"/>
  <c r="Q93" i="97"/>
  <c r="O93" i="97"/>
  <c r="M93" i="97"/>
  <c r="K93" i="97"/>
  <c r="I93" i="97"/>
  <c r="G93" i="97"/>
  <c r="E93" i="97"/>
  <c r="Q92" i="97"/>
  <c r="O92" i="97"/>
  <c r="M92" i="97"/>
  <c r="K92" i="97"/>
  <c r="I92" i="97"/>
  <c r="G92" i="97"/>
  <c r="E92" i="97"/>
  <c r="Q91" i="97"/>
  <c r="O91" i="97"/>
  <c r="M91" i="97"/>
  <c r="K91" i="97"/>
  <c r="I91" i="97"/>
  <c r="G91" i="97"/>
  <c r="E91" i="97"/>
  <c r="Q90" i="97"/>
  <c r="O90" i="97"/>
  <c r="M90" i="97"/>
  <c r="K90" i="97"/>
  <c r="I90" i="97"/>
  <c r="G90" i="97"/>
  <c r="E90" i="97"/>
  <c r="Q89" i="97"/>
  <c r="O89" i="97"/>
  <c r="M89" i="97"/>
  <c r="K89" i="97"/>
  <c r="I89" i="97"/>
  <c r="G89" i="97"/>
  <c r="E89" i="97"/>
  <c r="Q88" i="97"/>
  <c r="O88" i="97"/>
  <c r="M88" i="97"/>
  <c r="K88" i="97"/>
  <c r="I88" i="97"/>
  <c r="G88" i="97"/>
  <c r="E88" i="97"/>
  <c r="Q87" i="97"/>
  <c r="O87" i="97"/>
  <c r="M87" i="97"/>
  <c r="K87" i="97"/>
  <c r="I87" i="97"/>
  <c r="G87" i="97"/>
  <c r="E87" i="97"/>
  <c r="Q86" i="97"/>
  <c r="O86" i="97"/>
  <c r="M86" i="97"/>
  <c r="K86" i="97"/>
  <c r="I86" i="97"/>
  <c r="G86" i="97"/>
  <c r="E86" i="97"/>
  <c r="Q85" i="97"/>
  <c r="O85" i="97"/>
  <c r="M85" i="97"/>
  <c r="K85" i="97"/>
  <c r="I85" i="97"/>
  <c r="G85" i="97"/>
  <c r="E85" i="97"/>
  <c r="Q84" i="97"/>
  <c r="O84" i="97"/>
  <c r="M84" i="97"/>
  <c r="K84" i="97"/>
  <c r="I84" i="97"/>
  <c r="G84" i="97"/>
  <c r="E84" i="97"/>
  <c r="Q83" i="97"/>
  <c r="O83" i="97"/>
  <c r="M83" i="97"/>
  <c r="K83" i="97"/>
  <c r="I83" i="97"/>
  <c r="G83" i="97"/>
  <c r="E83" i="97"/>
  <c r="Q82" i="97"/>
  <c r="O82" i="97"/>
  <c r="M82" i="97"/>
  <c r="K82" i="97"/>
  <c r="I82" i="97"/>
  <c r="G82" i="97"/>
  <c r="E82" i="97"/>
  <c r="Q81" i="97"/>
  <c r="O81" i="97"/>
  <c r="M81" i="97"/>
  <c r="K81" i="97"/>
  <c r="I81" i="97"/>
  <c r="G81" i="97"/>
  <c r="E81" i="97"/>
  <c r="Q80" i="97"/>
  <c r="O80" i="97"/>
  <c r="M80" i="97"/>
  <c r="K80" i="97"/>
  <c r="I80" i="97"/>
  <c r="G80" i="97"/>
  <c r="E80" i="97"/>
  <c r="Q79" i="97"/>
  <c r="O79" i="97"/>
  <c r="M79" i="97"/>
  <c r="K79" i="97"/>
  <c r="I79" i="97"/>
  <c r="G79" i="97"/>
  <c r="E79" i="97"/>
  <c r="Q78" i="97"/>
  <c r="O78" i="97"/>
  <c r="M78" i="97"/>
  <c r="K78" i="97"/>
  <c r="I78" i="97"/>
  <c r="G78" i="97"/>
  <c r="E78" i="97"/>
  <c r="Q77" i="97"/>
  <c r="O77" i="97"/>
  <c r="M77" i="97"/>
  <c r="K77" i="97"/>
  <c r="I77" i="97"/>
  <c r="G77" i="97"/>
  <c r="E77" i="97"/>
  <c r="Q76" i="97"/>
  <c r="O76" i="97"/>
  <c r="M76" i="97"/>
  <c r="K76" i="97"/>
  <c r="I76" i="97"/>
  <c r="G76" i="97"/>
  <c r="E76" i="97"/>
  <c r="Q75" i="97"/>
  <c r="O75" i="97"/>
  <c r="M75" i="97"/>
  <c r="K75" i="97"/>
  <c r="I75" i="97"/>
  <c r="G75" i="97"/>
  <c r="E75" i="97"/>
  <c r="Q74" i="97"/>
  <c r="O74" i="97"/>
  <c r="M74" i="97"/>
  <c r="K74" i="97"/>
  <c r="I74" i="97"/>
  <c r="G74" i="97"/>
  <c r="E74" i="97"/>
  <c r="Q73" i="97"/>
  <c r="O73" i="97"/>
  <c r="M73" i="97"/>
  <c r="K73" i="97"/>
  <c r="I73" i="97"/>
  <c r="G73" i="97"/>
  <c r="E73" i="97"/>
  <c r="Q72" i="97"/>
  <c r="O72" i="97"/>
  <c r="M72" i="97"/>
  <c r="K72" i="97"/>
  <c r="I72" i="97"/>
  <c r="G72" i="97"/>
  <c r="E72" i="97"/>
  <c r="Q71" i="97"/>
  <c r="O71" i="97"/>
  <c r="M71" i="97"/>
  <c r="K71" i="97"/>
  <c r="I71" i="97"/>
  <c r="G71" i="97"/>
  <c r="E71" i="97"/>
  <c r="Q70" i="97"/>
  <c r="O70" i="97"/>
  <c r="M70" i="97"/>
  <c r="K70" i="97"/>
  <c r="I70" i="97"/>
  <c r="G70" i="97"/>
  <c r="E70" i="97"/>
  <c r="Q69" i="97"/>
  <c r="O69" i="97"/>
  <c r="M69" i="97"/>
  <c r="K69" i="97"/>
  <c r="I69" i="97"/>
  <c r="G69" i="97"/>
  <c r="E69" i="97"/>
  <c r="Q68" i="97"/>
  <c r="O68" i="97"/>
  <c r="M68" i="97"/>
  <c r="K68" i="97"/>
  <c r="I68" i="97"/>
  <c r="G68" i="97"/>
  <c r="E68" i="97"/>
  <c r="Q67" i="97"/>
  <c r="O67" i="97"/>
  <c r="M67" i="97"/>
  <c r="K67" i="97"/>
  <c r="I67" i="97"/>
  <c r="G67" i="97"/>
  <c r="E67" i="97"/>
  <c r="Q66" i="97"/>
  <c r="O66" i="97"/>
  <c r="M66" i="97"/>
  <c r="K66" i="97"/>
  <c r="I66" i="97"/>
  <c r="G66" i="97"/>
  <c r="E66" i="97"/>
  <c r="Q65" i="97"/>
  <c r="O65" i="97"/>
  <c r="M65" i="97"/>
  <c r="K65" i="97"/>
  <c r="I65" i="97"/>
  <c r="G65" i="97"/>
  <c r="E65" i="97"/>
  <c r="Q64" i="97"/>
  <c r="O64" i="97"/>
  <c r="M64" i="97"/>
  <c r="K64" i="97"/>
  <c r="I64" i="97"/>
  <c r="G64" i="97"/>
  <c r="E64" i="97"/>
  <c r="Q63" i="97"/>
  <c r="O63" i="97"/>
  <c r="M63" i="97"/>
  <c r="K63" i="97"/>
  <c r="I63" i="97"/>
  <c r="G63" i="97"/>
  <c r="E63" i="97"/>
  <c r="Q62" i="97"/>
  <c r="O62" i="97"/>
  <c r="M62" i="97"/>
  <c r="K62" i="97"/>
  <c r="I62" i="97"/>
  <c r="G62" i="97"/>
  <c r="E62" i="97"/>
  <c r="Q61" i="97"/>
  <c r="O61" i="97"/>
  <c r="M61" i="97"/>
  <c r="K61" i="97"/>
  <c r="I61" i="97"/>
  <c r="G61" i="97"/>
  <c r="E61" i="97"/>
  <c r="Q60" i="97"/>
  <c r="O60" i="97"/>
  <c r="M60" i="97"/>
  <c r="K60" i="97"/>
  <c r="I60" i="97"/>
  <c r="G60" i="97"/>
  <c r="E60" i="97"/>
  <c r="Q59" i="97"/>
  <c r="O59" i="97"/>
  <c r="M59" i="97"/>
  <c r="K59" i="97"/>
  <c r="I59" i="97"/>
  <c r="G59" i="97"/>
  <c r="E59" i="97"/>
  <c r="Q58" i="97"/>
  <c r="O58" i="97"/>
  <c r="M58" i="97"/>
  <c r="K58" i="97"/>
  <c r="I58" i="97"/>
  <c r="G58" i="97"/>
  <c r="E58" i="97"/>
  <c r="Q57" i="97"/>
  <c r="O57" i="97"/>
  <c r="M57" i="97"/>
  <c r="K57" i="97"/>
  <c r="I57" i="97"/>
  <c r="G57" i="97"/>
  <c r="E57" i="97"/>
  <c r="Q56" i="97"/>
  <c r="O56" i="97"/>
  <c r="M56" i="97"/>
  <c r="K56" i="97"/>
  <c r="I56" i="97"/>
  <c r="G56" i="97"/>
  <c r="E56" i="97"/>
  <c r="Q55" i="97"/>
  <c r="O55" i="97"/>
  <c r="M55" i="97"/>
  <c r="K55" i="97"/>
  <c r="I55" i="97"/>
  <c r="G55" i="97"/>
  <c r="E55" i="97"/>
  <c r="Q54" i="97"/>
  <c r="O54" i="97"/>
  <c r="M54" i="97"/>
  <c r="K54" i="97"/>
  <c r="I54" i="97"/>
  <c r="G54" i="97"/>
  <c r="E54" i="97"/>
  <c r="Q53" i="97"/>
  <c r="O53" i="97"/>
  <c r="M53" i="97"/>
  <c r="K53" i="97"/>
  <c r="I53" i="97"/>
  <c r="G53" i="97"/>
  <c r="E53" i="97"/>
  <c r="Q52" i="97"/>
  <c r="O52" i="97"/>
  <c r="M52" i="97"/>
  <c r="K52" i="97"/>
  <c r="I52" i="97"/>
  <c r="G52" i="97"/>
  <c r="E52" i="97"/>
  <c r="Q51" i="97"/>
  <c r="O51" i="97"/>
  <c r="M51" i="97"/>
  <c r="K51" i="97"/>
  <c r="I51" i="97"/>
  <c r="G51" i="97"/>
  <c r="E51" i="97"/>
  <c r="Q50" i="97"/>
  <c r="O50" i="97"/>
  <c r="M50" i="97"/>
  <c r="K50" i="97"/>
  <c r="I50" i="97"/>
  <c r="G50" i="97"/>
  <c r="E50" i="97"/>
  <c r="Q49" i="97"/>
  <c r="O49" i="97"/>
  <c r="M49" i="97"/>
  <c r="K49" i="97"/>
  <c r="I49" i="97"/>
  <c r="G49" i="97"/>
  <c r="E49" i="97"/>
  <c r="Q48" i="97"/>
  <c r="O48" i="97"/>
  <c r="M48" i="97"/>
  <c r="K48" i="97"/>
  <c r="I48" i="97"/>
  <c r="G48" i="97"/>
  <c r="E48" i="97"/>
  <c r="Q47" i="97"/>
  <c r="O47" i="97"/>
  <c r="M47" i="97"/>
  <c r="K47" i="97"/>
  <c r="I47" i="97"/>
  <c r="G47" i="97"/>
  <c r="E47" i="97"/>
  <c r="Q46" i="97"/>
  <c r="O46" i="97"/>
  <c r="M46" i="97"/>
  <c r="K46" i="97"/>
  <c r="I46" i="97"/>
  <c r="G46" i="97"/>
  <c r="E46" i="97"/>
  <c r="Q45" i="97"/>
  <c r="O45" i="97"/>
  <c r="M45" i="97"/>
  <c r="K45" i="97"/>
  <c r="I45" i="97"/>
  <c r="G45" i="97"/>
  <c r="E45" i="97"/>
  <c r="Q44" i="97"/>
  <c r="O44" i="97"/>
  <c r="M44" i="97"/>
  <c r="K44" i="97"/>
  <c r="I44" i="97"/>
  <c r="G44" i="97"/>
  <c r="E44" i="97"/>
  <c r="Q43" i="97"/>
  <c r="O43" i="97"/>
  <c r="M43" i="97"/>
  <c r="K43" i="97"/>
  <c r="I43" i="97"/>
  <c r="G43" i="97"/>
  <c r="E43" i="97"/>
  <c r="Q42" i="97"/>
  <c r="O42" i="97"/>
  <c r="M42" i="97"/>
  <c r="K42" i="97"/>
  <c r="I42" i="97"/>
  <c r="G42" i="97"/>
  <c r="E42" i="97"/>
  <c r="Q41" i="97"/>
  <c r="O41" i="97"/>
  <c r="M41" i="97"/>
  <c r="K41" i="97"/>
  <c r="I41" i="97"/>
  <c r="G41" i="97"/>
  <c r="E41" i="97"/>
  <c r="Q40" i="97"/>
  <c r="O40" i="97"/>
  <c r="M40" i="97"/>
  <c r="K40" i="97"/>
  <c r="I40" i="97"/>
  <c r="G40" i="97"/>
  <c r="E40" i="97"/>
  <c r="Q39" i="97"/>
  <c r="O39" i="97"/>
  <c r="M39" i="97"/>
  <c r="K39" i="97"/>
  <c r="I39" i="97"/>
  <c r="G39" i="97"/>
  <c r="E39" i="97"/>
  <c r="Q38" i="97"/>
  <c r="O38" i="97"/>
  <c r="M38" i="97"/>
  <c r="K38" i="97"/>
  <c r="I38" i="97"/>
  <c r="G38" i="97"/>
  <c r="E38" i="97"/>
  <c r="Q37" i="97"/>
  <c r="O37" i="97"/>
  <c r="M37" i="97"/>
  <c r="K37" i="97"/>
  <c r="I37" i="97"/>
  <c r="G37" i="97"/>
  <c r="E37" i="97"/>
  <c r="Q36" i="97"/>
  <c r="O36" i="97"/>
  <c r="M36" i="97"/>
  <c r="K36" i="97"/>
  <c r="I36" i="97"/>
  <c r="G36" i="97"/>
  <c r="E36" i="97"/>
  <c r="Q35" i="97"/>
  <c r="O35" i="97"/>
  <c r="M35" i="97"/>
  <c r="K35" i="97"/>
  <c r="I35" i="97"/>
  <c r="G35" i="97"/>
  <c r="E35" i="97"/>
  <c r="Q34" i="97"/>
  <c r="O34" i="97"/>
  <c r="M34" i="97"/>
  <c r="K34" i="97"/>
  <c r="I34" i="97"/>
  <c r="G34" i="97"/>
  <c r="E34" i="97"/>
  <c r="Q33" i="97"/>
  <c r="O33" i="97"/>
  <c r="M33" i="97"/>
  <c r="K33" i="97"/>
  <c r="I33" i="97"/>
  <c r="G33" i="97"/>
  <c r="E33" i="97"/>
  <c r="Q32" i="97"/>
  <c r="O32" i="97"/>
  <c r="M32" i="97"/>
  <c r="K32" i="97"/>
  <c r="I32" i="97"/>
  <c r="G32" i="97"/>
  <c r="E32" i="97"/>
  <c r="Q31" i="97"/>
  <c r="O31" i="97"/>
  <c r="M31" i="97"/>
  <c r="K31" i="97"/>
  <c r="I31" i="97"/>
  <c r="G31" i="97"/>
  <c r="E31" i="97"/>
  <c r="Q30" i="97"/>
  <c r="O30" i="97"/>
  <c r="M30" i="97"/>
  <c r="K30" i="97"/>
  <c r="I30" i="97"/>
  <c r="G30" i="97"/>
  <c r="E30" i="97"/>
  <c r="Q29" i="97"/>
  <c r="O29" i="97"/>
  <c r="M29" i="97"/>
  <c r="K29" i="97"/>
  <c r="I29" i="97"/>
  <c r="G29" i="97"/>
  <c r="E29" i="97"/>
  <c r="Q28" i="97"/>
  <c r="O28" i="97"/>
  <c r="M28" i="97"/>
  <c r="K28" i="97"/>
  <c r="I28" i="97"/>
  <c r="G28" i="97"/>
  <c r="E28" i="97"/>
  <c r="Q27" i="97"/>
  <c r="O27" i="97"/>
  <c r="M27" i="97"/>
  <c r="K27" i="97"/>
  <c r="I27" i="97"/>
  <c r="G27" i="97"/>
  <c r="E27" i="97"/>
  <c r="Q26" i="97"/>
  <c r="O26" i="97"/>
  <c r="M26" i="97"/>
  <c r="K26" i="97"/>
  <c r="I26" i="97"/>
  <c r="G26" i="97"/>
  <c r="E26" i="97"/>
  <c r="Q25" i="97"/>
  <c r="O25" i="97"/>
  <c r="M25" i="97"/>
  <c r="K25" i="97"/>
  <c r="I25" i="97"/>
  <c r="G25" i="97"/>
  <c r="E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D6" i="97"/>
  <c r="E6" i="97" s="1"/>
  <c r="F6" i="97" s="1"/>
  <c r="G6" i="97" s="1"/>
  <c r="H6" i="97" s="1"/>
  <c r="I6" i="97" s="1"/>
  <c r="J6" i="97" s="1"/>
  <c r="K6" i="97" s="1"/>
  <c r="L6" i="97" s="1"/>
  <c r="M6" i="97" s="1"/>
  <c r="N6" i="97" s="1"/>
  <c r="O6" i="97" s="1"/>
  <c r="P6" i="97" s="1"/>
  <c r="Q6" i="97" s="1"/>
  <c r="R6" i="97" s="1"/>
  <c r="S6" i="97" s="1"/>
  <c r="S2" i="97"/>
  <c r="R2" i="97"/>
  <c r="Q2" i="97"/>
  <c r="P2" i="97"/>
  <c r="O2" i="97"/>
  <c r="N2" i="97"/>
  <c r="C2" i="97"/>
  <c r="F116" i="96"/>
  <c r="N111" i="96"/>
  <c r="N112" i="96" s="1"/>
  <c r="M111" i="96"/>
  <c r="M112" i="96" s="1"/>
  <c r="L111" i="96"/>
  <c r="L112" i="96" s="1"/>
  <c r="K111" i="96"/>
  <c r="K112" i="96" s="1"/>
  <c r="J111" i="96"/>
  <c r="J112" i="96" s="1"/>
  <c r="I111" i="96"/>
  <c r="I112" i="96" s="1"/>
  <c r="H111" i="96"/>
  <c r="H112" i="96" s="1"/>
  <c r="G111" i="96"/>
  <c r="G112" i="96" s="1"/>
  <c r="F111" i="96"/>
  <c r="F112" i="96" s="1"/>
  <c r="E111" i="96"/>
  <c r="E112" i="96" s="1"/>
  <c r="D111" i="96"/>
  <c r="D112" i="96" s="1"/>
  <c r="C111" i="96"/>
  <c r="C112" i="96" s="1"/>
  <c r="M101" i="96"/>
  <c r="N101" i="96" s="1"/>
  <c r="K101" i="96"/>
  <c r="J101" i="96" s="1"/>
  <c r="D101" i="96"/>
  <c r="N100" i="96"/>
  <c r="M100" i="96"/>
  <c r="K100" i="96"/>
  <c r="J100" i="96" s="1"/>
  <c r="D100" i="96"/>
  <c r="M99" i="96"/>
  <c r="N99" i="96" s="1"/>
  <c r="K99" i="96"/>
  <c r="J99" i="96" s="1"/>
  <c r="D99" i="96"/>
  <c r="M98" i="96"/>
  <c r="N98" i="96" s="1"/>
  <c r="K98" i="96"/>
  <c r="J98" i="96" s="1"/>
  <c r="D98" i="96"/>
  <c r="M97" i="96"/>
  <c r="N97" i="96" s="1"/>
  <c r="K97" i="96"/>
  <c r="J97" i="96" s="1"/>
  <c r="D97" i="96"/>
  <c r="M96" i="96"/>
  <c r="N96" i="96" s="1"/>
  <c r="K96" i="96"/>
  <c r="J96" i="96" s="1"/>
  <c r="D96" i="96"/>
  <c r="M95" i="96"/>
  <c r="N95" i="96" s="1"/>
  <c r="K95" i="96"/>
  <c r="J95" i="96" s="1"/>
  <c r="D95" i="96"/>
  <c r="B95" i="96"/>
  <c r="M94" i="96"/>
  <c r="N94" i="96" s="1"/>
  <c r="K94" i="96"/>
  <c r="J94" i="96" s="1"/>
  <c r="D94" i="96"/>
  <c r="M93" i="96"/>
  <c r="N93" i="96" s="1"/>
  <c r="K93" i="96"/>
  <c r="J93" i="96" s="1"/>
  <c r="F93" i="96"/>
  <c r="H94" i="96" s="1"/>
  <c r="D93" i="96"/>
  <c r="M90" i="96"/>
  <c r="N90" i="96" s="1"/>
  <c r="K90" i="96"/>
  <c r="J90" i="96" s="1"/>
  <c r="D90" i="96"/>
  <c r="M89" i="96"/>
  <c r="N89" i="96" s="1"/>
  <c r="K89" i="96"/>
  <c r="J89" i="96" s="1"/>
  <c r="D89" i="96"/>
  <c r="M88" i="96"/>
  <c r="N88" i="96" s="1"/>
  <c r="K88" i="96"/>
  <c r="J88" i="96" s="1"/>
  <c r="D88" i="96"/>
  <c r="M87" i="96"/>
  <c r="N87" i="96" s="1"/>
  <c r="K87" i="96"/>
  <c r="J87" i="96" s="1"/>
  <c r="D87" i="96"/>
  <c r="M86" i="96"/>
  <c r="N86" i="96" s="1"/>
  <c r="K86" i="96"/>
  <c r="J86" i="96" s="1"/>
  <c r="D86" i="96"/>
  <c r="B86" i="96"/>
  <c r="M85" i="96"/>
  <c r="N85" i="96" s="1"/>
  <c r="K85" i="96"/>
  <c r="J85" i="96" s="1"/>
  <c r="D85" i="96"/>
  <c r="B85" i="96"/>
  <c r="M84" i="96"/>
  <c r="N84" i="96" s="1"/>
  <c r="K84" i="96"/>
  <c r="J84" i="96" s="1"/>
  <c r="D84" i="96"/>
  <c r="M83" i="96"/>
  <c r="N83" i="96" s="1"/>
  <c r="K83" i="96"/>
  <c r="J83" i="96" s="1"/>
  <c r="F83" i="96"/>
  <c r="H88" i="96" s="1"/>
  <c r="D83" i="96"/>
  <c r="N80" i="96"/>
  <c r="M80" i="96"/>
  <c r="K80" i="96"/>
  <c r="J80" i="96" s="1"/>
  <c r="D80" i="96"/>
  <c r="N79" i="96"/>
  <c r="M79" i="96"/>
  <c r="K79" i="96"/>
  <c r="J79" i="96" s="1"/>
  <c r="D79" i="96"/>
  <c r="M78" i="96"/>
  <c r="N78" i="96" s="1"/>
  <c r="K78" i="96"/>
  <c r="J78" i="96" s="1"/>
  <c r="D78" i="96"/>
  <c r="M77" i="96"/>
  <c r="N77" i="96" s="1"/>
  <c r="K77" i="96"/>
  <c r="J77" i="96" s="1"/>
  <c r="D77" i="96"/>
  <c r="M76" i="96"/>
  <c r="N76" i="96" s="1"/>
  <c r="K76" i="96"/>
  <c r="J76" i="96" s="1"/>
  <c r="D76" i="96"/>
  <c r="M75" i="96"/>
  <c r="N75" i="96" s="1"/>
  <c r="K75" i="96"/>
  <c r="J75" i="96" s="1"/>
  <c r="D75" i="96"/>
  <c r="M74" i="96"/>
  <c r="N74" i="96" s="1"/>
  <c r="K74" i="96"/>
  <c r="J74" i="96" s="1"/>
  <c r="D74" i="96"/>
  <c r="B74" i="96"/>
  <c r="M73" i="96"/>
  <c r="N73" i="96" s="1"/>
  <c r="K73" i="96"/>
  <c r="J73" i="96" s="1"/>
  <c r="D73" i="96"/>
  <c r="M72" i="96"/>
  <c r="N72" i="96" s="1"/>
  <c r="K72" i="96"/>
  <c r="J72" i="96" s="1"/>
  <c r="F72" i="96"/>
  <c r="H77" i="96" s="1"/>
  <c r="D72" i="96"/>
  <c r="D67" i="96"/>
  <c r="B63" i="96"/>
  <c r="D58" i="96"/>
  <c r="D56" i="96"/>
  <c r="B52" i="96"/>
  <c r="D50" i="96"/>
  <c r="B50" i="96"/>
  <c r="H41" i="96"/>
  <c r="H40" i="96"/>
  <c r="H39" i="96"/>
  <c r="H37" i="96"/>
  <c r="H38" i="96"/>
  <c r="J24" i="96"/>
  <c r="G24" i="96"/>
  <c r="G18" i="96" s="1"/>
  <c r="E24" i="96"/>
  <c r="I23" i="96"/>
  <c r="C22" i="96"/>
  <c r="C20" i="96"/>
  <c r="G17" i="96"/>
  <c r="C17" i="96"/>
  <c r="C13" i="96"/>
  <c r="Y10" i="96"/>
  <c r="C10" i="96"/>
  <c r="C11" i="96" s="1"/>
  <c r="AJ9" i="96"/>
  <c r="AJ10" i="96" s="1"/>
  <c r="AI9" i="96"/>
  <c r="AI10" i="96" s="1"/>
  <c r="AH9" i="96"/>
  <c r="AH10" i="96" s="1"/>
  <c r="AG9" i="96"/>
  <c r="AG10" i="96" s="1"/>
  <c r="AF9" i="96"/>
  <c r="AF10" i="96" s="1"/>
  <c r="AE9" i="96"/>
  <c r="AE10" i="96" s="1"/>
  <c r="AD9" i="96"/>
  <c r="AD10" i="96" s="1"/>
  <c r="AC9" i="96"/>
  <c r="AC10" i="96" s="1"/>
  <c r="AB9" i="96"/>
  <c r="AB10" i="96" s="1"/>
  <c r="AA9" i="96"/>
  <c r="AA10" i="96" s="1"/>
  <c r="Z9" i="96"/>
  <c r="Z10" i="96" s="1"/>
  <c r="C9" i="96"/>
  <c r="C7" i="96"/>
  <c r="G3" i="96"/>
  <c r="Z7" i="96" s="1"/>
  <c r="I2" i="96"/>
  <c r="N10" i="96" s="1"/>
  <c r="G2" i="96"/>
  <c r="O21" i="96" s="1"/>
  <c r="F20" i="97"/>
  <c r="E2" i="98"/>
  <c r="S6" i="99" l="1"/>
  <c r="H80" i="99"/>
  <c r="M2" i="99"/>
  <c r="N7" i="99"/>
  <c r="F61" i="99" s="1"/>
  <c r="H76" i="99"/>
  <c r="H89" i="99"/>
  <c r="M1" i="99"/>
  <c r="E72" i="99"/>
  <c r="B70" i="99" s="1"/>
  <c r="H79" i="96"/>
  <c r="O21" i="99"/>
  <c r="H72" i="96"/>
  <c r="E72" i="96"/>
  <c r="B70" i="96" s="1"/>
  <c r="S3" i="99"/>
  <c r="H75" i="99"/>
  <c r="H78" i="99"/>
  <c r="E83" i="99"/>
  <c r="B81" i="99" s="1"/>
  <c r="E83" i="96"/>
  <c r="B81" i="96" s="1"/>
  <c r="N5" i="99"/>
  <c r="N32" i="99"/>
  <c r="H72" i="99"/>
  <c r="H86" i="99"/>
  <c r="H97" i="99"/>
  <c r="G26" i="99"/>
  <c r="Z7" i="99"/>
  <c r="N1" i="99"/>
  <c r="N2" i="99"/>
  <c r="M4" i="99"/>
  <c r="I18" i="99"/>
  <c r="J21" i="99"/>
  <c r="F39" i="99"/>
  <c r="K21" i="99"/>
  <c r="H26" i="99"/>
  <c r="H85" i="99"/>
  <c r="H87" i="99"/>
  <c r="H93" i="99"/>
  <c r="H96" i="99"/>
  <c r="E17" i="99"/>
  <c r="N3" i="99"/>
  <c r="S5" i="99"/>
  <c r="X7" i="99"/>
  <c r="N11" i="99"/>
  <c r="D21" i="99"/>
  <c r="M21" i="99"/>
  <c r="H74" i="99"/>
  <c r="H79" i="99"/>
  <c r="H83" i="99"/>
  <c r="H90" i="99"/>
  <c r="H54" i="99"/>
  <c r="G54" i="99" s="1"/>
  <c r="H53" i="99"/>
  <c r="G53" i="99" s="1"/>
  <c r="H55" i="99"/>
  <c r="G55" i="99" s="1"/>
  <c r="H56" i="99"/>
  <c r="G56" i="99" s="1"/>
  <c r="H52" i="99"/>
  <c r="G52" i="99" s="1"/>
  <c r="H50" i="99"/>
  <c r="G50" i="99" s="1"/>
  <c r="H58" i="99"/>
  <c r="G58" i="99" s="1"/>
  <c r="H57" i="99"/>
  <c r="G57" i="99" s="1"/>
  <c r="H51" i="99"/>
  <c r="G51" i="99" s="1"/>
  <c r="E9" i="99"/>
  <c r="E11" i="99"/>
  <c r="E10" i="99"/>
  <c r="E8" i="99"/>
  <c r="N4" i="99"/>
  <c r="M6" i="99"/>
  <c r="N9" i="99"/>
  <c r="M10" i="99"/>
  <c r="O32" i="99"/>
  <c r="E93" i="99"/>
  <c r="B91" i="99" s="1"/>
  <c r="H116" i="99"/>
  <c r="F42" i="99"/>
  <c r="F40" i="99"/>
  <c r="F38" i="99"/>
  <c r="L21" i="99"/>
  <c r="H21" i="99"/>
  <c r="C21" i="99"/>
  <c r="S2" i="99"/>
  <c r="F26" i="99"/>
  <c r="S4" i="99"/>
  <c r="N6" i="99"/>
  <c r="M8" i="99"/>
  <c r="N10" i="99"/>
  <c r="I21" i="99"/>
  <c r="N21" i="99"/>
  <c r="E26" i="99"/>
  <c r="C27" i="99"/>
  <c r="F37" i="99"/>
  <c r="H38" i="99"/>
  <c r="F41" i="99"/>
  <c r="H101" i="99"/>
  <c r="H95" i="99"/>
  <c r="H94" i="99"/>
  <c r="H98" i="99"/>
  <c r="M3" i="99"/>
  <c r="M5" i="99"/>
  <c r="M7" i="99"/>
  <c r="C6" i="99" s="1"/>
  <c r="N8" i="99"/>
  <c r="M11" i="99"/>
  <c r="Q32" i="99"/>
  <c r="M32" i="99"/>
  <c r="H100" i="99"/>
  <c r="B116" i="99"/>
  <c r="H73" i="99"/>
  <c r="H84" i="99"/>
  <c r="C21" i="98"/>
  <c r="C40" i="98"/>
  <c r="E2" i="97"/>
  <c r="F2" i="97"/>
  <c r="B22" i="97"/>
  <c r="D2" i="97"/>
  <c r="I18" i="96"/>
  <c r="E17" i="96" s="1"/>
  <c r="M21" i="96"/>
  <c r="C27" i="96"/>
  <c r="H83" i="96"/>
  <c r="H90" i="96"/>
  <c r="H21" i="96"/>
  <c r="H87" i="96"/>
  <c r="X7" i="96"/>
  <c r="E44" i="96"/>
  <c r="M1" i="96"/>
  <c r="S6" i="96"/>
  <c r="L21" i="96"/>
  <c r="H76" i="96"/>
  <c r="E11" i="96"/>
  <c r="E8" i="96"/>
  <c r="E9" i="96"/>
  <c r="E10" i="96"/>
  <c r="N8" i="96"/>
  <c r="M2" i="96"/>
  <c r="M4" i="96"/>
  <c r="N7" i="96"/>
  <c r="F61" i="96" s="1"/>
  <c r="M9" i="96"/>
  <c r="N11" i="96"/>
  <c r="N12" i="96"/>
  <c r="M3" i="96"/>
  <c r="M5" i="96"/>
  <c r="M7" i="96"/>
  <c r="C6" i="96" s="1"/>
  <c r="Q32" i="96"/>
  <c r="M32" i="96"/>
  <c r="P32" i="96"/>
  <c r="O32" i="96"/>
  <c r="N2" i="96"/>
  <c r="S3" i="96"/>
  <c r="N4" i="96"/>
  <c r="S5" i="96"/>
  <c r="M6" i="96"/>
  <c r="N9" i="96"/>
  <c r="M10" i="96"/>
  <c r="C21" i="96"/>
  <c r="I21" i="96"/>
  <c r="N32" i="96"/>
  <c r="M11" i="96"/>
  <c r="M12" i="96"/>
  <c r="H101" i="96"/>
  <c r="H95" i="96"/>
  <c r="H98" i="96"/>
  <c r="H99" i="96"/>
  <c r="H96" i="96"/>
  <c r="H93" i="96"/>
  <c r="H97" i="96"/>
  <c r="N1" i="96"/>
  <c r="N3" i="96"/>
  <c r="N5" i="96"/>
  <c r="H116" i="96"/>
  <c r="F42" i="96"/>
  <c r="F40" i="96"/>
  <c r="F38" i="96"/>
  <c r="F50" i="96"/>
  <c r="F37" i="96"/>
  <c r="F41" i="96"/>
  <c r="F39" i="96"/>
  <c r="N21" i="96"/>
  <c r="J21" i="96"/>
  <c r="S2" i="96"/>
  <c r="F26" i="96"/>
  <c r="J26" i="96"/>
  <c r="E26" i="96"/>
  <c r="H26" i="96"/>
  <c r="S4" i="96"/>
  <c r="N6" i="96"/>
  <c r="M8" i="96"/>
  <c r="D21" i="96"/>
  <c r="K21" i="96"/>
  <c r="G26" i="96"/>
  <c r="E93" i="96"/>
  <c r="B91" i="96" s="1"/>
  <c r="H100" i="96"/>
  <c r="B116" i="96"/>
  <c r="H75" i="96"/>
  <c r="H78" i="96"/>
  <c r="H86" i="96"/>
  <c r="H89" i="96"/>
  <c r="H74" i="96"/>
  <c r="H80" i="96"/>
  <c r="H85" i="96"/>
  <c r="H73" i="96"/>
  <c r="H84" i="96"/>
  <c r="H68" i="99" l="1"/>
  <c r="G68" i="99" s="1"/>
  <c r="H61" i="99"/>
  <c r="G61" i="99" s="1"/>
  <c r="K61" i="99" s="1"/>
  <c r="H67" i="99"/>
  <c r="G67" i="99" s="1"/>
  <c r="H63" i="99"/>
  <c r="G63" i="99" s="1"/>
  <c r="M63" i="99" s="1"/>
  <c r="N63" i="99" s="1"/>
  <c r="H64" i="99"/>
  <c r="G64" i="99" s="1"/>
  <c r="H69" i="99"/>
  <c r="G69" i="99" s="1"/>
  <c r="M69" i="99" s="1"/>
  <c r="N69" i="99" s="1"/>
  <c r="H66" i="99"/>
  <c r="G66" i="99" s="1"/>
  <c r="H62" i="99"/>
  <c r="G62" i="99" s="1"/>
  <c r="K62" i="99" s="1"/>
  <c r="H65" i="99"/>
  <c r="G65" i="99" s="1"/>
  <c r="M65" i="99" s="1"/>
  <c r="N65" i="99" s="1"/>
  <c r="M67" i="99"/>
  <c r="N67" i="99" s="1"/>
  <c r="K67" i="99"/>
  <c r="J67" i="99" s="1"/>
  <c r="K69" i="99"/>
  <c r="J69" i="99" s="1"/>
  <c r="K65" i="99"/>
  <c r="J65" i="99" s="1"/>
  <c r="M68" i="99"/>
  <c r="N68" i="99" s="1"/>
  <c r="K68" i="99"/>
  <c r="J68" i="99" s="1"/>
  <c r="D68" i="99" s="1"/>
  <c r="M62" i="99"/>
  <c r="N62" i="99" s="1"/>
  <c r="M66" i="99"/>
  <c r="N66" i="99" s="1"/>
  <c r="K66" i="99"/>
  <c r="K64" i="99"/>
  <c r="M64" i="99"/>
  <c r="N64" i="99" s="1"/>
  <c r="D65" i="99"/>
  <c r="D5" i="99"/>
  <c r="C5" i="99"/>
  <c r="I122" i="99"/>
  <c r="J122" i="99" s="1"/>
  <c r="K122" i="99" s="1"/>
  <c r="L122" i="99" s="1"/>
  <c r="M122" i="99" s="1"/>
  <c r="I121" i="99"/>
  <c r="J121" i="99" s="1"/>
  <c r="K121" i="99" s="1"/>
  <c r="L121" i="99" s="1"/>
  <c r="M121" i="99" s="1"/>
  <c r="I120" i="99"/>
  <c r="J120" i="99" s="1"/>
  <c r="K120" i="99" s="1"/>
  <c r="L120" i="99" s="1"/>
  <c r="M120" i="99" s="1"/>
  <c r="I119" i="99"/>
  <c r="J119" i="99" s="1"/>
  <c r="K119" i="99" s="1"/>
  <c r="L119" i="99" s="1"/>
  <c r="M119" i="99" s="1"/>
  <c r="I118" i="99"/>
  <c r="J118" i="99" s="1"/>
  <c r="K118" i="99" s="1"/>
  <c r="L118" i="99" s="1"/>
  <c r="M118" i="99" s="1"/>
  <c r="D122" i="99"/>
  <c r="E122" i="99" s="1"/>
  <c r="F122" i="99" s="1"/>
  <c r="G122" i="99" s="1"/>
  <c r="H122" i="99" s="1"/>
  <c r="D121" i="99"/>
  <c r="E121" i="99" s="1"/>
  <c r="F121" i="99" s="1"/>
  <c r="D120" i="99"/>
  <c r="E120" i="99" s="1"/>
  <c r="F120" i="99" s="1"/>
  <c r="G120" i="99" s="1"/>
  <c r="H120" i="99" s="1"/>
  <c r="D119" i="99"/>
  <c r="E119" i="99" s="1"/>
  <c r="F119" i="99" s="1"/>
  <c r="G119" i="99" s="1"/>
  <c r="H119" i="99" s="1"/>
  <c r="D118" i="99"/>
  <c r="E118" i="99" s="1"/>
  <c r="F118" i="99" s="1"/>
  <c r="G118" i="99" s="1"/>
  <c r="H118" i="99" s="1"/>
  <c r="G121" i="99"/>
  <c r="H121" i="99" s="1"/>
  <c r="B119" i="99"/>
  <c r="C119" i="99" s="1"/>
  <c r="B122" i="99"/>
  <c r="C122" i="99" s="1"/>
  <c r="B120" i="99"/>
  <c r="C120" i="99" s="1"/>
  <c r="B118" i="99"/>
  <c r="C118" i="99" s="1"/>
  <c r="B121" i="99"/>
  <c r="C121" i="99" s="1"/>
  <c r="M57" i="99"/>
  <c r="N57" i="99" s="1"/>
  <c r="K57" i="99"/>
  <c r="K56" i="99"/>
  <c r="J56" i="99" s="1"/>
  <c r="M56" i="99"/>
  <c r="N56" i="99" s="1"/>
  <c r="D26" i="99"/>
  <c r="C25" i="99" s="1"/>
  <c r="M58" i="99"/>
  <c r="N58" i="99" s="1"/>
  <c r="K58" i="99"/>
  <c r="J58" i="99" s="1"/>
  <c r="M55" i="99"/>
  <c r="N55" i="99" s="1"/>
  <c r="K55" i="99"/>
  <c r="G21" i="99"/>
  <c r="M50" i="99"/>
  <c r="N50" i="99" s="1"/>
  <c r="K50" i="99"/>
  <c r="J50" i="99" s="1"/>
  <c r="M53" i="99"/>
  <c r="N53" i="99" s="1"/>
  <c r="K53" i="99"/>
  <c r="M51" i="99"/>
  <c r="N51" i="99" s="1"/>
  <c r="K51" i="99"/>
  <c r="M52" i="99"/>
  <c r="N52" i="99" s="1"/>
  <c r="K52" i="99"/>
  <c r="K54" i="99"/>
  <c r="M54" i="99"/>
  <c r="N54" i="99" s="1"/>
  <c r="H68" i="96"/>
  <c r="G68" i="96" s="1"/>
  <c r="H67" i="96"/>
  <c r="G67" i="96" s="1"/>
  <c r="H64" i="96"/>
  <c r="G64" i="96" s="1"/>
  <c r="H61" i="96"/>
  <c r="G61" i="96" s="1"/>
  <c r="H69" i="96"/>
  <c r="G69" i="96" s="1"/>
  <c r="H62" i="96"/>
  <c r="G62" i="96" s="1"/>
  <c r="H63" i="96"/>
  <c r="G63" i="96" s="1"/>
  <c r="H66" i="96"/>
  <c r="G66" i="96" s="1"/>
  <c r="H65" i="96"/>
  <c r="G65" i="96" s="1"/>
  <c r="D26" i="96"/>
  <c r="C25" i="96" s="1"/>
  <c r="D5" i="96"/>
  <c r="C5" i="96"/>
  <c r="H54" i="96"/>
  <c r="G54" i="96" s="1"/>
  <c r="H53" i="96"/>
  <c r="G53" i="96" s="1"/>
  <c r="H58" i="96"/>
  <c r="G58" i="96" s="1"/>
  <c r="H57" i="96"/>
  <c r="G57" i="96" s="1"/>
  <c r="H56" i="96"/>
  <c r="G56" i="96" s="1"/>
  <c r="H55" i="96"/>
  <c r="G55" i="96" s="1"/>
  <c r="H50" i="96"/>
  <c r="G50" i="96" s="1"/>
  <c r="H51" i="96"/>
  <c r="G51" i="96" s="1"/>
  <c r="H52" i="96"/>
  <c r="G52" i="96" s="1"/>
  <c r="I122" i="96"/>
  <c r="J122" i="96" s="1"/>
  <c r="K122" i="96" s="1"/>
  <c r="L122" i="96" s="1"/>
  <c r="M122" i="96" s="1"/>
  <c r="I121" i="96"/>
  <c r="J121" i="96" s="1"/>
  <c r="K121" i="96" s="1"/>
  <c r="L121" i="96" s="1"/>
  <c r="M121" i="96" s="1"/>
  <c r="I120" i="96"/>
  <c r="J120" i="96" s="1"/>
  <c r="K120" i="96" s="1"/>
  <c r="L120" i="96" s="1"/>
  <c r="M120" i="96" s="1"/>
  <c r="I119" i="96"/>
  <c r="J119" i="96" s="1"/>
  <c r="K119" i="96" s="1"/>
  <c r="L119" i="96" s="1"/>
  <c r="M119" i="96" s="1"/>
  <c r="I118" i="96"/>
  <c r="J118" i="96" s="1"/>
  <c r="K118" i="96" s="1"/>
  <c r="L118" i="96" s="1"/>
  <c r="M118" i="96" s="1"/>
  <c r="D122" i="96"/>
  <c r="E122" i="96" s="1"/>
  <c r="F122" i="96" s="1"/>
  <c r="G122" i="96" s="1"/>
  <c r="H122" i="96" s="1"/>
  <c r="D121" i="96"/>
  <c r="E121" i="96" s="1"/>
  <c r="F121" i="96" s="1"/>
  <c r="D120" i="96"/>
  <c r="E120" i="96" s="1"/>
  <c r="F120" i="96" s="1"/>
  <c r="G120" i="96" s="1"/>
  <c r="H120" i="96" s="1"/>
  <c r="D119" i="96"/>
  <c r="E119" i="96" s="1"/>
  <c r="F119" i="96" s="1"/>
  <c r="G119" i="96" s="1"/>
  <c r="H119" i="96" s="1"/>
  <c r="D118" i="96"/>
  <c r="E118" i="96" s="1"/>
  <c r="F118" i="96" s="1"/>
  <c r="G118" i="96" s="1"/>
  <c r="H118" i="96" s="1"/>
  <c r="G121" i="96"/>
  <c r="H121" i="96" s="1"/>
  <c r="B120" i="96"/>
  <c r="C120" i="96" s="1"/>
  <c r="B119" i="96"/>
  <c r="C119" i="96" s="1"/>
  <c r="B121" i="96"/>
  <c r="C121" i="96" s="1"/>
  <c r="B122" i="96"/>
  <c r="C122" i="96" s="1"/>
  <c r="B118" i="96"/>
  <c r="C118" i="96" s="1"/>
  <c r="G21" i="96"/>
  <c r="M61" i="99" l="1"/>
  <c r="N61" i="99" s="1"/>
  <c r="D69" i="99"/>
  <c r="K63" i="99"/>
  <c r="D63" i="99" s="1"/>
  <c r="K62" i="96"/>
  <c r="M62" i="96"/>
  <c r="N62" i="96" s="1"/>
  <c r="M67" i="96"/>
  <c r="N67" i="96" s="1"/>
  <c r="K67" i="96"/>
  <c r="J67" i="96" s="1"/>
  <c r="J64" i="99"/>
  <c r="D64" i="99"/>
  <c r="J61" i="99"/>
  <c r="D61" i="99"/>
  <c r="M65" i="96"/>
  <c r="N65" i="96" s="1"/>
  <c r="K65" i="96"/>
  <c r="M69" i="96"/>
  <c r="N69" i="96" s="1"/>
  <c r="K69" i="96"/>
  <c r="M68" i="96"/>
  <c r="N68" i="96" s="1"/>
  <c r="K68" i="96"/>
  <c r="J68" i="96" s="1"/>
  <c r="D68" i="96" s="1"/>
  <c r="J66" i="99"/>
  <c r="D66" i="99"/>
  <c r="M66" i="96"/>
  <c r="N66" i="96" s="1"/>
  <c r="K66" i="96"/>
  <c r="K61" i="96"/>
  <c r="M61" i="96"/>
  <c r="N61" i="96" s="1"/>
  <c r="J63" i="99"/>
  <c r="M63" i="96"/>
  <c r="N63" i="96" s="1"/>
  <c r="K63" i="96"/>
  <c r="M64" i="96"/>
  <c r="N64" i="96" s="1"/>
  <c r="K64" i="96"/>
  <c r="J62" i="99"/>
  <c r="D62" i="99"/>
  <c r="D116" i="99"/>
  <c r="D54" i="99"/>
  <c r="J54" i="99"/>
  <c r="J55" i="99"/>
  <c r="D55" i="99"/>
  <c r="J52" i="99"/>
  <c r="D52" i="99"/>
  <c r="D53" i="99"/>
  <c r="J53" i="99"/>
  <c r="D51" i="99"/>
  <c r="J51" i="99"/>
  <c r="J57" i="99"/>
  <c r="D57" i="99"/>
  <c r="C533" i="97"/>
  <c r="C534" i="97"/>
  <c r="C535" i="97"/>
  <c r="C597" i="97"/>
  <c r="C598" i="97"/>
  <c r="C599" i="97"/>
  <c r="C661" i="97"/>
  <c r="C662" i="97"/>
  <c r="C663" i="97"/>
  <c r="C725" i="97"/>
  <c r="C726" i="97"/>
  <c r="C727" i="97"/>
  <c r="C499" i="97"/>
  <c r="C498" i="97"/>
  <c r="C497" i="97"/>
  <c r="C427" i="97"/>
  <c r="C426" i="97"/>
  <c r="C425" i="97"/>
  <c r="C339" i="97"/>
  <c r="C338" i="97"/>
  <c r="C337" i="97"/>
  <c r="C325" i="97"/>
  <c r="C307" i="97"/>
  <c r="C306" i="97"/>
  <c r="C305" i="97"/>
  <c r="C291" i="97"/>
  <c r="C290" i="97"/>
  <c r="C289" i="97"/>
  <c r="C271" i="97"/>
  <c r="C270" i="97"/>
  <c r="C269" i="97"/>
  <c r="C255" i="97"/>
  <c r="C254" i="97"/>
  <c r="C253" i="97"/>
  <c r="C239" i="97"/>
  <c r="C238" i="97"/>
  <c r="C237" i="97"/>
  <c r="C223" i="97"/>
  <c r="C222" i="97"/>
  <c r="C221" i="97"/>
  <c r="C207" i="97"/>
  <c r="C206" i="97"/>
  <c r="C205" i="97"/>
  <c r="C550" i="97"/>
  <c r="C615" i="97"/>
  <c r="C678" i="97"/>
  <c r="C741" i="97"/>
  <c r="C482" i="97"/>
  <c r="C411" i="97"/>
  <c r="C406" i="97"/>
  <c r="C335" i="97"/>
  <c r="C323" i="97"/>
  <c r="C303" i="97"/>
  <c r="C286" i="97"/>
  <c r="C266" i="97"/>
  <c r="C249" i="97"/>
  <c r="C233" i="97"/>
  <c r="C217" i="97"/>
  <c r="C202" i="97"/>
  <c r="C581" i="97"/>
  <c r="C582" i="97"/>
  <c r="C583" i="97"/>
  <c r="C645" i="97"/>
  <c r="C646" i="97"/>
  <c r="C647" i="97"/>
  <c r="C709" i="97"/>
  <c r="C710" i="97"/>
  <c r="C711" i="97"/>
  <c r="C515" i="97"/>
  <c r="C514" i="97"/>
  <c r="C513" i="97"/>
  <c r="C447" i="97"/>
  <c r="C446" i="97"/>
  <c r="C445" i="97"/>
  <c r="C444" i="97"/>
  <c r="C443" i="97"/>
  <c r="C442" i="97"/>
  <c r="C441" i="97"/>
  <c r="C375" i="97"/>
  <c r="C374" i="97"/>
  <c r="C373" i="97"/>
  <c r="C355" i="97"/>
  <c r="C354" i="97"/>
  <c r="C353" i="97"/>
  <c r="C352" i="97"/>
  <c r="C351" i="97"/>
  <c r="C350" i="97"/>
  <c r="C349" i="97"/>
  <c r="C315" i="97"/>
  <c r="C314" i="97"/>
  <c r="C313" i="97"/>
  <c r="C312" i="97"/>
  <c r="C311" i="97"/>
  <c r="C310" i="97"/>
  <c r="C309" i="97"/>
  <c r="C295" i="97"/>
  <c r="C294" i="97"/>
  <c r="C293" i="97"/>
  <c r="C279" i="97"/>
  <c r="C278" i="97"/>
  <c r="C277" i="97"/>
  <c r="C276" i="97"/>
  <c r="C275" i="97"/>
  <c r="C274" i="97"/>
  <c r="C273" i="97"/>
  <c r="C259" i="97"/>
  <c r="C258" i="97"/>
  <c r="C257" i="97"/>
  <c r="C243" i="97"/>
  <c r="C242" i="97"/>
  <c r="C241" i="97"/>
  <c r="C227" i="97"/>
  <c r="C226" i="97"/>
  <c r="C225" i="97"/>
  <c r="C211" i="97"/>
  <c r="C210" i="97"/>
  <c r="C209" i="97"/>
  <c r="C551" i="97"/>
  <c r="C613" i="97"/>
  <c r="C677" i="97"/>
  <c r="C743" i="97"/>
  <c r="C483" i="97"/>
  <c r="C410" i="97"/>
  <c r="C408" i="97"/>
  <c r="C405" i="97"/>
  <c r="C334" i="97"/>
  <c r="C321" i="97"/>
  <c r="C301" i="97"/>
  <c r="C287" i="97"/>
  <c r="C265" i="97"/>
  <c r="C250" i="97"/>
  <c r="C235" i="97"/>
  <c r="C219" i="97"/>
  <c r="C201" i="97"/>
  <c r="C565" i="97"/>
  <c r="C566" i="97"/>
  <c r="C567" i="97"/>
  <c r="C629" i="97"/>
  <c r="C630" i="97"/>
  <c r="C631" i="97"/>
  <c r="C693" i="97"/>
  <c r="C694" i="97"/>
  <c r="C695" i="97"/>
  <c r="C757" i="97"/>
  <c r="C758" i="97"/>
  <c r="C759" i="97"/>
  <c r="C463" i="97"/>
  <c r="C462" i="97"/>
  <c r="C461" i="97"/>
  <c r="C391" i="97"/>
  <c r="C390" i="97"/>
  <c r="C389" i="97"/>
  <c r="C357" i="97"/>
  <c r="C319" i="97"/>
  <c r="C318" i="97"/>
  <c r="C317" i="97"/>
  <c r="C299" i="97"/>
  <c r="C298" i="97"/>
  <c r="C297" i="97"/>
  <c r="C283" i="97"/>
  <c r="C282" i="97"/>
  <c r="C281" i="97"/>
  <c r="C263" i="97"/>
  <c r="C262" i="97"/>
  <c r="C261" i="97"/>
  <c r="C247" i="97"/>
  <c r="C246" i="97"/>
  <c r="C245" i="97"/>
  <c r="C231" i="97"/>
  <c r="C230" i="97"/>
  <c r="C229" i="97"/>
  <c r="C215" i="97"/>
  <c r="C214" i="97"/>
  <c r="C213" i="97"/>
  <c r="C549" i="97"/>
  <c r="C614" i="97"/>
  <c r="C679" i="97"/>
  <c r="C742" i="97"/>
  <c r="C481" i="97"/>
  <c r="C409" i="97"/>
  <c r="C407" i="97"/>
  <c r="C333" i="97"/>
  <c r="C322" i="97"/>
  <c r="C302" i="97"/>
  <c r="C285" i="97"/>
  <c r="C267" i="97"/>
  <c r="C251" i="97"/>
  <c r="C234" i="97"/>
  <c r="C218" i="97"/>
  <c r="C203" i="97"/>
  <c r="C529" i="97"/>
  <c r="C546" i="97"/>
  <c r="C563" i="97"/>
  <c r="C593" i="97"/>
  <c r="C610" i="97"/>
  <c r="C627" i="97"/>
  <c r="C657" i="97"/>
  <c r="C674" i="97"/>
  <c r="C691" i="97"/>
  <c r="C721" i="97"/>
  <c r="C738" i="97"/>
  <c r="C755" i="97"/>
  <c r="C519" i="97"/>
  <c r="C502" i="97"/>
  <c r="C485" i="97"/>
  <c r="C468" i="97"/>
  <c r="C451" i="97"/>
  <c r="C430" i="97"/>
  <c r="C413" i="97"/>
  <c r="C379" i="97"/>
  <c r="C362" i="97"/>
  <c r="C358" i="97"/>
  <c r="C543" i="97"/>
  <c r="C573" i="97"/>
  <c r="C590" i="97"/>
  <c r="C607" i="97"/>
  <c r="C637" i="97"/>
  <c r="C654" i="97"/>
  <c r="C671" i="97"/>
  <c r="C701" i="97"/>
  <c r="C718" i="97"/>
  <c r="C735" i="97"/>
  <c r="C765" i="97"/>
  <c r="C522" i="97"/>
  <c r="C505" i="97"/>
  <c r="C475" i="97"/>
  <c r="C454" i="97"/>
  <c r="C433" i="97"/>
  <c r="C399" i="97"/>
  <c r="C382" i="97"/>
  <c r="C365" i="97"/>
  <c r="C327" i="97"/>
  <c r="C539" i="97"/>
  <c r="C569" i="97"/>
  <c r="C586" i="97"/>
  <c r="C603" i="97"/>
  <c r="C633" i="97"/>
  <c r="C650" i="97"/>
  <c r="C667" i="97"/>
  <c r="C697" i="97"/>
  <c r="C714" i="97"/>
  <c r="C731" i="97"/>
  <c r="C761" i="97"/>
  <c r="C526" i="97"/>
  <c r="C495" i="97"/>
  <c r="C478" i="97"/>
  <c r="C457" i="97"/>
  <c r="C423" i="97"/>
  <c r="C402" i="97"/>
  <c r="C385" i="97"/>
  <c r="C347" i="97"/>
  <c r="C330" i="97"/>
  <c r="C768" i="97"/>
  <c r="C752" i="97"/>
  <c r="C728" i="97"/>
  <c r="C712" i="97"/>
  <c r="C696" i="97"/>
  <c r="C680" i="97"/>
  <c r="C664" i="97"/>
  <c r="C648" i="97"/>
  <c r="C632" i="97"/>
  <c r="C616" i="97"/>
  <c r="C600" i="97"/>
  <c r="C584" i="97"/>
  <c r="C568" i="97"/>
  <c r="C552" i="97"/>
  <c r="C536" i="97"/>
  <c r="C520" i="97"/>
  <c r="C504" i="97"/>
  <c r="C484" i="97"/>
  <c r="C464" i="97"/>
  <c r="C448" i="97"/>
  <c r="C424" i="97"/>
  <c r="C400" i="97"/>
  <c r="C372" i="97"/>
  <c r="C530" i="97"/>
  <c r="C547" i="97"/>
  <c r="C577" i="97"/>
  <c r="C594" i="97"/>
  <c r="C611" i="97"/>
  <c r="C641" i="97"/>
  <c r="C658" i="97"/>
  <c r="C675" i="97"/>
  <c r="C705" i="97"/>
  <c r="C722" i="97"/>
  <c r="C739" i="97"/>
  <c r="C769" i="97"/>
  <c r="C518" i="97"/>
  <c r="C501" i="97"/>
  <c r="C471" i="97"/>
  <c r="C467" i="97"/>
  <c r="C450" i="97"/>
  <c r="C429" i="97"/>
  <c r="C395" i="97"/>
  <c r="C378" i="97"/>
  <c r="C361" i="97"/>
  <c r="C527" i="97"/>
  <c r="C557" i="97"/>
  <c r="C574" i="97"/>
  <c r="C591" i="97"/>
  <c r="C621" i="97"/>
  <c r="C638" i="97"/>
  <c r="C655" i="97"/>
  <c r="C685" i="97"/>
  <c r="C702" i="97"/>
  <c r="C719" i="97"/>
  <c r="C749" i="97"/>
  <c r="C766" i="97"/>
  <c r="C521" i="97"/>
  <c r="C491" i="97"/>
  <c r="C474" i="97"/>
  <c r="C453" i="97"/>
  <c r="C419" i="97"/>
  <c r="C398" i="97"/>
  <c r="C381" i="97"/>
  <c r="C343" i="97"/>
  <c r="C326" i="97"/>
  <c r="C553" i="97"/>
  <c r="C570" i="97"/>
  <c r="C587" i="97"/>
  <c r="C617" i="97"/>
  <c r="C634" i="97"/>
  <c r="C651" i="97"/>
  <c r="C681" i="97"/>
  <c r="C698" i="97"/>
  <c r="C715" i="97"/>
  <c r="C745" i="97"/>
  <c r="C762" i="97"/>
  <c r="C511" i="97"/>
  <c r="C494" i="97"/>
  <c r="C477" i="97"/>
  <c r="C439" i="97"/>
  <c r="C422" i="97"/>
  <c r="C401" i="97"/>
  <c r="C371" i="97"/>
  <c r="C346" i="97"/>
  <c r="C329" i="97"/>
  <c r="C764" i="97"/>
  <c r="C748" i="97"/>
  <c r="C724" i="97"/>
  <c r="C708" i="97"/>
  <c r="C692" i="97"/>
  <c r="C676" i="97"/>
  <c r="C660" i="97"/>
  <c r="C644" i="97"/>
  <c r="C628" i="97"/>
  <c r="C612" i="97"/>
  <c r="C596" i="97"/>
  <c r="C580" i="97"/>
  <c r="C564" i="97"/>
  <c r="C548" i="97"/>
  <c r="C532" i="97"/>
  <c r="C516" i="97"/>
  <c r="C500" i="97"/>
  <c r="C480" i="97"/>
  <c r="C460" i="97"/>
  <c r="C436" i="97"/>
  <c r="C420" i="97"/>
  <c r="C396" i="97"/>
  <c r="C368" i="97"/>
  <c r="C531" i="97"/>
  <c r="C561" i="97"/>
  <c r="C578" i="97"/>
  <c r="C595" i="97"/>
  <c r="C625" i="97"/>
  <c r="C642" i="97"/>
  <c r="C659" i="97"/>
  <c r="C689" i="97"/>
  <c r="C706" i="97"/>
  <c r="C723" i="97"/>
  <c r="C753" i="97"/>
  <c r="C770" i="97"/>
  <c r="C517" i="97"/>
  <c r="C487" i="97"/>
  <c r="C470" i="97"/>
  <c r="C466" i="97"/>
  <c r="C449" i="97"/>
  <c r="C415" i="97"/>
  <c r="C394" i="97"/>
  <c r="C377" i="97"/>
  <c r="C360" i="97"/>
  <c r="C541" i="97"/>
  <c r="C558" i="97"/>
  <c r="C575" i="97"/>
  <c r="C605" i="97"/>
  <c r="C622" i="97"/>
  <c r="C639" i="97"/>
  <c r="C669" i="97"/>
  <c r="C686" i="97"/>
  <c r="C703" i="97"/>
  <c r="C733" i="97"/>
  <c r="C750" i="97"/>
  <c r="C767" i="97"/>
  <c r="C507" i="97"/>
  <c r="C490" i="97"/>
  <c r="C473" i="97"/>
  <c r="C435" i="97"/>
  <c r="C418" i="97"/>
  <c r="C397" i="97"/>
  <c r="C367" i="97"/>
  <c r="C342" i="97"/>
  <c r="C537" i="97"/>
  <c r="C554" i="97"/>
  <c r="C571" i="97"/>
  <c r="C601" i="97"/>
  <c r="C618" i="97"/>
  <c r="C635" i="97"/>
  <c r="C665" i="97"/>
  <c r="C682" i="97"/>
  <c r="C699" i="97"/>
  <c r="C729" i="97"/>
  <c r="C746" i="97"/>
  <c r="C763" i="97"/>
  <c r="C510" i="97"/>
  <c r="C493" i="97"/>
  <c r="C459" i="97"/>
  <c r="C438" i="97"/>
  <c r="C421" i="97"/>
  <c r="C387" i="97"/>
  <c r="C370" i="97"/>
  <c r="C345" i="97"/>
  <c r="C760" i="97"/>
  <c r="C744" i="97"/>
  <c r="C720" i="97"/>
  <c r="C704" i="97"/>
  <c r="C688" i="97"/>
  <c r="C672" i="97"/>
  <c r="C656" i="97"/>
  <c r="C640" i="97"/>
  <c r="C624" i="97"/>
  <c r="C608" i="97"/>
  <c r="C592" i="97"/>
  <c r="C576" i="97"/>
  <c r="C560" i="97"/>
  <c r="C544" i="97"/>
  <c r="C528" i="97"/>
  <c r="C512" i="97"/>
  <c r="C492" i="97"/>
  <c r="C476" i="97"/>
  <c r="C456" i="97"/>
  <c r="C432" i="97"/>
  <c r="C416" i="97"/>
  <c r="C388" i="97"/>
  <c r="C356" i="97"/>
  <c r="C348" i="97"/>
  <c r="C545" i="97"/>
  <c r="C562" i="97"/>
  <c r="C579" i="97"/>
  <c r="C609" i="97"/>
  <c r="C626" i="97"/>
  <c r="C643" i="97"/>
  <c r="C673" i="97"/>
  <c r="C690" i="97"/>
  <c r="C707" i="97"/>
  <c r="C737" i="97"/>
  <c r="C754" i="97"/>
  <c r="C771" i="97"/>
  <c r="C503" i="97"/>
  <c r="C486" i="97"/>
  <c r="C469" i="97"/>
  <c r="C465" i="97"/>
  <c r="C431" i="97"/>
  <c r="C414" i="97"/>
  <c r="C393" i="97"/>
  <c r="C363" i="97"/>
  <c r="C359" i="97"/>
  <c r="C542" i="97"/>
  <c r="C559" i="97"/>
  <c r="C589" i="97"/>
  <c r="C606" i="97"/>
  <c r="C623" i="97"/>
  <c r="C653" i="97"/>
  <c r="C670" i="97"/>
  <c r="C687" i="97"/>
  <c r="C717" i="97"/>
  <c r="C734" i="97"/>
  <c r="C751" i="97"/>
  <c r="C506" i="97"/>
  <c r="C417" i="97"/>
  <c r="C538" i="97"/>
  <c r="C619" i="97"/>
  <c r="C713" i="97"/>
  <c r="C509" i="97"/>
  <c r="C403" i="97"/>
  <c r="C772" i="97"/>
  <c r="C700" i="97"/>
  <c r="C636" i="97"/>
  <c r="C572" i="97"/>
  <c r="C508" i="97"/>
  <c r="C428" i="97"/>
  <c r="C340" i="97"/>
  <c r="C316" i="97"/>
  <c r="C284" i="97"/>
  <c r="C260" i="97"/>
  <c r="C244" i="97"/>
  <c r="C228" i="97"/>
  <c r="C212" i="97"/>
  <c r="C412" i="97"/>
  <c r="C308" i="97"/>
  <c r="C292" i="97"/>
  <c r="C48" i="97"/>
  <c r="H2" i="97"/>
  <c r="C155" i="97"/>
  <c r="C151" i="97"/>
  <c r="C147" i="97"/>
  <c r="C143" i="97"/>
  <c r="C83" i="97"/>
  <c r="C79" i="97"/>
  <c r="C75" i="97"/>
  <c r="C71" i="97"/>
  <c r="C67" i="97"/>
  <c r="C63" i="97"/>
  <c r="C59" i="97"/>
  <c r="C28" i="97"/>
  <c r="C32" i="97"/>
  <c r="C36" i="97"/>
  <c r="C40" i="97"/>
  <c r="C44" i="97"/>
  <c r="C49" i="97"/>
  <c r="C92" i="97"/>
  <c r="C100" i="97"/>
  <c r="C109" i="97"/>
  <c r="C114" i="97"/>
  <c r="C91" i="97"/>
  <c r="C99" i="97"/>
  <c r="C107" i="97"/>
  <c r="C54" i="97"/>
  <c r="C58" i="97"/>
  <c r="C119" i="97"/>
  <c r="C123" i="97"/>
  <c r="C127" i="97"/>
  <c r="C131" i="97"/>
  <c r="C135" i="97"/>
  <c r="C139" i="97"/>
  <c r="C159" i="97"/>
  <c r="C167" i="97"/>
  <c r="C175" i="97"/>
  <c r="C183" i="97"/>
  <c r="C191" i="97"/>
  <c r="C199" i="97"/>
  <c r="C164" i="97"/>
  <c r="C172" i="97"/>
  <c r="C180" i="97"/>
  <c r="C188" i="97"/>
  <c r="C196" i="97"/>
  <c r="C489" i="97"/>
  <c r="C383" i="97"/>
  <c r="C555" i="97"/>
  <c r="C649" i="97"/>
  <c r="C730" i="97"/>
  <c r="C479" i="97"/>
  <c r="C386" i="97"/>
  <c r="C756" i="97"/>
  <c r="C684" i="97"/>
  <c r="C620" i="97"/>
  <c r="C556" i="97"/>
  <c r="C488" i="97"/>
  <c r="C404" i="97"/>
  <c r="C336" i="97"/>
  <c r="C304" i="97"/>
  <c r="C272" i="97"/>
  <c r="C256" i="97"/>
  <c r="C240" i="97"/>
  <c r="C224" i="97"/>
  <c r="C208" i="97"/>
  <c r="C296" i="97"/>
  <c r="C496" i="97"/>
  <c r="C364" i="97"/>
  <c r="C328" i="97"/>
  <c r="C50" i="97"/>
  <c r="C154" i="97"/>
  <c r="C150" i="97"/>
  <c r="C146" i="97"/>
  <c r="C86" i="97"/>
  <c r="C82" i="97"/>
  <c r="C78" i="97"/>
  <c r="C74" i="97"/>
  <c r="C70" i="97"/>
  <c r="C66" i="97"/>
  <c r="C62" i="97"/>
  <c r="C25" i="97"/>
  <c r="C29" i="97"/>
  <c r="C33" i="97"/>
  <c r="C37" i="97"/>
  <c r="C41" i="97"/>
  <c r="C45" i="97"/>
  <c r="C51" i="97"/>
  <c r="C94" i="97"/>
  <c r="C102" i="97"/>
  <c r="C113" i="97"/>
  <c r="C118" i="97"/>
  <c r="C93" i="97"/>
  <c r="C101" i="97"/>
  <c r="C111" i="97"/>
  <c r="C55" i="97"/>
  <c r="C108" i="97"/>
  <c r="C120" i="97"/>
  <c r="C124" i="97"/>
  <c r="C128" i="97"/>
  <c r="C132" i="97"/>
  <c r="C136" i="97"/>
  <c r="C140" i="97"/>
  <c r="C161" i="97"/>
  <c r="C169" i="97"/>
  <c r="C177" i="97"/>
  <c r="C185" i="97"/>
  <c r="C193" i="97"/>
  <c r="C158" i="97"/>
  <c r="C166" i="97"/>
  <c r="C174" i="97"/>
  <c r="C182" i="97"/>
  <c r="C190" i="97"/>
  <c r="C198" i="97"/>
  <c r="C455" i="97"/>
  <c r="C366" i="97"/>
  <c r="C585" i="97"/>
  <c r="C666" i="97"/>
  <c r="C747" i="97"/>
  <c r="C458" i="97"/>
  <c r="C369" i="97"/>
  <c r="C740" i="97"/>
  <c r="C668" i="97"/>
  <c r="C604" i="97"/>
  <c r="C540" i="97"/>
  <c r="C472" i="97"/>
  <c r="C384" i="97"/>
  <c r="C332" i="97"/>
  <c r="C300" i="97"/>
  <c r="C268" i="97"/>
  <c r="C252" i="97"/>
  <c r="C236" i="97"/>
  <c r="C220" i="97"/>
  <c r="C204" i="97"/>
  <c r="C324" i="97"/>
  <c r="C736" i="97"/>
  <c r="C392" i="97"/>
  <c r="C376" i="97"/>
  <c r="C52" i="97"/>
  <c r="C157" i="97"/>
  <c r="C153" i="97"/>
  <c r="C149" i="97"/>
  <c r="C145" i="97"/>
  <c r="C85" i="97"/>
  <c r="C81" i="97"/>
  <c r="C77" i="97"/>
  <c r="C73" i="97"/>
  <c r="C69" i="97"/>
  <c r="C65" i="97"/>
  <c r="C61" i="97"/>
  <c r="C26" i="97"/>
  <c r="C30" i="97"/>
  <c r="C34" i="97"/>
  <c r="C38" i="97"/>
  <c r="C42" i="97"/>
  <c r="C46" i="97"/>
  <c r="C88" i="97"/>
  <c r="C96" i="97"/>
  <c r="C104" i="97"/>
  <c r="C117" i="97"/>
  <c r="C87" i="97"/>
  <c r="C95" i="97"/>
  <c r="C103" i="97"/>
  <c r="C115" i="97"/>
  <c r="C56" i="97"/>
  <c r="C112" i="97"/>
  <c r="C121" i="97"/>
  <c r="C125" i="97"/>
  <c r="C129" i="97"/>
  <c r="C133" i="97"/>
  <c r="C137" i="97"/>
  <c r="C141" i="97"/>
  <c r="C163" i="97"/>
  <c r="C171" i="97"/>
  <c r="C179" i="97"/>
  <c r="C187" i="97"/>
  <c r="C195" i="97"/>
  <c r="C160" i="97"/>
  <c r="C168" i="97"/>
  <c r="C176" i="97"/>
  <c r="C184" i="97"/>
  <c r="C192" i="97"/>
  <c r="C523" i="97"/>
  <c r="C434" i="97"/>
  <c r="C341" i="97"/>
  <c r="C602" i="97"/>
  <c r="C683" i="97"/>
  <c r="C525" i="97"/>
  <c r="C437" i="97"/>
  <c r="C331" i="97"/>
  <c r="C716" i="97"/>
  <c r="C652" i="97"/>
  <c r="C588" i="97"/>
  <c r="C524" i="97"/>
  <c r="C452" i="97"/>
  <c r="C344" i="97"/>
  <c r="C320" i="97"/>
  <c r="C288" i="97"/>
  <c r="C264" i="97"/>
  <c r="C248" i="97"/>
  <c r="C232" i="97"/>
  <c r="C216" i="97"/>
  <c r="C200" i="97"/>
  <c r="C380" i="97"/>
  <c r="C280" i="97"/>
  <c r="C732" i="97"/>
  <c r="C440" i="97"/>
  <c r="C156" i="97"/>
  <c r="C152" i="97"/>
  <c r="C148" i="97"/>
  <c r="C144" i="97"/>
  <c r="C84" i="97"/>
  <c r="C80" i="97"/>
  <c r="C76" i="97"/>
  <c r="C72" i="97"/>
  <c r="C68" i="97"/>
  <c r="C64" i="97"/>
  <c r="C60" i="97"/>
  <c r="C27" i="97"/>
  <c r="C31" i="97"/>
  <c r="C35" i="97"/>
  <c r="C39" i="97"/>
  <c r="C43" i="97"/>
  <c r="C47" i="97"/>
  <c r="C90" i="97"/>
  <c r="C98" i="97"/>
  <c r="C106" i="97"/>
  <c r="C110" i="97"/>
  <c r="C89" i="97"/>
  <c r="C97" i="97"/>
  <c r="C105" i="97"/>
  <c r="C53" i="97"/>
  <c r="C57" i="97"/>
  <c r="C116" i="97"/>
  <c r="C122" i="97"/>
  <c r="C126" i="97"/>
  <c r="C130" i="97"/>
  <c r="C134" i="97"/>
  <c r="C138" i="97"/>
  <c r="C142" i="97"/>
  <c r="C165" i="97"/>
  <c r="C173" i="97"/>
  <c r="C181" i="97"/>
  <c r="C189" i="97"/>
  <c r="C197" i="97"/>
  <c r="C162" i="97"/>
  <c r="C170" i="97"/>
  <c r="C178" i="97"/>
  <c r="C186" i="97"/>
  <c r="C194" i="97"/>
  <c r="G2" i="97"/>
  <c r="M51" i="96"/>
  <c r="N51" i="96" s="1"/>
  <c r="K51" i="96"/>
  <c r="M57" i="96"/>
  <c r="N57" i="96" s="1"/>
  <c r="K57" i="96"/>
  <c r="M50" i="96"/>
  <c r="N50" i="96" s="1"/>
  <c r="K50" i="96"/>
  <c r="J50" i="96" s="1"/>
  <c r="M58" i="96"/>
  <c r="N58" i="96" s="1"/>
  <c r="K58" i="96"/>
  <c r="J58" i="96" s="1"/>
  <c r="M55" i="96"/>
  <c r="N55" i="96" s="1"/>
  <c r="K55" i="96"/>
  <c r="M53" i="96"/>
  <c r="N53" i="96" s="1"/>
  <c r="K53" i="96"/>
  <c r="M52" i="96"/>
  <c r="N52" i="96" s="1"/>
  <c r="K52" i="96"/>
  <c r="M56" i="96"/>
  <c r="N56" i="96" s="1"/>
  <c r="K56" i="96"/>
  <c r="J56" i="96" s="1"/>
  <c r="M54" i="96"/>
  <c r="N54" i="96" s="1"/>
  <c r="K54" i="96"/>
  <c r="D116" i="96"/>
  <c r="E61" i="99" l="1"/>
  <c r="B59" i="99" s="1"/>
  <c r="J61" i="96"/>
  <c r="D61" i="96"/>
  <c r="E50" i="99"/>
  <c r="B48" i="99" s="1"/>
  <c r="C28" i="99" s="1"/>
  <c r="J64" i="96"/>
  <c r="D64" i="96"/>
  <c r="J66" i="96"/>
  <c r="D66" i="96"/>
  <c r="J65" i="96"/>
  <c r="D65" i="96"/>
  <c r="J63" i="96"/>
  <c r="D63" i="96"/>
  <c r="J69" i="96"/>
  <c r="D69" i="96"/>
  <c r="J62" i="96"/>
  <c r="D62" i="96"/>
  <c r="I2" i="97"/>
  <c r="D54" i="96"/>
  <c r="J54" i="96"/>
  <c r="D52" i="96"/>
  <c r="J52" i="96"/>
  <c r="J55" i="96"/>
  <c r="D55" i="96"/>
  <c r="J57" i="96"/>
  <c r="D57" i="96"/>
  <c r="D53" i="96"/>
  <c r="J53" i="96"/>
  <c r="D51" i="96"/>
  <c r="J51" i="96"/>
  <c r="E61" i="96" l="1"/>
  <c r="B59" i="96" s="1"/>
  <c r="J2" i="97"/>
  <c r="E50" i="96"/>
  <c r="B48" i="96" s="1"/>
  <c r="C28" i="96" s="1"/>
  <c r="K2" i="97" l="1"/>
  <c r="M2" i="97" l="1"/>
  <c r="L2" i="97"/>
  <c r="A120" i="95" l="1"/>
  <c r="E111" i="95"/>
  <c r="H112" i="95" s="1"/>
  <c r="E109" i="95"/>
  <c r="A124" i="95" s="1"/>
  <c r="E107" i="95"/>
  <c r="A122" i="95" s="1"/>
  <c r="H106" i="95"/>
  <c r="H105" i="95"/>
  <c r="H104" i="95"/>
  <c r="H103" i="95"/>
  <c r="D120" i="95" s="1"/>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D3" i="31"/>
  <c r="E3" i="31"/>
  <c r="F3" i="31"/>
  <c r="G3" i="31"/>
  <c r="H3" i="31"/>
  <c r="I3" i="31"/>
  <c r="J3" i="31"/>
  <c r="K3" i="31"/>
  <c r="L3" i="31"/>
  <c r="M3" i="31"/>
  <c r="D4" i="31"/>
  <c r="E4" i="31"/>
  <c r="F4" i="31"/>
  <c r="G4" i="31"/>
  <c r="H4" i="31"/>
  <c r="I4" i="31"/>
  <c r="J4" i="31"/>
  <c r="K4" i="31"/>
  <c r="L4" i="31"/>
  <c r="M4" i="31"/>
  <c r="C4" i="31"/>
  <c r="C3"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146" i="31"/>
  <c r="A198" i="31"/>
  <c r="A199" i="31"/>
  <c r="A192" i="31"/>
  <c r="A193" i="31"/>
  <c r="A194" i="31"/>
  <c r="A195" i="31"/>
  <c r="A196" i="31"/>
  <c r="A197"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46"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12"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78"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24" i="31"/>
  <c r="D34" i="95"/>
  <c r="D35" i="95"/>
  <c r="C18" i="95" l="1"/>
  <c r="D18" i="95" s="1"/>
  <c r="C92" i="95"/>
  <c r="C94" i="95"/>
  <c r="D121" i="95"/>
  <c r="K120" i="95"/>
  <c r="H111" i="95"/>
  <c r="D126" i="95" s="1"/>
  <c r="D127" i="95" s="1"/>
  <c r="A126" i="95"/>
  <c r="H109" i="95"/>
  <c r="I37" i="34"/>
  <c r="G37" i="34"/>
  <c r="E37" i="34"/>
  <c r="D124" i="95" l="1"/>
  <c r="D125" i="95" s="1"/>
  <c r="H110" i="95"/>
  <c r="C37" i="34" l="1"/>
  <c r="C11" i="34"/>
  <c r="C5" i="34"/>
  <c r="A120" i="87" l="1"/>
  <c r="E111" i="87"/>
  <c r="E109" i="87"/>
  <c r="H109" i="87" s="1"/>
  <c r="E107" i="87"/>
  <c r="A122" i="87" s="1"/>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4" i="86" s="1"/>
  <c r="F21" i="86"/>
  <c r="F20" i="86"/>
  <c r="M19" i="86"/>
  <c r="F18" i="86"/>
  <c r="M17" i="86"/>
  <c r="F17" i="86"/>
  <c r="F15" i="86"/>
  <c r="Q72" i="85"/>
  <c r="Q59" i="85"/>
  <c r="K59" i="85"/>
  <c r="P74" i="85" s="1"/>
  <c r="F59" i="85"/>
  <c r="Q58" i="85"/>
  <c r="Q51" i="85"/>
  <c r="J50" i="85"/>
  <c r="M47" i="85"/>
  <c r="D46" i="85"/>
  <c r="F33" i="85"/>
  <c r="F61" i="85" s="1"/>
  <c r="F31" i="85"/>
  <c r="F23" i="85"/>
  <c r="D24" i="85" s="1"/>
  <c r="D23" i="85"/>
  <c r="F21" i="85"/>
  <c r="F20" i="85"/>
  <c r="M19" i="85"/>
  <c r="F18" i="85"/>
  <c r="M17" i="85"/>
  <c r="F17" i="85"/>
  <c r="F15" i="85"/>
  <c r="D3" i="4"/>
  <c r="T26" i="1"/>
  <c r="T25" i="1"/>
  <c r="T24" i="1"/>
  <c r="T23" i="1"/>
  <c r="T22" i="1"/>
  <c r="D34" i="87"/>
  <c r="D35" i="87"/>
  <c r="D22" i="85" l="1"/>
  <c r="H103" i="87"/>
  <c r="D120" i="87" s="1"/>
  <c r="D22" i="86"/>
  <c r="D23" i="86"/>
  <c r="A124" i="87"/>
  <c r="C18" i="87"/>
  <c r="D18" i="87" s="1"/>
  <c r="D121" i="87"/>
  <c r="K120" i="87"/>
  <c r="D124" i="87"/>
  <c r="D125" i="87" s="1"/>
  <c r="H110" i="87"/>
  <c r="C92" i="87"/>
  <c r="C94" i="87"/>
  <c r="H112" i="87"/>
  <c r="A126" i="87"/>
  <c r="H111" i="87"/>
  <c r="D126" i="87" s="1"/>
  <c r="D127" i="87" s="1"/>
  <c r="P61" i="86"/>
  <c r="P61" i="85"/>
  <c r="Y8" i="1" l="1"/>
  <c r="Y6" i="1"/>
  <c r="C21" i="6" l="1"/>
  <c r="C20" i="6"/>
  <c r="C19" i="6"/>
  <c r="G13" i="80"/>
  <c r="K15" i="3" s="1"/>
  <c r="G21" i="6" s="1"/>
  <c r="D42" i="96" s="1"/>
  <c r="G12" i="80"/>
  <c r="I14" i="3" s="1"/>
  <c r="D33" i="99" s="1"/>
  <c r="F9" i="84"/>
  <c r="F8" i="84"/>
  <c r="F7" i="84"/>
  <c r="F10" i="84" s="1"/>
  <c r="F6" i="84"/>
  <c r="C33" i="33" s="1"/>
  <c r="G8" i="80"/>
  <c r="C753" i="84"/>
  <c r="C57" i="83"/>
  <c r="H7" i="80" s="1"/>
  <c r="C37" i="82"/>
  <c r="H6" i="80" s="1"/>
  <c r="C37" i="81"/>
  <c r="C57" i="80"/>
  <c r="H4"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I20" i="80" l="1"/>
  <c r="M7" i="80"/>
  <c r="I17" i="80"/>
  <c r="M4" i="80"/>
  <c r="I19" i="80"/>
  <c r="M6" i="80"/>
  <c r="F11" i="84"/>
  <c r="I8" i="80"/>
  <c r="M8" i="80" s="1"/>
  <c r="G9" i="80"/>
  <c r="B14" i="74" s="1"/>
  <c r="I21" i="80"/>
  <c r="D1" i="96"/>
  <c r="H42" i="96"/>
  <c r="D1" i="99"/>
  <c r="I13" i="3"/>
  <c r="K13" i="3"/>
  <c r="G19" i="6" s="1"/>
  <c r="C34" i="34"/>
  <c r="F20" i="6"/>
  <c r="H5" i="80"/>
  <c r="H9" i="80"/>
  <c r="I16" i="3" s="1"/>
  <c r="F22" i="6" s="1"/>
  <c r="G14" i="73"/>
  <c r="F14" i="73"/>
  <c r="E14" i="73"/>
  <c r="G15" i="73"/>
  <c r="F15" i="73"/>
  <c r="E15" i="73"/>
  <c r="I18" i="80" l="1"/>
  <c r="M5" i="80"/>
  <c r="N7" i="80"/>
  <c r="N7" i="1" s="1"/>
  <c r="Y7" i="1" s="1"/>
  <c r="I9" i="80"/>
  <c r="G10" i="80" s="1"/>
  <c r="I22" i="80"/>
  <c r="I23" i="80" s="1"/>
  <c r="B15" i="74"/>
  <c r="D33" i="43"/>
  <c r="F19" i="6"/>
  <c r="F37" i="6" s="1"/>
  <c r="AB32" i="79"/>
  <c r="AA32" i="79"/>
  <c r="Z32" i="79"/>
  <c r="N32" i="79"/>
  <c r="M32" i="79"/>
  <c r="P32" i="79" s="1"/>
  <c r="L32" i="79"/>
  <c r="I32" i="79"/>
  <c r="AD32" i="79" s="1"/>
  <c r="AC7" i="79"/>
  <c r="AB7" i="79"/>
  <c r="AA7" i="79"/>
  <c r="AD7" i="79" s="1"/>
  <c r="Z7" i="79"/>
  <c r="Y7" i="79"/>
  <c r="O7" i="79"/>
  <c r="N7" i="79"/>
  <c r="M7" i="79"/>
  <c r="P7" i="79" s="1"/>
  <c r="L7" i="79"/>
  <c r="K7" i="79"/>
  <c r="I7" i="79"/>
  <c r="K17" i="3" l="1"/>
  <c r="G23" i="6" s="1"/>
  <c r="B16" i="74"/>
  <c r="I10" i="79"/>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28" i="79" l="1"/>
  <c r="E21" i="96"/>
  <c r="E21" i="9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P37" i="71"/>
  <c r="O37" i="71"/>
  <c r="Y37" i="71" s="1"/>
  <c r="Z37" i="71" s="1"/>
  <c r="N37" i="71"/>
  <c r="B38" i="71" s="1"/>
  <c r="B39" i="71" s="1"/>
  <c r="B40" i="71" s="1"/>
  <c r="S40" i="71" s="1"/>
  <c r="D37" i="71"/>
  <c r="Q36" i="71"/>
  <c r="P36" i="71"/>
  <c r="O36" i="71"/>
  <c r="N36" i="71"/>
  <c r="Q35" i="71"/>
  <c r="AB35" i="71" s="1"/>
  <c r="P35" i="71"/>
  <c r="O35" i="71"/>
  <c r="N35" i="71"/>
  <c r="Q34" i="71"/>
  <c r="P34" i="71"/>
  <c r="O34" i="71"/>
  <c r="N34" i="71"/>
  <c r="Q33" i="71"/>
  <c r="F34" i="71" s="1"/>
  <c r="F35" i="71" s="1"/>
  <c r="P33" i="71"/>
  <c r="E34"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Y27" i="71" s="1"/>
  <c r="Z27" i="71" s="1"/>
  <c r="N28" i="71"/>
  <c r="B30" i="71"/>
  <c r="B31" i="71" s="1"/>
  <c r="B32" i="71" s="1"/>
  <c r="S32" i="71" s="1"/>
  <c r="B34" i="71"/>
  <c r="B35" i="71" s="1"/>
  <c r="B36" i="71" s="1"/>
  <c r="S36" i="71" s="1"/>
  <c r="E38" i="71"/>
  <c r="E39" i="71" s="1"/>
  <c r="E40" i="71" s="1"/>
  <c r="U40" i="71" s="1"/>
  <c r="N68" i="71"/>
  <c r="X31" i="71"/>
  <c r="B28" i="71"/>
  <c r="B27" i="71" s="1"/>
  <c r="B26" i="71" s="1"/>
  <c r="P28" i="71"/>
  <c r="E28" i="71" s="1"/>
  <c r="Q28" i="71"/>
  <c r="F28" i="71" s="1"/>
  <c r="F27" i="71" s="1"/>
  <c r="F26" i="71" s="1"/>
  <c r="C59" i="71"/>
  <c r="D59" i="71" s="1"/>
  <c r="B66" i="71"/>
  <c r="N65" i="71" s="1"/>
  <c r="D68" i="71"/>
  <c r="C67" i="71"/>
  <c r="D67" i="71" s="1"/>
  <c r="Q68" i="71"/>
  <c r="E71" i="71"/>
  <c r="E70" i="71" s="1"/>
  <c r="D72" i="71"/>
  <c r="C75" i="71"/>
  <c r="D75" i="71" s="1"/>
  <c r="D80" i="71"/>
  <c r="C87" i="71"/>
  <c r="C86" i="71" s="1"/>
  <c r="D86" i="71" s="1"/>
  <c r="O67" i="71"/>
  <c r="N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U25" i="40"/>
  <c r="U21" i="37"/>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c r="L4" i="9"/>
  <c r="B17" i="72"/>
  <c r="B15" i="72"/>
  <c r="A3" i="51"/>
  <c r="C8" i="11"/>
  <c r="B40" i="48"/>
  <c r="B3" i="72" s="1"/>
  <c r="F35" i="4"/>
  <c r="J55" i="39"/>
  <c r="H39" i="43"/>
  <c r="H40" i="43"/>
  <c r="H41" i="43"/>
  <c r="H42"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S21" i="1" s="1"/>
  <c r="U2" i="43" s="1"/>
  <c r="AC13" i="3"/>
  <c r="H14" i="3"/>
  <c r="G14" i="3" s="1"/>
  <c r="AC14" i="3"/>
  <c r="H15" i="3"/>
  <c r="AC15" i="3"/>
  <c r="H16" i="3"/>
  <c r="G16" i="3" s="1"/>
  <c r="AC16" i="3"/>
  <c r="H17" i="3"/>
  <c r="AC17" i="3"/>
  <c r="AT5" i="3"/>
  <c r="I5" i="3"/>
  <c r="L23"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497" i="31"/>
  <c r="S495" i="31"/>
  <c r="S494" i="31"/>
  <c r="S493" i="31"/>
  <c r="S491" i="31"/>
  <c r="S490" i="31"/>
  <c r="S489" i="31"/>
  <c r="S487" i="31"/>
  <c r="S486" i="31"/>
  <c r="S485" i="31"/>
  <c r="S483" i="31"/>
  <c r="S482" i="31"/>
  <c r="S481" i="31"/>
  <c r="S479" i="31"/>
  <c r="S478" i="31"/>
  <c r="S477" i="31"/>
  <c r="S475" i="31"/>
  <c r="S474" i="31"/>
  <c r="S473" i="31"/>
  <c r="S471" i="31"/>
  <c r="S470" i="31"/>
  <c r="S469" i="31"/>
  <c r="S444" i="31"/>
  <c r="S443" i="31"/>
  <c r="S442" i="31"/>
  <c r="S441" i="31"/>
  <c r="S440" i="31"/>
  <c r="S439" i="31"/>
  <c r="S438" i="31"/>
  <c r="S437" i="31"/>
  <c r="S436" i="31"/>
  <c r="S435" i="31"/>
  <c r="S434" i="31"/>
  <c r="S433" i="31"/>
  <c r="S432" i="31"/>
  <c r="S431" i="31"/>
  <c r="S430" i="31"/>
  <c r="S506" i="31"/>
  <c r="S504" i="31"/>
  <c r="S502" i="31"/>
  <c r="S498" i="31"/>
  <c r="S467" i="31"/>
  <c r="S466" i="31"/>
  <c r="S465" i="31"/>
  <c r="S463" i="31"/>
  <c r="S462" i="31"/>
  <c r="S461" i="31"/>
  <c r="S459" i="31"/>
  <c r="S458" i="31"/>
  <c r="S457" i="31"/>
  <c r="S455" i="31"/>
  <c r="S454" i="31"/>
  <c r="S453" i="31"/>
  <c r="S451" i="31"/>
  <c r="S450"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F34" i="37"/>
  <c r="D99" i="37"/>
  <c r="E99" i="37" s="1"/>
  <c r="F99" i="37" s="1"/>
  <c r="G99" i="37" s="1"/>
  <c r="H99" i="37" s="1"/>
  <c r="I99" i="37" s="1"/>
  <c r="J99" i="37" s="1"/>
  <c r="K99" i="37" s="1"/>
  <c r="L99" i="37" s="1"/>
  <c r="M99" i="37" s="1"/>
  <c r="H42" i="34"/>
  <c r="J42" i="34"/>
  <c r="W42" i="34" s="1"/>
  <c r="F42" i="34"/>
  <c r="D114" i="34"/>
  <c r="J38" i="34" s="1"/>
  <c r="W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H30" i="37"/>
  <c r="AB30" i="37" s="1"/>
  <c r="F30" i="37"/>
  <c r="AA30" i="37" s="1"/>
  <c r="Q29" i="37"/>
  <c r="Z29" i="37"/>
  <c r="H29" i="37"/>
  <c r="AB29" i="37" s="1"/>
  <c r="Q28" i="37"/>
  <c r="Z28" i="37" s="1"/>
  <c r="Q27" i="37"/>
  <c r="Z27" i="37" s="1"/>
  <c r="Q26" i="37"/>
  <c r="Z26" i="37" s="1"/>
  <c r="H26" i="37"/>
  <c r="AB26" i="37" s="1"/>
  <c r="Q25" i="37"/>
  <c r="Z25" i="37" s="1"/>
  <c r="J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J23" i="35" s="1"/>
  <c r="AC23" i="35" s="1"/>
  <c r="B57" i="35"/>
  <c r="B61" i="35"/>
  <c r="B59" i="35"/>
  <c r="F12" i="35" s="1"/>
  <c r="B131" i="34"/>
  <c r="B129" i="34"/>
  <c r="B127" i="34"/>
  <c r="B99" i="34"/>
  <c r="B97" i="34"/>
  <c r="H31" i="34" s="1"/>
  <c r="B95" i="34"/>
  <c r="B93" i="34"/>
  <c r="B75" i="34"/>
  <c r="B73" i="34"/>
  <c r="B71" i="34"/>
  <c r="B130" i="33"/>
  <c r="H46" i="33" s="1"/>
  <c r="B128" i="33"/>
  <c r="B126" i="33"/>
  <c r="B98" i="33"/>
  <c r="B96" i="33"/>
  <c r="H30" i="33" s="1"/>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J17" i="34" s="1"/>
  <c r="W17"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S8" i="34" s="1"/>
  <c r="D121" i="33"/>
  <c r="E121" i="33" s="1"/>
  <c r="F109" i="33"/>
  <c r="E109" i="33"/>
  <c r="D109" i="33"/>
  <c r="C109" i="33"/>
  <c r="D91" i="33"/>
  <c r="E91" i="33" s="1"/>
  <c r="B88" i="33"/>
  <c r="F26" i="33" s="1"/>
  <c r="AA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W27" i="21" s="1"/>
  <c r="B74" i="21"/>
  <c r="H14" i="21" s="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L24" i="1" s="1"/>
  <c r="N24"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AA41" i="21"/>
  <c r="F45" i="39"/>
  <c r="S45" i="39" s="1"/>
  <c r="J45" i="39"/>
  <c r="W45" i="39" s="1"/>
  <c r="H36" i="39"/>
  <c r="AB36" i="39"/>
  <c r="J35" i="39"/>
  <c r="AC35" i="39" s="1"/>
  <c r="J36" i="39"/>
  <c r="AC36" i="39" s="1"/>
  <c r="U9" i="39"/>
  <c r="U30" i="37"/>
  <c r="W31" i="37"/>
  <c r="F103" i="37"/>
  <c r="G103" i="37" s="1"/>
  <c r="H103" i="37" s="1"/>
  <c r="I103" i="37" s="1"/>
  <c r="J103" i="37" s="1"/>
  <c r="K103" i="37" s="1"/>
  <c r="L103" i="37" s="1"/>
  <c r="M103" i="37" s="1"/>
  <c r="F29" i="36"/>
  <c r="AA29" i="36" s="1"/>
  <c r="F16" i="36"/>
  <c r="AA16" i="36" s="1"/>
  <c r="U31" i="36"/>
  <c r="H22" i="35"/>
  <c r="AB22" i="35"/>
  <c r="U31" i="35"/>
  <c r="W22" i="35"/>
  <c r="F36" i="34"/>
  <c r="S36" i="34" s="1"/>
  <c r="J35" i="34"/>
  <c r="AC35" i="34" s="1"/>
  <c r="S40" i="33"/>
  <c r="F11" i="40"/>
  <c r="AA11" i="40" s="1"/>
  <c r="H11" i="40"/>
  <c r="AB11" i="40" s="1"/>
  <c r="W8" i="40"/>
  <c r="U9" i="40"/>
  <c r="W31" i="40"/>
  <c r="U34" i="40"/>
  <c r="F42" i="39"/>
  <c r="AA42" i="39" s="1"/>
  <c r="F41" i="39"/>
  <c r="S41" i="39" s="1"/>
  <c r="H40" i="39"/>
  <c r="AB40" i="39" s="1"/>
  <c r="H39" i="39"/>
  <c r="U39" i="39" s="1"/>
  <c r="H34" i="39"/>
  <c r="F31" i="39"/>
  <c r="AA31" i="39" s="1"/>
  <c r="E100" i="39"/>
  <c r="F100" i="39" s="1"/>
  <c r="G100" i="39" s="1"/>
  <c r="H19" i="39"/>
  <c r="AB19" i="39" s="1"/>
  <c r="F19" i="39"/>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C25" i="39"/>
  <c r="H11" i="39"/>
  <c r="S40" i="39"/>
  <c r="H11" i="21"/>
  <c r="U11" i="21" s="1"/>
  <c r="J11" i="21"/>
  <c r="W11" i="21" s="1"/>
  <c r="H37" i="40"/>
  <c r="H36" i="40"/>
  <c r="AB36" i="40" s="1"/>
  <c r="F35" i="40"/>
  <c r="AA35" i="40" s="1"/>
  <c r="H23" i="40"/>
  <c r="AB23" i="40" s="1"/>
  <c r="H17" i="40"/>
  <c r="U17" i="40" s="1"/>
  <c r="J15" i="40"/>
  <c r="W15" i="40" s="1"/>
  <c r="J11" i="40"/>
  <c r="W11" i="40"/>
  <c r="W32" i="40"/>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W15" i="34" s="1"/>
  <c r="H15" i="34"/>
  <c r="AB15" i="34" s="1"/>
  <c r="F41" i="33"/>
  <c r="AA41" i="33" s="1"/>
  <c r="E113" i="33"/>
  <c r="F113" i="33" s="1"/>
  <c r="G113" i="33" s="1"/>
  <c r="H113" i="33" s="1"/>
  <c r="I113" i="33" s="1"/>
  <c r="J113" i="33" s="1"/>
  <c r="K113" i="33" s="1"/>
  <c r="L113" i="33" s="1"/>
  <c r="M113" i="33" s="1"/>
  <c r="J19" i="33"/>
  <c r="AC19" i="33" s="1"/>
  <c r="J15" i="33"/>
  <c r="AC15" i="33" s="1"/>
  <c r="F11" i="33"/>
  <c r="AA11" i="33" s="1"/>
  <c r="F37" i="40"/>
  <c r="AA37" i="40" s="1"/>
  <c r="F36" i="40"/>
  <c r="AA36" i="40" s="1"/>
  <c r="H28" i="40"/>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H37" i="33"/>
  <c r="AB37" i="33" s="1"/>
  <c r="H15" i="33"/>
  <c r="AB15" i="33" s="1"/>
  <c r="H11" i="33"/>
  <c r="AB11" i="33" s="1"/>
  <c r="F28" i="40"/>
  <c r="AA28" i="40" s="1"/>
  <c r="AA29" i="35"/>
  <c r="AA42" i="34"/>
  <c r="S42" i="34"/>
  <c r="J37" i="34"/>
  <c r="AC37" i="34" s="1"/>
  <c r="J11" i="33"/>
  <c r="W11" i="33" s="1"/>
  <c r="I123" i="21"/>
  <c r="J123" i="21" s="1"/>
  <c r="K123" i="21" s="1"/>
  <c r="L123" i="21" s="1"/>
  <c r="M123" i="21" s="1"/>
  <c r="J42" i="21"/>
  <c r="AC42" i="21" s="1"/>
  <c r="H42" i="21"/>
  <c r="J44" i="34"/>
  <c r="W44" i="34" s="1"/>
  <c r="F44" i="34"/>
  <c r="S44" i="34" s="1"/>
  <c r="J10" i="35"/>
  <c r="AC10" i="35" s="1"/>
  <c r="J14" i="21"/>
  <c r="W14" i="21" s="1"/>
  <c r="F14" i="21"/>
  <c r="H28" i="21"/>
  <c r="AB28" i="21" s="1"/>
  <c r="F28" i="21"/>
  <c r="AA28" i="21"/>
  <c r="J28" i="21"/>
  <c r="W28" i="21" s="1"/>
  <c r="H30" i="21"/>
  <c r="U30" i="21" s="1"/>
  <c r="F30" i="21"/>
  <c r="S30" i="21" s="1"/>
  <c r="J30" i="21"/>
  <c r="J44" i="21"/>
  <c r="AC44" i="21" s="1"/>
  <c r="H44" i="21"/>
  <c r="U44" i="21" s="1"/>
  <c r="F44" i="2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F27" i="21"/>
  <c r="AA27" i="21" s="1"/>
  <c r="H29" i="21"/>
  <c r="J31" i="21"/>
  <c r="AC31" i="21" s="1"/>
  <c r="F31" i="21"/>
  <c r="S31" i="21" s="1"/>
  <c r="F45" i="21"/>
  <c r="AA45" i="21" s="1"/>
  <c r="F27" i="33"/>
  <c r="AA27" i="33" s="1"/>
  <c r="J13" i="33"/>
  <c r="W13" i="33" s="1"/>
  <c r="H13" i="33"/>
  <c r="U13" i="33" s="1"/>
  <c r="F13" i="33"/>
  <c r="S13" i="33" s="1"/>
  <c r="J29" i="33"/>
  <c r="H29" i="33"/>
  <c r="F29" i="33"/>
  <c r="S29" i="33" s="1"/>
  <c r="J31" i="33"/>
  <c r="W31" i="33" s="1"/>
  <c r="H31" i="33"/>
  <c r="F31" i="33"/>
  <c r="AA31" i="33" s="1"/>
  <c r="H45" i="33"/>
  <c r="U45" i="33" s="1"/>
  <c r="J45" i="33"/>
  <c r="F45" i="33"/>
  <c r="J14" i="34"/>
  <c r="F14" i="34"/>
  <c r="S14" i="34" s="1"/>
  <c r="H14" i="34"/>
  <c r="AB14" i="34" s="1"/>
  <c r="H30" i="34"/>
  <c r="F30" i="34"/>
  <c r="J30" i="34"/>
  <c r="H32" i="34"/>
  <c r="AB32" i="34" s="1"/>
  <c r="F32" i="34"/>
  <c r="J32" i="34"/>
  <c r="W32" i="34" s="1"/>
  <c r="H46" i="34"/>
  <c r="U46" i="34" s="1"/>
  <c r="F46" i="34"/>
  <c r="AA46" i="34" s="1"/>
  <c r="J46" i="34"/>
  <c r="H11" i="35"/>
  <c r="AB11" i="35" s="1"/>
  <c r="J11" i="35"/>
  <c r="W11" i="35" s="1"/>
  <c r="F11" i="35"/>
  <c r="J26" i="36"/>
  <c r="W26" i="36" s="1"/>
  <c r="H28" i="36"/>
  <c r="U28" i="36" s="1"/>
  <c r="H32" i="36"/>
  <c r="AB32" i="36" s="1"/>
  <c r="J11" i="36"/>
  <c r="AC11" i="36" s="1"/>
  <c r="H11" i="36"/>
  <c r="U11" i="36" s="1"/>
  <c r="H13" i="36"/>
  <c r="AB13" i="36" s="1"/>
  <c r="J13" i="36"/>
  <c r="F13" i="36"/>
  <c r="E89" i="37"/>
  <c r="F89" i="37" s="1"/>
  <c r="G89" i="37" s="1"/>
  <c r="H89" i="37" s="1"/>
  <c r="I89" i="37" s="1"/>
  <c r="J89" i="37" s="1"/>
  <c r="K89" i="37" s="1"/>
  <c r="L89" i="37" s="1"/>
  <c r="M89" i="37" s="1"/>
  <c r="J29" i="37"/>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W12" i="40"/>
  <c r="H14" i="33"/>
  <c r="U14" i="33" s="1"/>
  <c r="F14" i="33"/>
  <c r="S14" i="33" s="1"/>
  <c r="J14" i="33"/>
  <c r="W14" i="33" s="1"/>
  <c r="F30" i="33"/>
  <c r="AA30" i="33" s="1"/>
  <c r="H44" i="33"/>
  <c r="J44" i="33"/>
  <c r="AC44" i="33" s="1"/>
  <c r="F44" i="33"/>
  <c r="S44" i="33" s="1"/>
  <c r="J46" i="33"/>
  <c r="AC46" i="33" s="1"/>
  <c r="H13" i="34"/>
  <c r="U13" i="34" s="1"/>
  <c r="J13" i="34"/>
  <c r="F13" i="34"/>
  <c r="AA13" i="34" s="1"/>
  <c r="J29" i="34"/>
  <c r="W29" i="34" s="1"/>
  <c r="J31" i="34"/>
  <c r="W31" i="34" s="1"/>
  <c r="H45" i="34"/>
  <c r="H47" i="34"/>
  <c r="U47" i="34" s="1"/>
  <c r="F47" i="34"/>
  <c r="S47" i="34" s="1"/>
  <c r="J47" i="34"/>
  <c r="AC47" i="34" s="1"/>
  <c r="H13" i="35"/>
  <c r="H25" i="35"/>
  <c r="AB25" i="35" s="1"/>
  <c r="J35" i="35"/>
  <c r="AC35" i="35" s="1"/>
  <c r="F35" i="35"/>
  <c r="AA35" i="35" s="1"/>
  <c r="H35" i="35"/>
  <c r="H25" i="36"/>
  <c r="AB25" i="36" s="1"/>
  <c r="H13" i="37"/>
  <c r="AB13" i="37" s="1"/>
  <c r="F13" i="37"/>
  <c r="S13" i="37" s="1"/>
  <c r="J13" i="37"/>
  <c r="W13" i="37" s="1"/>
  <c r="F28" i="37"/>
  <c r="J28" i="37"/>
  <c r="AC28" i="37" s="1"/>
  <c r="H28" i="37"/>
  <c r="H38" i="37"/>
  <c r="U38" i="37" s="1"/>
  <c r="J38" i="37"/>
  <c r="AC38" i="37" s="1"/>
  <c r="F38" i="37"/>
  <c r="S38" i="37" s="1"/>
  <c r="F43" i="39"/>
  <c r="AA43" i="39" s="1"/>
  <c r="H43" i="39"/>
  <c r="U43" i="39" s="1"/>
  <c r="J14" i="39"/>
  <c r="AC14" i="39" s="1"/>
  <c r="F14" i="39"/>
  <c r="H14" i="39"/>
  <c r="AB14" i="39" s="1"/>
  <c r="F12" i="40"/>
  <c r="S12" i="40" s="1"/>
  <c r="H12" i="40"/>
  <c r="AB12" i="40" s="1"/>
  <c r="H30" i="40"/>
  <c r="AB30" i="40" s="1"/>
  <c r="F33" i="40"/>
  <c r="H33" i="40"/>
  <c r="U33" i="40" s="1"/>
  <c r="J35" i="40"/>
  <c r="AC35" i="40" s="1"/>
  <c r="J37" i="40"/>
  <c r="AC37" i="40" s="1"/>
  <c r="H13" i="40"/>
  <c r="J13" i="40"/>
  <c r="F13" i="40"/>
  <c r="AA13" i="40" s="1"/>
  <c r="F14" i="37"/>
  <c r="F27" i="37"/>
  <c r="AA27" i="37" s="1"/>
  <c r="F13" i="39"/>
  <c r="AA13" i="39" s="1"/>
  <c r="J13" i="39"/>
  <c r="W13" i="39" s="1"/>
  <c r="H13" i="39"/>
  <c r="H14" i="40"/>
  <c r="U14" i="40" s="1"/>
  <c r="J14" i="40"/>
  <c r="W14" i="40" s="1"/>
  <c r="F14" i="40"/>
  <c r="AA14" i="40" s="1"/>
  <c r="J14" i="37"/>
  <c r="J27" i="37"/>
  <c r="AA44" i="33"/>
  <c r="J36" i="37"/>
  <c r="AC36" i="37" s="1"/>
  <c r="J10" i="36"/>
  <c r="AC10" i="36" s="1"/>
  <c r="AB30" i="21"/>
  <c r="AB46" i="34"/>
  <c r="BA585" i="3"/>
  <c r="F17" i="21"/>
  <c r="H17" i="21"/>
  <c r="AB17" i="21" s="1"/>
  <c r="F15" i="21"/>
  <c r="S15" i="21" s="1"/>
  <c r="J41" i="39"/>
  <c r="W41" i="39" s="1"/>
  <c r="U36" i="39"/>
  <c r="G544" i="3"/>
  <c r="G536" i="3"/>
  <c r="G535" i="3"/>
  <c r="G528" i="3"/>
  <c r="G527" i="3"/>
  <c r="G514" i="3"/>
  <c r="G508" i="3"/>
  <c r="G500" i="3"/>
  <c r="G584" i="3"/>
  <c r="G580" i="3"/>
  <c r="G576" i="3"/>
  <c r="G572" i="3"/>
  <c r="G568" i="3"/>
  <c r="G560" i="3"/>
  <c r="G554" i="3"/>
  <c r="G550" i="3"/>
  <c r="BL584" i="3"/>
  <c r="BL580" i="3"/>
  <c r="BL576" i="3"/>
  <c r="BL572" i="3"/>
  <c r="BL516" i="3"/>
  <c r="BL582" i="3"/>
  <c r="BL578" i="3"/>
  <c r="BL574" i="3"/>
  <c r="BL570" i="3"/>
  <c r="G529" i="3"/>
  <c r="G493" i="3"/>
  <c r="BA584" i="3"/>
  <c r="BA582" i="3"/>
  <c r="BA580" i="3"/>
  <c r="AZ580" i="3" s="1"/>
  <c r="BA578" i="3"/>
  <c r="BA576" i="3"/>
  <c r="BA574" i="3"/>
  <c r="BA572" i="3"/>
  <c r="AZ572" i="3" s="1"/>
  <c r="BA570" i="3"/>
  <c r="AZ570" i="3" s="1"/>
  <c r="BA538" i="3"/>
  <c r="BA512" i="3"/>
  <c r="BA583" i="3"/>
  <c r="BA581" i="3"/>
  <c r="BA579" i="3"/>
  <c r="BA577" i="3"/>
  <c r="BA575" i="3"/>
  <c r="BA573" i="3"/>
  <c r="BA571" i="3"/>
  <c r="BA545" i="3"/>
  <c r="BA511" i="3"/>
  <c r="G583" i="3"/>
  <c r="G581" i="3"/>
  <c r="G579" i="3"/>
  <c r="G577" i="3"/>
  <c r="G575" i="3"/>
  <c r="G573" i="3"/>
  <c r="G571" i="3"/>
  <c r="G569" i="3"/>
  <c r="G567" i="3"/>
  <c r="G561" i="3"/>
  <c r="AC557" i="3"/>
  <c r="BQ557" i="3"/>
  <c r="BQ583" i="3"/>
  <c r="BL583" i="3" s="1"/>
  <c r="BQ581" i="3"/>
  <c r="BL581" i="3" s="1"/>
  <c r="BQ579" i="3"/>
  <c r="BL579" i="3" s="1"/>
  <c r="BQ577" i="3"/>
  <c r="BL577" i="3" s="1"/>
  <c r="AZ577" i="3" s="1"/>
  <c r="BQ575" i="3"/>
  <c r="BL575" i="3" s="1"/>
  <c r="BQ573" i="3"/>
  <c r="BL573" i="3" s="1"/>
  <c r="BQ571" i="3"/>
  <c r="BL571" i="3" s="1"/>
  <c r="BQ569" i="3"/>
  <c r="BQ567" i="3"/>
  <c r="BQ565" i="3"/>
  <c r="BL565" i="3" s="1"/>
  <c r="BQ563" i="3"/>
  <c r="BQ561" i="3"/>
  <c r="BQ559" i="3"/>
  <c r="G559" i="3"/>
  <c r="G555" i="3"/>
  <c r="G553" i="3"/>
  <c r="G545" i="3"/>
  <c r="G543" i="3"/>
  <c r="G537" i="3"/>
  <c r="BQ555" i="3"/>
  <c r="BQ553" i="3"/>
  <c r="BQ551" i="3"/>
  <c r="BQ549" i="3"/>
  <c r="BQ547" i="3"/>
  <c r="BQ545" i="3"/>
  <c r="BQ543" i="3"/>
  <c r="BQ541" i="3"/>
  <c r="BQ539" i="3"/>
  <c r="BL539" i="3" s="1"/>
  <c r="BQ537" i="3"/>
  <c r="BQ535" i="3"/>
  <c r="BQ533" i="3"/>
  <c r="BL533" i="3"/>
  <c r="BQ531" i="3"/>
  <c r="BQ529" i="3"/>
  <c r="BQ527" i="3"/>
  <c r="BQ525" i="3"/>
  <c r="BL525" i="3" s="1"/>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H35" i="34"/>
  <c r="U35" i="34" s="1"/>
  <c r="F41" i="34"/>
  <c r="H41" i="34"/>
  <c r="U41" i="34" s="1"/>
  <c r="J41" i="34"/>
  <c r="AC41" i="34" s="1"/>
  <c r="F10" i="35"/>
  <c r="S10" i="35" s="1"/>
  <c r="F24" i="35"/>
  <c r="H24" i="35"/>
  <c r="H23" i="37"/>
  <c r="AB23" i="37" s="1"/>
  <c r="J32" i="37"/>
  <c r="AC32" i="37" s="1"/>
  <c r="F36" i="37"/>
  <c r="AA36" i="37" s="1"/>
  <c r="F37" i="37"/>
  <c r="AA37" i="37" s="1"/>
  <c r="F31" i="40"/>
  <c r="AA31" i="40" s="1"/>
  <c r="H31" i="40"/>
  <c r="U31" i="40" s="1"/>
  <c r="F32" i="40"/>
  <c r="H32" i="40"/>
  <c r="J36" i="40"/>
  <c r="W36" i="40" s="1"/>
  <c r="H19" i="37"/>
  <c r="AB19" i="37" s="1"/>
  <c r="J43" i="33"/>
  <c r="AC43" i="33" s="1"/>
  <c r="W23" i="35"/>
  <c r="U26" i="37"/>
  <c r="W44" i="33"/>
  <c r="U19" i="21"/>
  <c r="W44" i="21"/>
  <c r="AB38" i="21"/>
  <c r="F43" i="33"/>
  <c r="AA43" i="33" s="1"/>
  <c r="H37" i="21"/>
  <c r="U37" i="21" s="1"/>
  <c r="S42" i="21"/>
  <c r="H19" i="34"/>
  <c r="AB19" i="34" s="1"/>
  <c r="F36" i="35"/>
  <c r="S36" i="35"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F12" i="39"/>
  <c r="J42" i="39"/>
  <c r="AC42" i="39" s="1"/>
  <c r="H21" i="40"/>
  <c r="AC12" i="37"/>
  <c r="H31" i="37"/>
  <c r="U31" i="37" s="1"/>
  <c r="J15" i="37"/>
  <c r="W15" i="37" s="1"/>
  <c r="AT6" i="3"/>
  <c r="H19" i="40"/>
  <c r="U19" i="40" s="1"/>
  <c r="F88" i="40"/>
  <c r="G88" i="40" s="1"/>
  <c r="F19" i="40"/>
  <c r="S19" i="40" s="1"/>
  <c r="S14" i="40"/>
  <c r="AC43" i="39"/>
  <c r="W43" i="39"/>
  <c r="U45" i="39"/>
  <c r="AB45" i="39"/>
  <c r="H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s="1"/>
  <c r="F11" i="39"/>
  <c r="S11" i="39" s="1"/>
  <c r="G4" i="4"/>
  <c r="I4" i="4"/>
  <c r="A2" i="9"/>
  <c r="F61" i="43"/>
  <c r="H64" i="43" s="1"/>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AZ128" i="3"/>
  <c r="G534" i="3"/>
  <c r="G512" i="3"/>
  <c r="G506" i="3"/>
  <c r="G498"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BL366" i="3"/>
  <c r="G367" i="3"/>
  <c r="BA369" i="3"/>
  <c r="AZ369" i="3" s="1"/>
  <c r="BL370" i="3"/>
  <c r="G371" i="3"/>
  <c r="BA373" i="3"/>
  <c r="AZ373" i="3" s="1"/>
  <c r="BL374" i="3"/>
  <c r="G375" i="3"/>
  <c r="BA377" i="3"/>
  <c r="AZ377" i="3" s="1"/>
  <c r="BA379" i="3"/>
  <c r="AZ379" i="3" s="1"/>
  <c r="BL380" i="3"/>
  <c r="G381" i="3"/>
  <c r="BA383" i="3"/>
  <c r="BL384" i="3"/>
  <c r="G385" i="3"/>
  <c r="BA387" i="3"/>
  <c r="BL388" i="3"/>
  <c r="G389" i="3"/>
  <c r="BA391" i="3"/>
  <c r="BL392" i="3"/>
  <c r="G393" i="3"/>
  <c r="G548" i="3"/>
  <c r="G520" i="3"/>
  <c r="G17" i="3"/>
  <c r="BA17" i="3"/>
  <c r="G509" i="3"/>
  <c r="U36" i="40"/>
  <c r="F83" i="43"/>
  <c r="H85" i="43" s="1"/>
  <c r="F50" i="43"/>
  <c r="H54" i="43" s="1"/>
  <c r="G54" i="43" s="1"/>
  <c r="F72" i="43"/>
  <c r="H75" i="43" s="1"/>
  <c r="U17" i="39"/>
  <c r="S14" i="35"/>
  <c r="U43" i="21"/>
  <c r="U35" i="21"/>
  <c r="AC35" i="21"/>
  <c r="G10" i="1"/>
  <c r="AC11" i="39"/>
  <c r="W37" i="37"/>
  <c r="S15" i="37"/>
  <c r="U13" i="37"/>
  <c r="U12" i="40"/>
  <c r="J37" i="33"/>
  <c r="AC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H32" i="37"/>
  <c r="F96" i="37"/>
  <c r="G96" i="37" s="1"/>
  <c r="H96" i="37" s="1"/>
  <c r="I96" i="37" s="1"/>
  <c r="J96" i="37" s="1"/>
  <c r="K96" i="37" s="1"/>
  <c r="L96" i="37" s="1"/>
  <c r="M96" i="37" s="1"/>
  <c r="H27" i="40"/>
  <c r="U27" i="40" s="1"/>
  <c r="J27" i="40"/>
  <c r="AC27" i="40" s="1"/>
  <c r="F27" i="40"/>
  <c r="S27" i="40" s="1"/>
  <c r="J30" i="40"/>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C12" i="39"/>
  <c r="W12" i="39"/>
  <c r="BL14" i="3"/>
  <c r="W28" i="37"/>
  <c r="F12" i="33"/>
  <c r="AA12" i="33" s="1"/>
  <c r="H12" i="39"/>
  <c r="AB12" i="39" s="1"/>
  <c r="F39" i="40"/>
  <c r="B12" i="1"/>
  <c r="E12" i="1" s="1"/>
  <c r="B10" i="1"/>
  <c r="E10" i="1" s="1"/>
  <c r="K12" i="1"/>
  <c r="M12" i="1" s="1"/>
  <c r="S13" i="1"/>
  <c r="AR13" i="1" s="1"/>
  <c r="R13" i="1"/>
  <c r="J51" i="67"/>
  <c r="B41" i="1"/>
  <c r="F28" i="15" s="1"/>
  <c r="S35" i="40"/>
  <c r="AC36" i="40"/>
  <c r="W38" i="40"/>
  <c r="S17" i="40"/>
  <c r="S23" i="40"/>
  <c r="AC17" i="40"/>
  <c r="AC15" i="40"/>
  <c r="AA19" i="40"/>
  <c r="S28" i="40"/>
  <c r="AB19" i="40"/>
  <c r="S43"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15" i="39"/>
  <c r="S9" i="39"/>
  <c r="U14" i="39"/>
  <c r="AC13" i="39"/>
  <c r="S23" i="36"/>
  <c r="U13" i="36"/>
  <c r="U26" i="36"/>
  <c r="AC26" i="36"/>
  <c r="AA22" i="36"/>
  <c r="W14" i="36"/>
  <c r="AB14" i="36"/>
  <c r="U22" i="36"/>
  <c r="S16" i="36"/>
  <c r="U24" i="36"/>
  <c r="AB20" i="36"/>
  <c r="U16" i="36"/>
  <c r="S14" i="36"/>
  <c r="S23" i="35"/>
  <c r="W24" i="35"/>
  <c r="U29" i="35"/>
  <c r="U28" i="35"/>
  <c r="AB27" i="35"/>
  <c r="U32" i="35"/>
  <c r="AC30" i="35"/>
  <c r="S32" i="35"/>
  <c r="AA36" i="35"/>
  <c r="S28" i="35"/>
  <c r="AB16" i="35"/>
  <c r="U22" i="35"/>
  <c r="S20" i="35"/>
  <c r="AC20" i="35"/>
  <c r="S22" i="35"/>
  <c r="U14" i="35"/>
  <c r="W9" i="35"/>
  <c r="AC12" i="35"/>
  <c r="F9" i="35"/>
  <c r="S9" i="35" s="1"/>
  <c r="AB40" i="37"/>
  <c r="U29" i="37"/>
  <c r="AB31" i="37"/>
  <c r="S36" i="37"/>
  <c r="AA38"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AC42" i="34"/>
  <c r="S13" i="34"/>
  <c r="AA29" i="33"/>
  <c r="W38" i="33"/>
  <c r="H41" i="33"/>
  <c r="U41" i="33" s="1"/>
  <c r="F121" i="33"/>
  <c r="G121" i="33" s="1"/>
  <c r="H121" i="33" s="1"/>
  <c r="I121" i="33" s="1"/>
  <c r="J121" i="33" s="1"/>
  <c r="K121" i="33" s="1"/>
  <c r="L121" i="33" s="1"/>
  <c r="M121" i="33" s="1"/>
  <c r="G111" i="33"/>
  <c r="J36" i="33" s="1"/>
  <c r="W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W43" i="33"/>
  <c r="F91" i="33"/>
  <c r="G91" i="33" s="1"/>
  <c r="H91" i="33" s="1"/>
  <c r="I91" i="33" s="1"/>
  <c r="J91" i="33" s="1"/>
  <c r="K91" i="33" s="1"/>
  <c r="L91" i="33" s="1"/>
  <c r="M91" i="33" s="1"/>
  <c r="F87" i="33"/>
  <c r="G87" i="33" s="1"/>
  <c r="H87" i="33" s="1"/>
  <c r="I87" i="33" s="1"/>
  <c r="J87" i="33" s="1"/>
  <c r="K87" i="33" s="1"/>
  <c r="L87" i="33" s="1"/>
  <c r="M87" i="33" s="1"/>
  <c r="H25" i="33"/>
  <c r="U25" i="33" s="1"/>
  <c r="F25" i="33"/>
  <c r="S25" i="33" s="1"/>
  <c r="J23" i="33"/>
  <c r="AC23" i="33" s="1"/>
  <c r="F85" i="33"/>
  <c r="G85" i="33" s="1"/>
  <c r="H23" i="33"/>
  <c r="AB23" i="33" s="1"/>
  <c r="F81" i="33"/>
  <c r="G81" i="33" s="1"/>
  <c r="F19" i="33"/>
  <c r="S19" i="33" s="1"/>
  <c r="J17" i="33"/>
  <c r="AC17" i="33" s="1"/>
  <c r="W15" i="33"/>
  <c r="J10" i="33"/>
  <c r="W10" i="33" s="1"/>
  <c r="H10" i="33"/>
  <c r="U10" i="33" s="1"/>
  <c r="AB14" i="33"/>
  <c r="W43" i="21"/>
  <c r="W36" i="21"/>
  <c r="W41" i="21"/>
  <c r="AB39" i="21"/>
  <c r="AA43" i="21"/>
  <c r="S39" i="21"/>
  <c r="AA38" i="21"/>
  <c r="AA36" i="21"/>
  <c r="J15" i="21"/>
  <c r="W15" i="21" s="1"/>
  <c r="F77" i="21"/>
  <c r="G77" i="21" s="1"/>
  <c r="F23" i="21"/>
  <c r="S23" i="21" s="1"/>
  <c r="E85" i="21"/>
  <c r="F85" i="21" s="1"/>
  <c r="G85" i="21" s="1"/>
  <c r="D120" i="9"/>
  <c r="D121" i="9" s="1"/>
  <c r="D7" i="52" s="1"/>
  <c r="F34" i="67"/>
  <c r="F62" i="67" s="1"/>
  <c r="M20" i="67"/>
  <c r="F34" i="15"/>
  <c r="F62" i="15" s="1"/>
  <c r="G13" i="3"/>
  <c r="D37" i="43" s="1"/>
  <c r="D38" i="43" s="1"/>
  <c r="H38" i="43" s="1"/>
  <c r="BL17" i="3"/>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W23" i="40"/>
  <c r="AB31" i="40"/>
  <c r="S37" i="40"/>
  <c r="W28" i="40"/>
  <c r="W34" i="40"/>
  <c r="W19" i="40"/>
  <c r="W27" i="40"/>
  <c r="S36" i="40"/>
  <c r="W37" i="40"/>
  <c r="AC14" i="40"/>
  <c r="S13" i="40"/>
  <c r="AA15" i="40"/>
  <c r="U11" i="40"/>
  <c r="S31" i="40"/>
  <c r="U15" i="40"/>
  <c r="AB17" i="40"/>
  <c r="U8" i="40"/>
  <c r="S8" i="40"/>
  <c r="AC41" i="39"/>
  <c r="U42" i="39"/>
  <c r="U41" i="39"/>
  <c r="W25" i="39"/>
  <c r="AC25" i="39"/>
  <c r="U13" i="39"/>
  <c r="AB13" i="39"/>
  <c r="S13" i="39"/>
  <c r="S14" i="39"/>
  <c r="AA14" i="39"/>
  <c r="AB43" i="39"/>
  <c r="AB11" i="39"/>
  <c r="U11" i="39"/>
  <c r="AA27" i="39"/>
  <c r="S27" i="39"/>
  <c r="W17" i="39"/>
  <c r="AC17" i="39"/>
  <c r="S23" i="39"/>
  <c r="AA45" i="39"/>
  <c r="AB39" i="39"/>
  <c r="W34" i="39"/>
  <c r="S8" i="39"/>
  <c r="AC25" i="36"/>
  <c r="U32" i="36"/>
  <c r="W29" i="36"/>
  <c r="AC20" i="36"/>
  <c r="U25" i="36"/>
  <c r="AB28" i="36"/>
  <c r="W22" i="36"/>
  <c r="U25" i="35"/>
  <c r="S35" i="35"/>
  <c r="W35" i="35"/>
  <c r="AA16" i="35"/>
  <c r="W36" i="37"/>
  <c r="S27" i="37"/>
  <c r="W32" i="37"/>
  <c r="U36" i="37"/>
  <c r="S40" i="37"/>
  <c r="AB37" i="37"/>
  <c r="AC34" i="37"/>
  <c r="AB35" i="37"/>
  <c r="U19" i="37"/>
  <c r="AA29" i="37"/>
  <c r="U8" i="37"/>
  <c r="AB47" i="34"/>
  <c r="U25" i="34"/>
  <c r="AC29" i="34"/>
  <c r="W46" i="34"/>
  <c r="AC46" i="34"/>
  <c r="U30" i="34"/>
  <c r="AB30" i="34"/>
  <c r="W40" i="34"/>
  <c r="AA8" i="34"/>
  <c r="U32" i="34"/>
  <c r="U38" i="33"/>
  <c r="S33" i="33"/>
  <c r="AC14" i="33"/>
  <c r="S31" i="33"/>
  <c r="AC13" i="33"/>
  <c r="S11" i="33"/>
  <c r="U28"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AB15" i="21" s="1"/>
  <c r="J17" i="21"/>
  <c r="AC17" i="21" s="1"/>
  <c r="AC19" i="21"/>
  <c r="W39" i="21"/>
  <c r="AC14"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44" i="21"/>
  <c r="AA30" i="21"/>
  <c r="W42" i="21"/>
  <c r="AC45" i="21"/>
  <c r="F10" i="21"/>
  <c r="AA10" i="21" s="1"/>
  <c r="K145" i="21"/>
  <c r="W25" i="21"/>
  <c r="W31" i="21"/>
  <c r="S27" i="21"/>
  <c r="AA15" i="21"/>
  <c r="AC27" i="21"/>
  <c r="AC26" i="21"/>
  <c r="S28" i="21"/>
  <c r="AC34" i="21"/>
  <c r="AB36" i="21"/>
  <c r="C19" i="39"/>
  <c r="C15" i="40"/>
  <c r="C17" i="40"/>
  <c r="C21" i="40"/>
  <c r="U30" i="40"/>
  <c r="B51" i="43"/>
  <c r="B54" i="43"/>
  <c r="B58" i="43"/>
  <c r="B62" i="43"/>
  <c r="B65" i="43"/>
  <c r="B69" i="43"/>
  <c r="D23" i="15"/>
  <c r="D22" i="15"/>
  <c r="E4" i="4"/>
  <c r="B5" i="62" s="1"/>
  <c r="B73" i="72" s="1"/>
  <c r="C4" i="4"/>
  <c r="AA39" i="40"/>
  <c r="S39" i="40"/>
  <c r="S12" i="33"/>
  <c r="J32" i="39"/>
  <c r="AC32" i="39" s="1"/>
  <c r="H32" i="39"/>
  <c r="AB32" i="39" s="1"/>
  <c r="S32" i="39"/>
  <c r="U21" i="39"/>
  <c r="AC17" i="37"/>
  <c r="J19" i="37"/>
  <c r="W19" i="37" s="1"/>
  <c r="AA19" i="37"/>
  <c r="J23" i="37"/>
  <c r="AC23" i="37" s="1"/>
  <c r="J10" i="37"/>
  <c r="W10" i="37" s="1"/>
  <c r="G63" i="37"/>
  <c r="H63" i="37" s="1"/>
  <c r="I63" i="37" s="1"/>
  <c r="J63" i="37" s="1"/>
  <c r="K63" i="37" s="1"/>
  <c r="L63" i="37" s="1"/>
  <c r="M63" i="37" s="1"/>
  <c r="H11" i="37"/>
  <c r="AB11" i="37" s="1"/>
  <c r="H36" i="33"/>
  <c r="U36" i="33" s="1"/>
  <c r="J25" i="33"/>
  <c r="AC25" i="33" s="1"/>
  <c r="F23" i="33"/>
  <c r="H19" i="33"/>
  <c r="AB19" i="33" s="1"/>
  <c r="F17" i="33"/>
  <c r="S17" i="33" s="1"/>
  <c r="AA23" i="21"/>
  <c r="J23" i="21"/>
  <c r="W23" i="21" s="1"/>
  <c r="H23" i="21"/>
  <c r="S13" i="21"/>
  <c r="D6" i="52"/>
  <c r="AP7" i="1"/>
  <c r="W9" i="21"/>
  <c r="AC9" i="21"/>
  <c r="J11" i="37"/>
  <c r="AC11" i="37" s="1"/>
  <c r="U23" i="21"/>
  <c r="AB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B13" i="76"/>
  <c r="F3" i="73"/>
  <c r="D34" i="9"/>
  <c r="E7" i="76"/>
  <c r="D6" i="73"/>
  <c r="M8" i="15"/>
  <c r="F7" i="73"/>
  <c r="E12" i="76"/>
  <c r="B9" i="76"/>
  <c r="M6" i="15"/>
  <c r="F6" i="73"/>
  <c r="F40" i="15"/>
  <c r="F5" i="73"/>
  <c r="F9" i="15"/>
  <c r="B10" i="76"/>
  <c r="B12" i="76"/>
  <c r="F38" i="15"/>
  <c r="D35" i="9"/>
  <c r="F36" i="15"/>
  <c r="F4" i="73"/>
  <c r="F20" i="31"/>
  <c r="M28" i="15"/>
  <c r="E2" i="68"/>
  <c r="E11" i="76"/>
  <c r="M26" i="15"/>
  <c r="E2" i="69"/>
  <c r="E10" i="76"/>
  <c r="AO13" i="1"/>
  <c r="E9" i="76"/>
  <c r="J15" i="15"/>
  <c r="M9" i="15"/>
  <c r="E8" i="76"/>
  <c r="B7" i="76"/>
  <c r="B11" i="76"/>
  <c r="E13" i="76"/>
  <c r="S26" i="36" l="1"/>
  <c r="AA26" i="36"/>
  <c r="U13" i="35"/>
  <c r="AB13" i="35"/>
  <c r="U45" i="34"/>
  <c r="AB45" i="34"/>
  <c r="W13" i="34"/>
  <c r="AC13" i="34"/>
  <c r="S14" i="21"/>
  <c r="AA14" i="21"/>
  <c r="AC30" i="40"/>
  <c r="W30" i="40"/>
  <c r="AZ337" i="3"/>
  <c r="AZ376" i="3"/>
  <c r="AB37" i="39"/>
  <c r="U37" i="39"/>
  <c r="S12" i="39"/>
  <c r="AA12" i="39"/>
  <c r="AB32" i="40"/>
  <c r="U32" i="40"/>
  <c r="AB24" i="35"/>
  <c r="U24" i="35"/>
  <c r="U25" i="21"/>
  <c r="AB25" i="21"/>
  <c r="AB44" i="33"/>
  <c r="U44" i="33"/>
  <c r="W29" i="37"/>
  <c r="AC29" i="37"/>
  <c r="S30" i="34"/>
  <c r="AA30" i="34"/>
  <c r="W14" i="34"/>
  <c r="AC14" i="34"/>
  <c r="U29" i="33"/>
  <c r="AB29" i="33"/>
  <c r="AC13" i="21"/>
  <c r="W13" i="21"/>
  <c r="S33" i="35"/>
  <c r="AA33" i="35"/>
  <c r="AC30" i="21"/>
  <c r="W30" i="21"/>
  <c r="U42" i="21"/>
  <c r="AB42" i="21"/>
  <c r="S17" i="37"/>
  <c r="AB9" i="21"/>
  <c r="U9" i="21"/>
  <c r="AB32" i="37"/>
  <c r="U32" i="37"/>
  <c r="AA25" i="21"/>
  <c r="S31" i="37"/>
  <c r="AA31" i="37"/>
  <c r="H42" i="33"/>
  <c r="AB42" i="33" s="1"/>
  <c r="S32" i="40"/>
  <c r="AA32" i="40"/>
  <c r="AA24" i="35"/>
  <c r="S24" i="35"/>
  <c r="AB14" i="40"/>
  <c r="AB38" i="37"/>
  <c r="AA28" i="37"/>
  <c r="S28" i="37"/>
  <c r="S32" i="34"/>
  <c r="AA32" i="34"/>
  <c r="AA45" i="33"/>
  <c r="S45" i="33"/>
  <c r="U29" i="21"/>
  <c r="AB29" i="21"/>
  <c r="AA44" i="21"/>
  <c r="S44" i="21"/>
  <c r="U14" i="21"/>
  <c r="AB14" i="21"/>
  <c r="AA17" i="21"/>
  <c r="S17" i="21"/>
  <c r="U13" i="40"/>
  <c r="AB13" i="40"/>
  <c r="AA33" i="40"/>
  <c r="S33" i="40"/>
  <c r="S13" i="36"/>
  <c r="AA13" i="36"/>
  <c r="S11" i="35"/>
  <c r="AA11" i="35"/>
  <c r="U28" i="40"/>
  <c r="AB28" i="40"/>
  <c r="S35" i="37"/>
  <c r="AA35" i="37"/>
  <c r="AB12" i="35"/>
  <c r="G587" i="3"/>
  <c r="J24" i="36"/>
  <c r="F24" i="36"/>
  <c r="H34" i="36"/>
  <c r="F25" i="37"/>
  <c r="AA38" i="39"/>
  <c r="S38" i="39"/>
  <c r="G570" i="3"/>
  <c r="BL568" i="3"/>
  <c r="BL567" i="3"/>
  <c r="BL566" i="3"/>
  <c r="BA565" i="3"/>
  <c r="AZ565" i="3" s="1"/>
  <c r="BA564" i="3"/>
  <c r="BA563" i="3"/>
  <c r="G563" i="3"/>
  <c r="BL561" i="3"/>
  <c r="BL560" i="3"/>
  <c r="BL558" i="3"/>
  <c r="BA557" i="3"/>
  <c r="BL556" i="3"/>
  <c r="BA556" i="3"/>
  <c r="G556" i="3"/>
  <c r="BL555" i="3"/>
  <c r="BA555" i="3"/>
  <c r="BL554" i="3"/>
  <c r="BA554" i="3"/>
  <c r="U8" i="39"/>
  <c r="AB8" i="39"/>
  <c r="J27" i="33"/>
  <c r="W27" i="33" s="1"/>
  <c r="W17" i="21"/>
  <c r="U38" i="39"/>
  <c r="H9" i="35"/>
  <c r="U9" i="35" s="1"/>
  <c r="AA34" i="36"/>
  <c r="S30" i="40"/>
  <c r="AZ310" i="3"/>
  <c r="AZ364" i="3"/>
  <c r="AZ378" i="3"/>
  <c r="H12" i="37"/>
  <c r="AB12" i="37" s="1"/>
  <c r="AZ584" i="3"/>
  <c r="F25" i="36"/>
  <c r="AC11" i="35"/>
  <c r="W28" i="36"/>
  <c r="J26" i="33"/>
  <c r="W26" i="33" s="1"/>
  <c r="AA27" i="35"/>
  <c r="S27" i="35"/>
  <c r="H12" i="36"/>
  <c r="F35" i="39"/>
  <c r="H35" i="39"/>
  <c r="AC27" i="34"/>
  <c r="AB25" i="37"/>
  <c r="AZ203" i="3"/>
  <c r="W23" i="39"/>
  <c r="W16" i="35"/>
  <c r="H27" i="34"/>
  <c r="AB27" i="34" s="1"/>
  <c r="F33" i="36"/>
  <c r="H33" i="36"/>
  <c r="J33" i="36"/>
  <c r="AC33" i="36" s="1"/>
  <c r="S9" i="40"/>
  <c r="AA9" i="40"/>
  <c r="BL551" i="3"/>
  <c r="BA549" i="3"/>
  <c r="BL546" i="3"/>
  <c r="BA546" i="3"/>
  <c r="BL545" i="3"/>
  <c r="BL544" i="3"/>
  <c r="BA543" i="3"/>
  <c r="BL542" i="3"/>
  <c r="BL541" i="3"/>
  <c r="BL538" i="3"/>
  <c r="BA537" i="3"/>
  <c r="BL536" i="3"/>
  <c r="BL534" i="3"/>
  <c r="BA534" i="3"/>
  <c r="BA531" i="3"/>
  <c r="BL530" i="3"/>
  <c r="BA530" i="3"/>
  <c r="BA529" i="3"/>
  <c r="BL528" i="3"/>
  <c r="BA528" i="3"/>
  <c r="BL526" i="3"/>
  <c r="BA526" i="3"/>
  <c r="BA523" i="3"/>
  <c r="BA522" i="3"/>
  <c r="BA521" i="3"/>
  <c r="BL520" i="3"/>
  <c r="BA520" i="3"/>
  <c r="BA519" i="3"/>
  <c r="BA517" i="3"/>
  <c r="BA516" i="3"/>
  <c r="BA515" i="3"/>
  <c r="BL514" i="3"/>
  <c r="BL513" i="3"/>
  <c r="BA510" i="3"/>
  <c r="BA509" i="3"/>
  <c r="BL508" i="3"/>
  <c r="BA508" i="3"/>
  <c r="BL506" i="3"/>
  <c r="BA505" i="3"/>
  <c r="BA504" i="3"/>
  <c r="BA502" i="3"/>
  <c r="G502" i="3"/>
  <c r="BA501" i="3"/>
  <c r="BL498" i="3"/>
  <c r="BS5" i="3"/>
  <c r="BA497" i="3"/>
  <c r="BI5" i="3"/>
  <c r="BA496" i="3"/>
  <c r="G586" i="3"/>
  <c r="BA410" i="3"/>
  <c r="BL416" i="3"/>
  <c r="BL417" i="3"/>
  <c r="BL418" i="3"/>
  <c r="BL420" i="3"/>
  <c r="G423" i="3"/>
  <c r="BA424" i="3"/>
  <c r="G444" i="3"/>
  <c r="G448" i="3"/>
  <c r="BA448" i="3"/>
  <c r="BL451" i="3"/>
  <c r="G462" i="3"/>
  <c r="BA462" i="3"/>
  <c r="BL487" i="3"/>
  <c r="G489" i="3"/>
  <c r="BA489" i="3"/>
  <c r="BA392" i="3"/>
  <c r="AZ392" i="3" s="1"/>
  <c r="BL208" i="3"/>
  <c r="G233" i="3"/>
  <c r="G234" i="3"/>
  <c r="G237" i="3"/>
  <c r="G238" i="3"/>
  <c r="G241" i="3"/>
  <c r="BL252" i="3"/>
  <c r="G271" i="3"/>
  <c r="G279" i="3"/>
  <c r="BA148" i="3"/>
  <c r="AZ148" i="3" s="1"/>
  <c r="BL158" i="3"/>
  <c r="BL183" i="3"/>
  <c r="AZ183" i="3" s="1"/>
  <c r="BA186" i="3"/>
  <c r="BA190" i="3"/>
  <c r="BL198" i="3"/>
  <c r="G199" i="3"/>
  <c r="BL201" i="3"/>
  <c r="BL203" i="3"/>
  <c r="BA204" i="3"/>
  <c r="AZ204" i="3" s="1"/>
  <c r="BA18" i="3"/>
  <c r="BL21" i="3"/>
  <c r="G23" i="3"/>
  <c r="G27" i="3"/>
  <c r="BA43" i="3"/>
  <c r="BL86" i="3"/>
  <c r="G109" i="3"/>
  <c r="AC21" i="33"/>
  <c r="C43" i="71"/>
  <c r="BL399" i="3"/>
  <c r="G400" i="3"/>
  <c r="G409" i="3"/>
  <c r="G420" i="3"/>
  <c r="G426" i="3"/>
  <c r="BL443" i="3"/>
  <c r="G460" i="3"/>
  <c r="BA470" i="3"/>
  <c r="BL340" i="3"/>
  <c r="AZ340" i="3" s="1"/>
  <c r="BA385" i="3"/>
  <c r="BL211" i="3"/>
  <c r="G212" i="3"/>
  <c r="G223" i="3"/>
  <c r="BA225" i="3"/>
  <c r="G226" i="3"/>
  <c r="BA230" i="3"/>
  <c r="AZ230" i="3" s="1"/>
  <c r="G289" i="3"/>
  <c r="G146" i="3"/>
  <c r="G150" i="3"/>
  <c r="G154" i="3"/>
  <c r="G158" i="3"/>
  <c r="G167" i="3"/>
  <c r="BL175" i="3"/>
  <c r="AZ175" i="3" s="1"/>
  <c r="BA30" i="3"/>
  <c r="G41" i="3"/>
  <c r="G60" i="3"/>
  <c r="G63" i="3"/>
  <c r="G73" i="3"/>
  <c r="BA92" i="3"/>
  <c r="BA95" i="3"/>
  <c r="BA100" i="3"/>
  <c r="G103" i="3"/>
  <c r="BL103" i="3"/>
  <c r="BL105" i="3"/>
  <c r="G107" i="3"/>
  <c r="BL107" i="3"/>
  <c r="BL110" i="3"/>
  <c r="G111" i="3"/>
  <c r="K13" i="1"/>
  <c r="M13" i="1" s="1"/>
  <c r="O13" i="1" s="1"/>
  <c r="P13" i="1" s="1"/>
  <c r="AA18" i="35"/>
  <c r="C60" i="71"/>
  <c r="D62" i="71"/>
  <c r="X25" i="71"/>
  <c r="F36" i="71"/>
  <c r="V36" i="71" s="1"/>
  <c r="AB34" i="71"/>
  <c r="AA35" i="71"/>
  <c r="F79" i="71"/>
  <c r="F78" i="71" s="1"/>
  <c r="AA38" i="71"/>
  <c r="BR5" i="3"/>
  <c r="G495" i="3"/>
  <c r="BL494" i="3"/>
  <c r="G494" i="3"/>
  <c r="G403" i="3"/>
  <c r="G419" i="3"/>
  <c r="BA431" i="3"/>
  <c r="BL432" i="3"/>
  <c r="G437" i="3"/>
  <c r="BA437" i="3"/>
  <c r="BL447" i="3"/>
  <c r="BA456" i="3"/>
  <c r="G458" i="3"/>
  <c r="BA463" i="3"/>
  <c r="BA465" i="3"/>
  <c r="AZ465" i="3" s="1"/>
  <c r="BL488" i="3"/>
  <c r="BL308" i="3"/>
  <c r="AZ308" i="3" s="1"/>
  <c r="BA260" i="3"/>
  <c r="BL262" i="3"/>
  <c r="BA265" i="3"/>
  <c r="BA288" i="3"/>
  <c r="BA149" i="3"/>
  <c r="BA162" i="3"/>
  <c r="BL163" i="3"/>
  <c r="AZ163" i="3" s="1"/>
  <c r="BA40" i="3"/>
  <c r="BL64" i="3"/>
  <c r="BL74" i="3"/>
  <c r="C40" i="69"/>
  <c r="AZ556" i="3"/>
  <c r="AZ534" i="3"/>
  <c r="AZ528" i="3"/>
  <c r="W23" i="37"/>
  <c r="AC25" i="37"/>
  <c r="W25" i="37"/>
  <c r="BL564" i="3"/>
  <c r="AZ564" i="3" s="1"/>
  <c r="AZ554" i="3"/>
  <c r="BL552" i="3"/>
  <c r="BA547" i="3"/>
  <c r="BA544" i="3"/>
  <c r="AZ544" i="3" s="1"/>
  <c r="BA539" i="3"/>
  <c r="BA533" i="3"/>
  <c r="AZ533" i="3" s="1"/>
  <c r="BA527" i="3"/>
  <c r="BA525" i="3"/>
  <c r="AZ516" i="3"/>
  <c r="BT5" i="3"/>
  <c r="BJ5" i="3"/>
  <c r="BA498" i="3"/>
  <c r="AZ498" i="3" s="1"/>
  <c r="G496" i="3"/>
  <c r="AC5" i="3"/>
  <c r="BC5" i="3"/>
  <c r="U14" i="34"/>
  <c r="S46" i="34"/>
  <c r="U29" i="36"/>
  <c r="BM5" i="3"/>
  <c r="AB21" i="40"/>
  <c r="U21" i="40"/>
  <c r="BL511" i="3"/>
  <c r="AZ511" i="3" s="1"/>
  <c r="BL543" i="3"/>
  <c r="BL557" i="3"/>
  <c r="BA493" i="3"/>
  <c r="W27" i="37"/>
  <c r="AC27" i="37"/>
  <c r="W13" i="40"/>
  <c r="AC13" i="40"/>
  <c r="AB34" i="21"/>
  <c r="U34" i="21"/>
  <c r="BA587" i="3"/>
  <c r="BA586" i="3"/>
  <c r="B99" i="43"/>
  <c r="B99" i="99"/>
  <c r="B67" i="99"/>
  <c r="B76" i="99"/>
  <c r="B56" i="99"/>
  <c r="B67" i="96"/>
  <c r="B76" i="96"/>
  <c r="B99" i="96"/>
  <c r="B56" i="96"/>
  <c r="B87" i="43"/>
  <c r="B87" i="99"/>
  <c r="B87" i="96"/>
  <c r="AB33" i="33"/>
  <c r="U33" i="33"/>
  <c r="AA19" i="39"/>
  <c r="S19" i="39"/>
  <c r="AC30" i="37"/>
  <c r="W30" i="37"/>
  <c r="BA567" i="3"/>
  <c r="BA566" i="3"/>
  <c r="AZ566" i="3" s="1"/>
  <c r="BA561" i="3"/>
  <c r="AZ561" i="3" s="1"/>
  <c r="BA560" i="3"/>
  <c r="BA559" i="3"/>
  <c r="BA553" i="3"/>
  <c r="BA552" i="3"/>
  <c r="AZ543" i="3"/>
  <c r="BA541" i="3"/>
  <c r="AZ541" i="3" s="1"/>
  <c r="BL532" i="3"/>
  <c r="BA532" i="3"/>
  <c r="AZ532" i="3" s="1"/>
  <c r="AZ530" i="3"/>
  <c r="AZ526" i="3"/>
  <c r="BA507" i="3"/>
  <c r="BA506" i="3"/>
  <c r="AZ506" i="3" s="1"/>
  <c r="BL504" i="3"/>
  <c r="AZ504" i="3" s="1"/>
  <c r="BL500" i="3"/>
  <c r="BA500" i="3"/>
  <c r="BA499" i="3"/>
  <c r="BE5" i="3"/>
  <c r="BA495" i="3"/>
  <c r="BG5" i="3"/>
  <c r="S45" i="21"/>
  <c r="U35" i="40"/>
  <c r="AA47" i="34"/>
  <c r="S11" i="40"/>
  <c r="AA12" i="40"/>
  <c r="AZ311" i="3"/>
  <c r="AB33" i="40"/>
  <c r="S21" i="40"/>
  <c r="BL499" i="3"/>
  <c r="BL553" i="3"/>
  <c r="AC40" i="37"/>
  <c r="W40" i="37"/>
  <c r="W40" i="21"/>
  <c r="AC40" i="21"/>
  <c r="AZ525" i="3"/>
  <c r="W45" i="33"/>
  <c r="AC45" i="33"/>
  <c r="U34" i="39"/>
  <c r="AB34" i="39"/>
  <c r="BA569" i="3"/>
  <c r="BL563" i="3"/>
  <c r="AZ563" i="3" s="1"/>
  <c r="BA548" i="3"/>
  <c r="BA542" i="3"/>
  <c r="AZ542" i="3" s="1"/>
  <c r="BL524" i="3"/>
  <c r="BA524" i="3"/>
  <c r="BL518" i="3"/>
  <c r="BA518" i="3"/>
  <c r="BA514" i="3"/>
  <c r="AZ514" i="3" s="1"/>
  <c r="BA513" i="3"/>
  <c r="BL512" i="3"/>
  <c r="AZ512" i="3" s="1"/>
  <c r="BF5" i="3"/>
  <c r="BK5" i="3"/>
  <c r="I7" i="33"/>
  <c r="E7" i="33"/>
  <c r="G7" i="33"/>
  <c r="M54" i="43"/>
  <c r="N54" i="43" s="1"/>
  <c r="K54" i="43"/>
  <c r="F32" i="36"/>
  <c r="J32" i="36"/>
  <c r="W32" i="36" s="1"/>
  <c r="BA568" i="3"/>
  <c r="BL562" i="3"/>
  <c r="BA562" i="3"/>
  <c r="AZ560" i="3"/>
  <c r="BA558" i="3"/>
  <c r="AZ558" i="3" s="1"/>
  <c r="BL549" i="3"/>
  <c r="AZ549" i="3" s="1"/>
  <c r="BL540" i="3"/>
  <c r="BA540" i="3"/>
  <c r="AZ538" i="3"/>
  <c r="BA536" i="3"/>
  <c r="AZ536" i="3" s="1"/>
  <c r="BA535" i="3"/>
  <c r="BL522" i="3"/>
  <c r="AZ522" i="3" s="1"/>
  <c r="BL510" i="3"/>
  <c r="AZ508" i="3"/>
  <c r="BA503" i="3"/>
  <c r="BL502" i="3"/>
  <c r="AZ502" i="3" s="1"/>
  <c r="BO5" i="3"/>
  <c r="BN5" i="3"/>
  <c r="BH5" i="3"/>
  <c r="BA494" i="3"/>
  <c r="AZ494" i="3" s="1"/>
  <c r="BP5" i="3"/>
  <c r="BL493" i="3"/>
  <c r="AZ493" i="3" s="1"/>
  <c r="U32" i="39"/>
  <c r="AA23" i="37"/>
  <c r="S30" i="33"/>
  <c r="F48" i="9"/>
  <c r="O52" i="9" s="1"/>
  <c r="F30" i="98"/>
  <c r="F48" i="95"/>
  <c r="O52" i="95" s="1"/>
  <c r="F54" i="95"/>
  <c r="F53" i="95"/>
  <c r="D68" i="95"/>
  <c r="F52" i="95"/>
  <c r="D68" i="87"/>
  <c r="F52" i="87"/>
  <c r="F32" i="85"/>
  <c r="F60" i="85" s="1"/>
  <c r="F53" i="87"/>
  <c r="F32" i="86"/>
  <c r="F60" i="86" s="1"/>
  <c r="F54" i="87"/>
  <c r="F28" i="86"/>
  <c r="F48" i="87"/>
  <c r="O52" i="87" s="1"/>
  <c r="M18" i="86"/>
  <c r="F28" i="85"/>
  <c r="M18" i="85"/>
  <c r="BD5" i="3"/>
  <c r="AZ391" i="3"/>
  <c r="AZ380" i="3"/>
  <c r="AC31" i="33"/>
  <c r="BL517" i="3"/>
  <c r="BL521" i="3"/>
  <c r="AZ521" i="3" s="1"/>
  <c r="BL496" i="3"/>
  <c r="AZ496" i="3" s="1"/>
  <c r="AA11" i="36"/>
  <c r="S11" i="36"/>
  <c r="U37" i="40"/>
  <c r="AB37" i="40"/>
  <c r="J12" i="33"/>
  <c r="H12" i="33"/>
  <c r="U12" i="33" s="1"/>
  <c r="F29" i="34"/>
  <c r="H29" i="34"/>
  <c r="J45" i="34"/>
  <c r="F45" i="34"/>
  <c r="J13" i="35"/>
  <c r="F13" i="35"/>
  <c r="F25" i="35"/>
  <c r="J25" i="35"/>
  <c r="BL495" i="3"/>
  <c r="BL503" i="3"/>
  <c r="BL529" i="3"/>
  <c r="BL535" i="3"/>
  <c r="BL559" i="3"/>
  <c r="AC28" i="21"/>
  <c r="E117" i="33"/>
  <c r="F117" i="33" s="1"/>
  <c r="G117" i="33" s="1"/>
  <c r="J39" i="33"/>
  <c r="AC39" i="33" s="1"/>
  <c r="H39" i="33"/>
  <c r="U39" i="33" s="1"/>
  <c r="AA31" i="35"/>
  <c r="S31" i="35"/>
  <c r="G582" i="3"/>
  <c r="AZ327" i="3"/>
  <c r="BL497" i="3"/>
  <c r="AZ497" i="3" s="1"/>
  <c r="BL505" i="3"/>
  <c r="AZ505" i="3" s="1"/>
  <c r="BL515" i="3"/>
  <c r="AZ515" i="3" s="1"/>
  <c r="BL523" i="3"/>
  <c r="AZ523" i="3" s="1"/>
  <c r="BL531" i="3"/>
  <c r="BL537" i="3"/>
  <c r="BL547" i="3"/>
  <c r="AZ547" i="3" s="1"/>
  <c r="BL569" i="3"/>
  <c r="AZ569" i="3" s="1"/>
  <c r="F80" i="34"/>
  <c r="G80" i="34" s="1"/>
  <c r="H17" i="34"/>
  <c r="U17" i="34" s="1"/>
  <c r="F17" i="34"/>
  <c r="J36" i="35"/>
  <c r="AC36" i="35" s="1"/>
  <c r="H36" i="35"/>
  <c r="W27" i="35"/>
  <c r="AC27" i="35"/>
  <c r="J9" i="36"/>
  <c r="AZ326" i="3"/>
  <c r="AZ347" i="3"/>
  <c r="AZ344" i="3"/>
  <c r="AZ320" i="3"/>
  <c r="AZ304" i="3"/>
  <c r="AZ341" i="3"/>
  <c r="AZ325" i="3"/>
  <c r="AA11" i="39"/>
  <c r="U11" i="33"/>
  <c r="W47" i="34"/>
  <c r="BL501" i="3"/>
  <c r="AZ501" i="3" s="1"/>
  <c r="BL509" i="3"/>
  <c r="AZ509" i="3" s="1"/>
  <c r="BL519" i="3"/>
  <c r="BL527" i="3"/>
  <c r="G557" i="3"/>
  <c r="AZ574" i="3"/>
  <c r="AZ582" i="3"/>
  <c r="AA14" i="33"/>
  <c r="AC28" i="35"/>
  <c r="W28" i="35"/>
  <c r="H44" i="39"/>
  <c r="F44" i="39"/>
  <c r="J44" i="39"/>
  <c r="AA34" i="39"/>
  <c r="S34" i="39"/>
  <c r="H39" i="37"/>
  <c r="F39" i="37"/>
  <c r="S39" i="37" s="1"/>
  <c r="B72" i="43"/>
  <c r="B72" i="96"/>
  <c r="B72" i="99"/>
  <c r="B101" i="43"/>
  <c r="B101" i="99"/>
  <c r="B79" i="99"/>
  <c r="B69" i="99"/>
  <c r="B79" i="96"/>
  <c r="B58" i="96"/>
  <c r="B101" i="96"/>
  <c r="B69" i="96"/>
  <c r="B58" i="99"/>
  <c r="B84" i="43"/>
  <c r="B84" i="96"/>
  <c r="B84" i="99"/>
  <c r="F15" i="33"/>
  <c r="AA15" i="33" s="1"/>
  <c r="H38" i="40"/>
  <c r="BA15" i="3"/>
  <c r="BA13" i="3"/>
  <c r="BL16" i="3"/>
  <c r="D78" i="9"/>
  <c r="D93" i="95"/>
  <c r="D78" i="95"/>
  <c r="D93" i="87"/>
  <c r="D78" i="87"/>
  <c r="A15" i="62"/>
  <c r="B61" i="72" s="1"/>
  <c r="BL400" i="3"/>
  <c r="G408" i="3"/>
  <c r="BL412" i="3"/>
  <c r="G413" i="3"/>
  <c r="BA419" i="3"/>
  <c r="BA420" i="3"/>
  <c r="BL427" i="3"/>
  <c r="G428" i="3"/>
  <c r="BL428" i="3"/>
  <c r="BL429" i="3"/>
  <c r="BA439" i="3"/>
  <c r="BA440" i="3"/>
  <c r="AZ440" i="3" s="1"/>
  <c r="G442" i="3"/>
  <c r="BA444" i="3"/>
  <c r="BA449" i="3"/>
  <c r="G452" i="3"/>
  <c r="G453" i="3"/>
  <c r="BL453" i="3"/>
  <c r="BL454" i="3"/>
  <c r="BL458" i="3"/>
  <c r="BL459" i="3"/>
  <c r="G461" i="3"/>
  <c r="BA469" i="3"/>
  <c r="BL472" i="3"/>
  <c r="G474" i="3"/>
  <c r="BL475" i="3"/>
  <c r="G478" i="3"/>
  <c r="G488" i="3"/>
  <c r="BL316" i="3"/>
  <c r="G358" i="3"/>
  <c r="G362" i="3"/>
  <c r="BL365" i="3"/>
  <c r="AZ365" i="3" s="1"/>
  <c r="G366" i="3"/>
  <c r="BL381" i="3"/>
  <c r="AZ381" i="3" s="1"/>
  <c r="G382" i="3"/>
  <c r="BL386" i="3"/>
  <c r="G387" i="3"/>
  <c r="BA388" i="3"/>
  <c r="AZ388" i="3" s="1"/>
  <c r="BL395" i="3"/>
  <c r="G396" i="3"/>
  <c r="G210" i="3"/>
  <c r="BL216" i="3"/>
  <c r="BA217" i="3"/>
  <c r="G222" i="3"/>
  <c r="BA223" i="3"/>
  <c r="BL227" i="3"/>
  <c r="BA228" i="3"/>
  <c r="BL234" i="3"/>
  <c r="BA238" i="3"/>
  <c r="BL248" i="3"/>
  <c r="AZ248" i="3" s="1"/>
  <c r="BL259" i="3"/>
  <c r="G260" i="3"/>
  <c r="BL261" i="3"/>
  <c r="G264" i="3"/>
  <c r="BA267" i="3"/>
  <c r="AZ267" i="3" s="1"/>
  <c r="BA270" i="3"/>
  <c r="G273" i="3"/>
  <c r="BA274" i="3"/>
  <c r="M20" i="15"/>
  <c r="M20" i="85"/>
  <c r="F34" i="86"/>
  <c r="F62" i="86" s="1"/>
  <c r="F34" i="85"/>
  <c r="F62" i="85" s="1"/>
  <c r="M20" i="86"/>
  <c r="F34" i="68"/>
  <c r="F34" i="98"/>
  <c r="AZ443" i="3"/>
  <c r="BA396" i="3"/>
  <c r="D46" i="71"/>
  <c r="C47" i="71"/>
  <c r="D47" i="71" s="1"/>
  <c r="B61" i="43"/>
  <c r="B61" i="99"/>
  <c r="B61" i="96"/>
  <c r="B97" i="43"/>
  <c r="B97" i="96"/>
  <c r="B54" i="96"/>
  <c r="B65" i="96"/>
  <c r="B97" i="99"/>
  <c r="B65" i="99"/>
  <c r="B54" i="99"/>
  <c r="B75" i="99"/>
  <c r="B75" i="96"/>
  <c r="B90" i="43"/>
  <c r="B90" i="99"/>
  <c r="B90" i="96"/>
  <c r="G574" i="3"/>
  <c r="BA16" i="3"/>
  <c r="AZ16" i="3" s="1"/>
  <c r="BA14" i="3"/>
  <c r="BA402" i="3"/>
  <c r="AZ402" i="3" s="1"/>
  <c r="G407" i="3"/>
  <c r="BA407" i="3"/>
  <c r="BL411" i="3"/>
  <c r="BA413" i="3"/>
  <c r="BL419" i="3"/>
  <c r="BL424" i="3"/>
  <c r="G427" i="3"/>
  <c r="BL430" i="3"/>
  <c r="BL435" i="3"/>
  <c r="BL436" i="3"/>
  <c r="G441" i="3"/>
  <c r="BA451" i="3"/>
  <c r="BL455" i="3"/>
  <c r="BA467" i="3"/>
  <c r="BA468" i="3"/>
  <c r="BL471" i="3"/>
  <c r="BA477" i="3"/>
  <c r="BA481" i="3"/>
  <c r="BA487" i="3"/>
  <c r="AZ487" i="3" s="1"/>
  <c r="BL490" i="3"/>
  <c r="G323" i="3"/>
  <c r="BL350" i="3"/>
  <c r="BL359" i="3"/>
  <c r="AZ359" i="3" s="1"/>
  <c r="BL367" i="3"/>
  <c r="BL383" i="3"/>
  <c r="AZ383" i="3" s="1"/>
  <c r="BA209" i="3"/>
  <c r="BL217" i="3"/>
  <c r="G221" i="3"/>
  <c r="BA221" i="3"/>
  <c r="G225" i="3"/>
  <c r="BL228" i="3"/>
  <c r="BA255" i="3"/>
  <c r="G263" i="3"/>
  <c r="BA263" i="3"/>
  <c r="U34" i="35"/>
  <c r="B94" i="43"/>
  <c r="B94" i="99"/>
  <c r="B51" i="99"/>
  <c r="B51" i="96"/>
  <c r="B73" i="96"/>
  <c r="B62" i="99"/>
  <c r="B62" i="96"/>
  <c r="B73" i="99"/>
  <c r="B94" i="96"/>
  <c r="B83" i="43"/>
  <c r="B83" i="96"/>
  <c r="B83" i="99"/>
  <c r="H9" i="33"/>
  <c r="G41" i="69"/>
  <c r="G41" i="98"/>
  <c r="G22" i="98"/>
  <c r="F11" i="1"/>
  <c r="G11" i="1" s="1"/>
  <c r="G44" i="96"/>
  <c r="C44" i="96" s="1"/>
  <c r="G398" i="3"/>
  <c r="G399" i="3"/>
  <c r="BA400" i="3"/>
  <c r="AZ400" i="3" s="1"/>
  <c r="BA406" i="3"/>
  <c r="AZ406" i="3" s="1"/>
  <c r="BL409" i="3"/>
  <c r="BL413" i="3"/>
  <c r="G415" i="3"/>
  <c r="G416" i="3"/>
  <c r="BL423" i="3"/>
  <c r="G424" i="3"/>
  <c r="G430" i="3"/>
  <c r="BL433" i="3"/>
  <c r="G434" i="3"/>
  <c r="G438" i="3"/>
  <c r="BA442" i="3"/>
  <c r="BA445" i="3"/>
  <c r="BA447" i="3"/>
  <c r="AZ447" i="3" s="1"/>
  <c r="G449" i="3"/>
  <c r="G455" i="3"/>
  <c r="BL462" i="3"/>
  <c r="G466" i="3"/>
  <c r="BA466" i="3"/>
  <c r="BL469" i="3"/>
  <c r="BA476" i="3"/>
  <c r="BL479" i="3"/>
  <c r="BA480" i="3"/>
  <c r="BA485" i="3"/>
  <c r="BA488" i="3"/>
  <c r="AZ488" i="3" s="1"/>
  <c r="G490" i="3"/>
  <c r="BA491" i="3"/>
  <c r="BA319" i="3"/>
  <c r="AZ319" i="3" s="1"/>
  <c r="BL324" i="3"/>
  <c r="AZ324" i="3" s="1"/>
  <c r="BL328" i="3"/>
  <c r="AZ328" i="3" s="1"/>
  <c r="G329" i="3"/>
  <c r="BA349" i="3"/>
  <c r="AZ349" i="3" s="1"/>
  <c r="BA368" i="3"/>
  <c r="BL368" i="3"/>
  <c r="BA374" i="3"/>
  <c r="AZ374" i="3" s="1"/>
  <c r="G397" i="3"/>
  <c r="G217" i="3"/>
  <c r="BA220" i="3"/>
  <c r="BL222" i="3"/>
  <c r="G228" i="3"/>
  <c r="BA231" i="3"/>
  <c r="BA235" i="3"/>
  <c r="BL237" i="3"/>
  <c r="BA240" i="3"/>
  <c r="G243" i="3"/>
  <c r="BA243" i="3"/>
  <c r="G246" i="3"/>
  <c r="BL250" i="3"/>
  <c r="G252" i="3"/>
  <c r="BL269" i="3"/>
  <c r="BA271" i="3"/>
  <c r="BL271" i="3"/>
  <c r="BA275" i="3"/>
  <c r="BA279" i="3"/>
  <c r="BA291" i="3"/>
  <c r="BL298" i="3"/>
  <c r="BA301" i="3"/>
  <c r="C64" i="71"/>
  <c r="D63" i="71"/>
  <c r="BL274" i="3"/>
  <c r="G277" i="3"/>
  <c r="BL280" i="3"/>
  <c r="BA283" i="3"/>
  <c r="BA286" i="3"/>
  <c r="AZ286" i="3" s="1"/>
  <c r="BL289" i="3"/>
  <c r="G290" i="3"/>
  <c r="G291" i="3"/>
  <c r="G300" i="3"/>
  <c r="G126" i="3"/>
  <c r="G136" i="3"/>
  <c r="BA137" i="3"/>
  <c r="G140" i="3"/>
  <c r="BL143" i="3"/>
  <c r="AZ143" i="3" s="1"/>
  <c r="BL154" i="3"/>
  <c r="G156" i="3"/>
  <c r="G163" i="3"/>
  <c r="BL173" i="3"/>
  <c r="BL177" i="3"/>
  <c r="G179" i="3"/>
  <c r="G183" i="3"/>
  <c r="BA189" i="3"/>
  <c r="G192" i="3"/>
  <c r="G206" i="3"/>
  <c r="BA207" i="3"/>
  <c r="G20" i="3"/>
  <c r="BL24" i="3"/>
  <c r="G29" i="3"/>
  <c r="BL29" i="3"/>
  <c r="BL34" i="3"/>
  <c r="BA37" i="3"/>
  <c r="G39" i="3"/>
  <c r="BL39" i="3"/>
  <c r="BL44" i="3"/>
  <c r="G51" i="3"/>
  <c r="G52" i="3"/>
  <c r="BA52" i="3"/>
  <c r="BA56" i="3"/>
  <c r="BA57" i="3"/>
  <c r="BL58" i="3"/>
  <c r="BA60" i="3"/>
  <c r="G65" i="3"/>
  <c r="BA67" i="3"/>
  <c r="BA71" i="3"/>
  <c r="G74" i="3"/>
  <c r="G75" i="3"/>
  <c r="BA79" i="3"/>
  <c r="AZ79" i="3" s="1"/>
  <c r="G82" i="3"/>
  <c r="G86" i="3"/>
  <c r="B100" i="43"/>
  <c r="B68" i="99"/>
  <c r="B68" i="96"/>
  <c r="B77" i="96"/>
  <c r="B57" i="96"/>
  <c r="B100" i="96"/>
  <c r="B100" i="99"/>
  <c r="B77" i="99"/>
  <c r="B57" i="99"/>
  <c r="P27" i="6"/>
  <c r="C74" i="71"/>
  <c r="D74" i="71" s="1"/>
  <c r="AA3" i="71"/>
  <c r="E79" i="71"/>
  <c r="E78" i="71" s="1"/>
  <c r="O68" i="71"/>
  <c r="E67" i="71"/>
  <c r="C31" i="71"/>
  <c r="AA37" i="71"/>
  <c r="M56" i="9"/>
  <c r="J56" i="95"/>
  <c r="J57" i="95" s="1"/>
  <c r="J59" i="95" s="1"/>
  <c r="J61" i="95" s="1"/>
  <c r="N56" i="95"/>
  <c r="M56" i="95"/>
  <c r="K56" i="95"/>
  <c r="M56" i="87"/>
  <c r="K56" i="87"/>
  <c r="N56" i="87"/>
  <c r="J56" i="87"/>
  <c r="J57" i="87" s="1"/>
  <c r="J59" i="87" s="1"/>
  <c r="J61" i="87" s="1"/>
  <c r="BL135" i="3"/>
  <c r="AZ135" i="3" s="1"/>
  <c r="BA157" i="3"/>
  <c r="BL166" i="3"/>
  <c r="BL186" i="3"/>
  <c r="AZ186" i="3" s="1"/>
  <c r="BA188" i="3"/>
  <c r="AZ188" i="3" s="1"/>
  <c r="BL195" i="3"/>
  <c r="AZ195" i="3" s="1"/>
  <c r="BA197" i="3"/>
  <c r="BL205" i="3"/>
  <c r="BL23" i="3"/>
  <c r="BA98" i="3"/>
  <c r="BL100" i="3"/>
  <c r="K1" i="12"/>
  <c r="G1" i="98"/>
  <c r="G1" i="85"/>
  <c r="G1" i="86"/>
  <c r="K20" i="1"/>
  <c r="G44" i="99"/>
  <c r="C44" i="99" s="1"/>
  <c r="C10" i="34"/>
  <c r="C25" i="40"/>
  <c r="B88" i="96"/>
  <c r="B88" i="99"/>
  <c r="D76" i="71"/>
  <c r="U68" i="71"/>
  <c r="C38" i="71"/>
  <c r="D38" i="71" s="1"/>
  <c r="Y26" i="71"/>
  <c r="Z26" i="71" s="1"/>
  <c r="Y35" i="71"/>
  <c r="Z35" i="71" s="1"/>
  <c r="X35" i="71"/>
  <c r="AB37" i="71"/>
  <c r="B43" i="71"/>
  <c r="B44" i="71" s="1"/>
  <c r="S44" i="71" s="1"/>
  <c r="B63" i="71"/>
  <c r="B64" i="71" s="1"/>
  <c r="S64" i="71" s="1"/>
  <c r="BA233" i="3"/>
  <c r="G244" i="3"/>
  <c r="BA250" i="3"/>
  <c r="BL254" i="3"/>
  <c r="G256" i="3"/>
  <c r="BA257" i="3"/>
  <c r="BA259" i="3"/>
  <c r="AZ259" i="3" s="1"/>
  <c r="G261" i="3"/>
  <c r="BA269" i="3"/>
  <c r="G276" i="3"/>
  <c r="BA276" i="3"/>
  <c r="BL278" i="3"/>
  <c r="BL286" i="3"/>
  <c r="G294" i="3"/>
  <c r="G299" i="3"/>
  <c r="G302" i="3"/>
  <c r="G116" i="3"/>
  <c r="BA125" i="3"/>
  <c r="G134" i="3"/>
  <c r="G135" i="3"/>
  <c r="BL146" i="3"/>
  <c r="G147" i="3"/>
  <c r="BL157" i="3"/>
  <c r="BL159" i="3"/>
  <c r="AZ159" i="3" s="1"/>
  <c r="G160" i="3"/>
  <c r="G175" i="3"/>
  <c r="G176" i="3"/>
  <c r="G190" i="3"/>
  <c r="G195" i="3"/>
  <c r="BA201" i="3"/>
  <c r="AZ201" i="3" s="1"/>
  <c r="G205" i="3"/>
  <c r="G18" i="3"/>
  <c r="G32" i="3"/>
  <c r="G33" i="3"/>
  <c r="G34" i="3"/>
  <c r="G42" i="3"/>
  <c r="G43" i="3"/>
  <c r="G44" i="3"/>
  <c r="BL67" i="3"/>
  <c r="G69" i="3"/>
  <c r="G70" i="3"/>
  <c r="G78" i="3"/>
  <c r="BA88" i="3"/>
  <c r="BL88" i="3"/>
  <c r="G90" i="3"/>
  <c r="BL90" i="3"/>
  <c r="BL94" i="3"/>
  <c r="AZ94" i="3" s="1"/>
  <c r="BA97" i="3"/>
  <c r="BL99" i="3"/>
  <c r="G101" i="3"/>
  <c r="BA101" i="3"/>
  <c r="C7" i="36"/>
  <c r="C46" i="36" s="1"/>
  <c r="D46" i="36" s="1"/>
  <c r="E46" i="36" s="1"/>
  <c r="F46" i="36" s="1"/>
  <c r="G46" i="36" s="1"/>
  <c r="H46" i="36" s="1"/>
  <c r="I46" i="36" s="1"/>
  <c r="G23" i="99"/>
  <c r="G23" i="96"/>
  <c r="M47" i="95"/>
  <c r="M47" i="87"/>
  <c r="J51" i="86"/>
  <c r="J51" i="85"/>
  <c r="W18" i="36"/>
  <c r="X34" i="71"/>
  <c r="AA34" i="71"/>
  <c r="X36" i="71"/>
  <c r="BL35" i="3"/>
  <c r="BL52" i="3"/>
  <c r="AZ52" i="3" s="1"/>
  <c r="BA53" i="3"/>
  <c r="BA54" i="3"/>
  <c r="BA63" i="3"/>
  <c r="BL65" i="3"/>
  <c r="BL66" i="3"/>
  <c r="BA70" i="3"/>
  <c r="G76" i="3"/>
  <c r="BA78" i="3"/>
  <c r="BL82" i="3"/>
  <c r="G83" i="3"/>
  <c r="BA84" i="3"/>
  <c r="BL93" i="3"/>
  <c r="BL96" i="3"/>
  <c r="BA109" i="3"/>
  <c r="G112" i="3"/>
  <c r="BL112" i="3"/>
  <c r="C18" i="9"/>
  <c r="D18" i="9" s="1"/>
  <c r="K8" i="1"/>
  <c r="M8" i="1" s="1"/>
  <c r="M18" i="95"/>
  <c r="B118" i="95" s="1"/>
  <c r="AA13" i="33"/>
  <c r="J42" i="33"/>
  <c r="U42" i="33"/>
  <c r="F42" i="33"/>
  <c r="F36" i="33"/>
  <c r="H111" i="33"/>
  <c r="I111" i="33" s="1"/>
  <c r="J111" i="33" s="1"/>
  <c r="K111" i="33" s="1"/>
  <c r="L111" i="33" s="1"/>
  <c r="M111" i="33" s="1"/>
  <c r="J32" i="33"/>
  <c r="AC32" i="33" s="1"/>
  <c r="F32" i="33"/>
  <c r="AA32" i="33" s="1"/>
  <c r="H32" i="33"/>
  <c r="AB32" i="33" s="1"/>
  <c r="W25" i="33"/>
  <c r="F79" i="33"/>
  <c r="G79" i="33" s="1"/>
  <c r="H17" i="33"/>
  <c r="U17" i="33" s="1"/>
  <c r="AC11" i="33"/>
  <c r="U46" i="33"/>
  <c r="AB46" i="33"/>
  <c r="W46" i="33"/>
  <c r="F46" i="33"/>
  <c r="U40" i="33"/>
  <c r="AB30" i="33"/>
  <c r="U30" i="33"/>
  <c r="J30" i="33"/>
  <c r="W33" i="33"/>
  <c r="W40" i="33"/>
  <c r="U35" i="33"/>
  <c r="AB34" i="33"/>
  <c r="S43" i="33"/>
  <c r="S38" i="33"/>
  <c r="S39" i="33"/>
  <c r="W41" i="33"/>
  <c r="W39" i="33"/>
  <c r="AB39" i="33"/>
  <c r="W35" i="33"/>
  <c r="S32" i="33"/>
  <c r="AB26" i="33"/>
  <c r="U23" i="33"/>
  <c r="AB21" i="33"/>
  <c r="U19" i="33"/>
  <c r="AA19" i="33"/>
  <c r="W19" i="33"/>
  <c r="W17" i="33"/>
  <c r="AA17" i="33"/>
  <c r="U15" i="33"/>
  <c r="S15" i="33"/>
  <c r="W9" i="33"/>
  <c r="W8" i="33"/>
  <c r="AB41" i="33"/>
  <c r="S41" i="33"/>
  <c r="U37" i="33"/>
  <c r="AA35" i="33"/>
  <c r="AC28" i="33"/>
  <c r="AB28" i="33"/>
  <c r="S28" i="33"/>
  <c r="AC27" i="33"/>
  <c r="AB27" i="33"/>
  <c r="S27" i="33"/>
  <c r="AC26" i="33"/>
  <c r="S26" i="33"/>
  <c r="AA25" i="33"/>
  <c r="AB25" i="33"/>
  <c r="C51" i="10"/>
  <c r="A13" i="51" s="1"/>
  <c r="B11" i="72" s="1"/>
  <c r="A118" i="95"/>
  <c r="A2" i="95"/>
  <c r="A118" i="87"/>
  <c r="A2" i="87"/>
  <c r="S22" i="1"/>
  <c r="U3" i="43" s="1"/>
  <c r="S26" i="1"/>
  <c r="S25" i="1"/>
  <c r="S24" i="1"/>
  <c r="U5" i="43" s="1"/>
  <c r="S23" i="1"/>
  <c r="U4" i="43" s="1"/>
  <c r="V21" i="1"/>
  <c r="U21" i="1"/>
  <c r="H37" i="43"/>
  <c r="D1" i="43"/>
  <c r="N23" i="1"/>
  <c r="N22" i="1" s="1"/>
  <c r="L22" i="1"/>
  <c r="M7" i="1"/>
  <c r="U34" i="34"/>
  <c r="F38" i="34"/>
  <c r="S38" i="34" s="1"/>
  <c r="J39" i="34"/>
  <c r="W39" i="34" s="1"/>
  <c r="H39" i="34"/>
  <c r="AB39" i="34" s="1"/>
  <c r="F37" i="34"/>
  <c r="AB36" i="34"/>
  <c r="AA25" i="34"/>
  <c r="G70" i="34"/>
  <c r="H70" i="34" s="1"/>
  <c r="I70" i="34" s="1"/>
  <c r="J70" i="34" s="1"/>
  <c r="K70" i="34" s="1"/>
  <c r="L70" i="34" s="1"/>
  <c r="M70" i="34" s="1"/>
  <c r="H11" i="34"/>
  <c r="U11" i="34" s="1"/>
  <c r="W23" i="34"/>
  <c r="U21" i="34"/>
  <c r="U19" i="34"/>
  <c r="AC17" i="34"/>
  <c r="AB17" i="34"/>
  <c r="U15" i="34"/>
  <c r="W35" i="34"/>
  <c r="AC44" i="34"/>
  <c r="AB40" i="34"/>
  <c r="AC36" i="34"/>
  <c r="AA36" i="34"/>
  <c r="W28" i="34"/>
  <c r="AC28" i="34"/>
  <c r="AC32" i="34"/>
  <c r="AC31" i="34"/>
  <c r="S28" i="34"/>
  <c r="U28" i="34"/>
  <c r="F31" i="34"/>
  <c r="AB23" i="34"/>
  <c r="S23" i="34"/>
  <c r="S21" i="34"/>
  <c r="S19" i="34"/>
  <c r="W19" i="34"/>
  <c r="AC15" i="34"/>
  <c r="AC43" i="34"/>
  <c r="U43" i="34"/>
  <c r="S43" i="34"/>
  <c r="AB41" i="34"/>
  <c r="W41" i="34"/>
  <c r="AA40" i="34"/>
  <c r="AC38" i="34"/>
  <c r="U38" i="34"/>
  <c r="AB35" i="34"/>
  <c r="S35" i="34"/>
  <c r="W33" i="34"/>
  <c r="AB33" i="34"/>
  <c r="U27" i="34"/>
  <c r="F6" i="1"/>
  <c r="I24" i="43" s="1"/>
  <c r="C24" i="43" s="1"/>
  <c r="F8" i="1"/>
  <c r="G8" i="1" s="1"/>
  <c r="J51" i="15"/>
  <c r="F7" i="1"/>
  <c r="G44" i="43"/>
  <c r="F28" i="67"/>
  <c r="F32" i="67"/>
  <c r="F60" i="67" s="1"/>
  <c r="M18" i="67"/>
  <c r="M18" i="15"/>
  <c r="F30" i="11"/>
  <c r="C48" i="11" s="1"/>
  <c r="C40" i="68"/>
  <c r="K6" i="1"/>
  <c r="M6" i="1" s="1"/>
  <c r="G1" i="67"/>
  <c r="G1" i="69"/>
  <c r="AZ17" i="3"/>
  <c r="BB5" i="3"/>
  <c r="H5" i="3"/>
  <c r="F29" i="6"/>
  <c r="AZ14" i="3"/>
  <c r="B88" i="43"/>
  <c r="C23" i="40"/>
  <c r="C29" i="39"/>
  <c r="B67" i="43"/>
  <c r="C15" i="39"/>
  <c r="B75" i="43"/>
  <c r="B68" i="43"/>
  <c r="B56" i="43"/>
  <c r="B57" i="43"/>
  <c r="M47" i="9"/>
  <c r="C7" i="35"/>
  <c r="C48" i="35" s="1"/>
  <c r="D48" i="35" s="1"/>
  <c r="E48" i="35" s="1"/>
  <c r="C7" i="37"/>
  <c r="C52" i="37" s="1"/>
  <c r="D52" i="37" s="1"/>
  <c r="C7" i="40"/>
  <c r="C63" i="40" s="1"/>
  <c r="D63" i="40" s="1"/>
  <c r="C7" i="39"/>
  <c r="C67" i="39" s="1"/>
  <c r="C42" i="1"/>
  <c r="C77" i="9" s="1"/>
  <c r="C74" i="9" s="1"/>
  <c r="C7" i="21"/>
  <c r="C58" i="21" s="1"/>
  <c r="D58" i="21" s="1"/>
  <c r="U15" i="21"/>
  <c r="AA32" i="37"/>
  <c r="U20" i="35"/>
  <c r="W37" i="33"/>
  <c r="AZ387" i="3"/>
  <c r="AZ362" i="3"/>
  <c r="AZ338" i="3"/>
  <c r="AZ390" i="3"/>
  <c r="AZ371" i="3"/>
  <c r="AZ351" i="3"/>
  <c r="AZ336" i="3"/>
  <c r="AZ305" i="3"/>
  <c r="AZ360" i="3"/>
  <c r="AZ527" i="3"/>
  <c r="AZ571" i="3"/>
  <c r="AZ579" i="3"/>
  <c r="AZ510" i="3"/>
  <c r="AZ552" i="3"/>
  <c r="AC23" i="21"/>
  <c r="AZ520" i="3"/>
  <c r="AZ306" i="3"/>
  <c r="AB36" i="33"/>
  <c r="W32" i="39"/>
  <c r="U32" i="21"/>
  <c r="S32" i="21"/>
  <c r="AB45" i="21"/>
  <c r="S21" i="39"/>
  <c r="F54" i="9"/>
  <c r="F32" i="15"/>
  <c r="F60" i="15" s="1"/>
  <c r="F52" i="9"/>
  <c r="F30" i="68"/>
  <c r="F48" i="68" s="1"/>
  <c r="S20" i="36"/>
  <c r="AA39" i="39"/>
  <c r="U12" i="39"/>
  <c r="AA27" i="40"/>
  <c r="AB27" i="40"/>
  <c r="AA34" i="33"/>
  <c r="AZ357" i="3"/>
  <c r="AZ322" i="3"/>
  <c r="AZ313" i="3"/>
  <c r="AZ394" i="3"/>
  <c r="AZ535" i="3"/>
  <c r="AZ557" i="3"/>
  <c r="AZ503" i="3"/>
  <c r="AZ513" i="3"/>
  <c r="AZ575" i="3"/>
  <c r="S37" i="21"/>
  <c r="D68" i="9"/>
  <c r="F30" i="69"/>
  <c r="F48" i="69" s="1"/>
  <c r="F31" i="12"/>
  <c r="AC34" i="33"/>
  <c r="AZ334" i="3"/>
  <c r="AZ540" i="3"/>
  <c r="AA14" i="37"/>
  <c r="S14" i="37"/>
  <c r="AC40" i="39"/>
  <c r="W40" i="39"/>
  <c r="AA34" i="40"/>
  <c r="S34" i="40"/>
  <c r="G566" i="3"/>
  <c r="AZ539" i="3"/>
  <c r="AZ529" i="3"/>
  <c r="AZ537" i="3"/>
  <c r="AZ518" i="3"/>
  <c r="AZ546" i="3"/>
  <c r="AB45" i="33"/>
  <c r="AA44" i="34"/>
  <c r="BL585" i="3"/>
  <c r="AZ585" i="3" s="1"/>
  <c r="F9" i="34"/>
  <c r="AA9" i="34" s="1"/>
  <c r="J9" i="34"/>
  <c r="H9" i="34"/>
  <c r="J12" i="34"/>
  <c r="H12" i="34"/>
  <c r="F12" i="34"/>
  <c r="S12" i="34" s="1"/>
  <c r="J39" i="40"/>
  <c r="H39" i="40"/>
  <c r="AZ451" i="3"/>
  <c r="AC8" i="34"/>
  <c r="W8" i="34"/>
  <c r="J37" i="39"/>
  <c r="F37" i="39"/>
  <c r="BA551" i="3"/>
  <c r="AZ551" i="3" s="1"/>
  <c r="BA550" i="3"/>
  <c r="BL548" i="3"/>
  <c r="AZ548" i="3" s="1"/>
  <c r="AZ519" i="3"/>
  <c r="AZ531" i="3"/>
  <c r="AZ573" i="3"/>
  <c r="AZ583" i="3"/>
  <c r="AZ568" i="3"/>
  <c r="AZ576" i="3"/>
  <c r="AA14" i="34"/>
  <c r="H23" i="36"/>
  <c r="J23" i="36"/>
  <c r="H31" i="39"/>
  <c r="J31" i="39"/>
  <c r="AA38" i="40"/>
  <c r="AZ469" i="3"/>
  <c r="BA401" i="3"/>
  <c r="BA403" i="3"/>
  <c r="BA404" i="3"/>
  <c r="BA405" i="3"/>
  <c r="BL410" i="3"/>
  <c r="G412" i="3"/>
  <c r="G418" i="3"/>
  <c r="BA422" i="3"/>
  <c r="G429" i="3"/>
  <c r="BL431" i="3"/>
  <c r="AZ431" i="3" s="1"/>
  <c r="G433" i="3"/>
  <c r="BL434" i="3"/>
  <c r="G436" i="3"/>
  <c r="BL438" i="3"/>
  <c r="BL439" i="3"/>
  <c r="AZ439" i="3" s="1"/>
  <c r="BA441" i="3"/>
  <c r="AZ441" i="3" s="1"/>
  <c r="BL445" i="3"/>
  <c r="BL446" i="3"/>
  <c r="BL449" i="3"/>
  <c r="AZ449" i="3" s="1"/>
  <c r="BL450" i="3"/>
  <c r="BL452" i="3"/>
  <c r="G454" i="3"/>
  <c r="BL456" i="3"/>
  <c r="AZ456" i="3" s="1"/>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1" i="3"/>
  <c r="AZ331" i="3" s="1"/>
  <c r="BA335" i="3"/>
  <c r="AZ335" i="3" s="1"/>
  <c r="BA339" i="3"/>
  <c r="AZ339" i="3" s="1"/>
  <c r="G343" i="3"/>
  <c r="G347" i="3"/>
  <c r="BA348" i="3"/>
  <c r="BA350" i="3"/>
  <c r="AZ350" i="3" s="1"/>
  <c r="G558" i="3"/>
  <c r="AZ458" i="3"/>
  <c r="AZ462" i="3"/>
  <c r="B79" i="43"/>
  <c r="H23"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3" i="3"/>
  <c r="BA446" i="3"/>
  <c r="BA450" i="3"/>
  <c r="BA453" i="3"/>
  <c r="AZ453" i="3" s="1"/>
  <c r="BA455" i="3"/>
  <c r="AZ455" i="3" s="1"/>
  <c r="BL457" i="3"/>
  <c r="BL460" i="3"/>
  <c r="BL461" i="3"/>
  <c r="BL463" i="3"/>
  <c r="BA471" i="3"/>
  <c r="AZ471" i="3" s="1"/>
  <c r="BL317" i="3"/>
  <c r="G585" i="3"/>
  <c r="BL587" i="3"/>
  <c r="AZ587" i="3" s="1"/>
  <c r="BL586" i="3"/>
  <c r="AZ586" i="3" s="1"/>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A354" i="3"/>
  <c r="BA366" i="3"/>
  <c r="AZ366" i="3" s="1"/>
  <c r="BL375" i="3"/>
  <c r="AZ375"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6" i="3"/>
  <c r="AZ116" i="3" s="1"/>
  <c r="BA121" i="3"/>
  <c r="BL121" i="3"/>
  <c r="BL123" i="3"/>
  <c r="AZ123" i="3" s="1"/>
  <c r="G127" i="3"/>
  <c r="BA129" i="3"/>
  <c r="BL133" i="3"/>
  <c r="AZ133" i="3" s="1"/>
  <c r="BL134" i="3"/>
  <c r="BA145" i="3"/>
  <c r="BA156" i="3"/>
  <c r="AZ156" i="3" s="1"/>
  <c r="BL181" i="3"/>
  <c r="BA353" i="3"/>
  <c r="BL353" i="3"/>
  <c r="BA296" i="3"/>
  <c r="BA177" i="3"/>
  <c r="AZ177"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2" i="3"/>
  <c r="BA126" i="3"/>
  <c r="BL139" i="3"/>
  <c r="AZ139" i="3" s="1"/>
  <c r="BL141" i="3"/>
  <c r="BL161"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AZ231" i="3" s="1"/>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A117" i="3"/>
  <c r="BA124" i="3"/>
  <c r="AZ124" i="3" s="1"/>
  <c r="BL127" i="3"/>
  <c r="AZ127" i="3" s="1"/>
  <c r="BA130" i="3"/>
  <c r="BL130" i="3"/>
  <c r="BL137" i="3"/>
  <c r="AZ137"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1" i="3"/>
  <c r="G45" i="3"/>
  <c r="BL45" i="3"/>
  <c r="AZ45" i="3" s="1"/>
  <c r="BL49" i="3"/>
  <c r="BL50" i="3"/>
  <c r="AZ50" i="3" s="1"/>
  <c r="BL51" i="3"/>
  <c r="G53" i="3"/>
  <c r="BL53" i="3"/>
  <c r="AZ53" i="3" s="1"/>
  <c r="BA62" i="3"/>
  <c r="BA66" i="3"/>
  <c r="AZ66" i="3" s="1"/>
  <c r="BA72" i="3"/>
  <c r="BL76" i="3"/>
  <c r="BL77" i="3"/>
  <c r="AZ77" i="3" s="1"/>
  <c r="BL81" i="3"/>
  <c r="BA82" i="3"/>
  <c r="AZ82" i="3" s="1"/>
  <c r="BL91" i="3"/>
  <c r="G92" i="3"/>
  <c r="BL92" i="3"/>
  <c r="AZ100" i="3"/>
  <c r="G102" i="3"/>
  <c r="G108" i="3"/>
  <c r="D34" i="71"/>
  <c r="C35" i="71"/>
  <c r="F66" i="71"/>
  <c r="Q65" i="71" s="1"/>
  <c r="Q67" i="71"/>
  <c r="G56" i="3"/>
  <c r="C55" i="71"/>
  <c r="D54" i="71"/>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62" i="3"/>
  <c r="BL63" i="3"/>
  <c r="AZ63" i="3" s="1"/>
  <c r="BL72" i="3"/>
  <c r="BL75" i="3"/>
  <c r="BA102" i="3"/>
  <c r="C44" i="71"/>
  <c r="D43" i="71"/>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AZ28" i="3" s="1"/>
  <c r="BA31" i="3"/>
  <c r="BA32" i="3"/>
  <c r="G38" i="3"/>
  <c r="BA38" i="3"/>
  <c r="BA41" i="3"/>
  <c r="BA42" i="3"/>
  <c r="BA47" i="3"/>
  <c r="AZ47" i="3" s="1"/>
  <c r="BA48" i="3"/>
  <c r="AZ48" i="3" s="1"/>
  <c r="BA49" i="3"/>
  <c r="BA51" i="3"/>
  <c r="BL57" i="3"/>
  <c r="AZ57" i="3" s="1"/>
  <c r="G59" i="3"/>
  <c r="BA65" i="3"/>
  <c r="AZ65" i="3" s="1"/>
  <c r="BL70" i="3"/>
  <c r="AZ70" i="3" s="1"/>
  <c r="BL71" i="3"/>
  <c r="AZ71" i="3" s="1"/>
  <c r="BL83" i="3"/>
  <c r="G88" i="3"/>
  <c r="BA90" i="3"/>
  <c r="G98" i="3"/>
  <c r="BA105" i="3"/>
  <c r="AZ105" i="3" s="1"/>
  <c r="BA111" i="3"/>
  <c r="D31" i="71"/>
  <c r="C32" i="71"/>
  <c r="D50" i="71"/>
  <c r="C51" i="71"/>
  <c r="V24" i="71"/>
  <c r="E23" i="71"/>
  <c r="E22" i="71" s="1"/>
  <c r="E21" i="71" s="1"/>
  <c r="E20" i="71" s="1"/>
  <c r="E19" i="71" s="1"/>
  <c r="E18" i="71" s="1"/>
  <c r="E17" i="71" s="1"/>
  <c r="E16" i="71" s="1"/>
  <c r="G47" i="3"/>
  <c r="BL48" i="3"/>
  <c r="BL54" i="3"/>
  <c r="AZ54" i="3" s="1"/>
  <c r="BL55" i="3"/>
  <c r="AZ55" i="3" s="1"/>
  <c r="G57" i="3"/>
  <c r="G58" i="3"/>
  <c r="BA59" i="3"/>
  <c r="G61" i="3"/>
  <c r="BL61" i="3"/>
  <c r="G64" i="3"/>
  <c r="BA64" i="3"/>
  <c r="AZ64" i="3" s="1"/>
  <c r="G67" i="3"/>
  <c r="BL68" i="3"/>
  <c r="BA69" i="3"/>
  <c r="AZ69" i="3" s="1"/>
  <c r="G72" i="3"/>
  <c r="BL73" i="3"/>
  <c r="BA74" i="3"/>
  <c r="AZ74" i="3" s="1"/>
  <c r="BA75" i="3"/>
  <c r="G81" i="3"/>
  <c r="G85" i="3"/>
  <c r="BL85" i="3"/>
  <c r="BA86" i="3"/>
  <c r="AZ86" i="3" s="1"/>
  <c r="BA87" i="3"/>
  <c r="BA91" i="3"/>
  <c r="G96" i="3"/>
  <c r="BL97" i="3"/>
  <c r="AZ97" i="3" s="1"/>
  <c r="BL101" i="3"/>
  <c r="AZ101" i="3" s="1"/>
  <c r="BL102" i="3"/>
  <c r="G104" i="3"/>
  <c r="G105" i="3"/>
  <c r="BL106" i="3"/>
  <c r="BA108" i="3"/>
  <c r="BA110" i="3"/>
  <c r="AZ110" i="3" s="1"/>
  <c r="F3" i="35"/>
  <c r="S21" i="33"/>
  <c r="S21" i="37"/>
  <c r="W29" i="39"/>
  <c r="S25" i="40"/>
  <c r="B77" i="43"/>
  <c r="AA28" i="71"/>
  <c r="AB27" i="71"/>
  <c r="E75" i="71"/>
  <c r="E74" i="71" s="1"/>
  <c r="AB25" i="71"/>
  <c r="X26" i="71"/>
  <c r="Y25" i="71"/>
  <c r="Z25" i="71" s="1"/>
  <c r="X38" i="71"/>
  <c r="Y29" i="71"/>
  <c r="Z29" i="71" s="1"/>
  <c r="AB32" i="71"/>
  <c r="X33" i="71"/>
  <c r="G54" i="3"/>
  <c r="BL56" i="3"/>
  <c r="BA58" i="3"/>
  <c r="AZ58" i="3" s="1"/>
  <c r="BL59" i="3"/>
  <c r="BL60" i="3"/>
  <c r="BA61" i="3"/>
  <c r="BA68" i="3"/>
  <c r="BA73" i="3"/>
  <c r="AZ73" i="3" s="1"/>
  <c r="BA80" i="3"/>
  <c r="G84" i="3"/>
  <c r="BL84" i="3"/>
  <c r="AZ84" i="3" s="1"/>
  <c r="BA89" i="3"/>
  <c r="G99" i="3"/>
  <c r="BA103" i="3"/>
  <c r="AZ103" i="3" s="1"/>
  <c r="BA104" i="3"/>
  <c r="BA106" i="3"/>
  <c r="AZ106" i="3" s="1"/>
  <c r="BL108" i="3"/>
  <c r="G110" i="3"/>
  <c r="BL111" i="3"/>
  <c r="C21" i="68"/>
  <c r="U29" i="39"/>
  <c r="C66" i="71"/>
  <c r="AA27" i="71"/>
  <c r="AB26" i="71"/>
  <c r="S28" i="71"/>
  <c r="C83" i="71"/>
  <c r="C79" i="71"/>
  <c r="C71" i="71"/>
  <c r="C39" i="71"/>
  <c r="Y28" i="71"/>
  <c r="Z28" i="71" s="1"/>
  <c r="C28" i="71"/>
  <c r="Y30" i="71"/>
  <c r="Z30" i="71" s="1"/>
  <c r="X28" i="71"/>
  <c r="X32" i="71"/>
  <c r="F38" i="71"/>
  <c r="F39" i="71" s="1"/>
  <c r="F40" i="71" s="1"/>
  <c r="V40" i="71" s="1"/>
  <c r="AB38" i="71"/>
  <c r="AA39" i="71"/>
  <c r="F75" i="71"/>
  <c r="F74" i="71" s="1"/>
  <c r="B79" i="71"/>
  <c r="B78" i="71"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52" i="3"/>
  <c r="AZ467" i="3"/>
  <c r="AZ470" i="3"/>
  <c r="W35" i="39"/>
  <c r="F27" i="34"/>
  <c r="C21" i="39"/>
  <c r="U9" i="36"/>
  <c r="U14" i="37"/>
  <c r="H12" i="21"/>
  <c r="G526" i="3"/>
  <c r="AZ420" i="3"/>
  <c r="AZ424" i="3"/>
  <c r="AZ438" i="3"/>
  <c r="AZ446" i="3"/>
  <c r="AZ450" i="3"/>
  <c r="G28" i="6"/>
  <c r="U26" i="21"/>
  <c r="W36" i="39"/>
  <c r="U23" i="40"/>
  <c r="AA39" i="37"/>
  <c r="AC16" i="36"/>
  <c r="AB12" i="33"/>
  <c r="C27" i="39"/>
  <c r="U40" i="40"/>
  <c r="AC9" i="40"/>
  <c r="W36" i="35"/>
  <c r="J12" i="21"/>
  <c r="B73" i="43"/>
  <c r="B76" i="43"/>
  <c r="F9" i="36"/>
  <c r="J40" i="40"/>
  <c r="G562" i="3"/>
  <c r="AZ426" i="3"/>
  <c r="AZ463" i="3"/>
  <c r="AZ489" i="3"/>
  <c r="AZ220"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BA295" i="3"/>
  <c r="AZ295" i="3" s="1"/>
  <c r="G298" i="3"/>
  <c r="BA299" i="3"/>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30" i="3"/>
  <c r="BL3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BA85" i="3"/>
  <c r="BL89" i="3"/>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F53" i="9"/>
  <c r="C5" i="11"/>
  <c r="C4" i="12"/>
  <c r="I4" i="6"/>
  <c r="L19" i="6"/>
  <c r="L27" i="6"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C32" i="21"/>
  <c r="W33" i="21"/>
  <c r="AB8" i="21"/>
  <c r="P74" i="67"/>
  <c r="H62" i="43"/>
  <c r="H58" i="43"/>
  <c r="G58" i="43" s="1"/>
  <c r="H51" i="43"/>
  <c r="G51" i="43" s="1"/>
  <c r="H56" i="43"/>
  <c r="G56" i="43" s="1"/>
  <c r="H65" i="43"/>
  <c r="D72" i="43"/>
  <c r="D76" i="43"/>
  <c r="D80" i="43"/>
  <c r="D61" i="43"/>
  <c r="P61" i="15"/>
  <c r="C94" i="9"/>
  <c r="C92" i="9"/>
  <c r="C31" i="12"/>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6" i="15"/>
  <c r="F64" i="15"/>
  <c r="B13" i="70"/>
  <c r="F68" i="15"/>
  <c r="L47" i="15"/>
  <c r="M22" i="15"/>
  <c r="D7" i="73"/>
  <c r="F42" i="67"/>
  <c r="F37" i="67"/>
  <c r="F40" i="67"/>
  <c r="M28" i="67"/>
  <c r="F13" i="15"/>
  <c r="F42" i="15"/>
  <c r="D9" i="68"/>
  <c r="L48" i="67"/>
  <c r="C76" i="15"/>
  <c r="F6" i="67"/>
  <c r="D5" i="73"/>
  <c r="M29" i="67"/>
  <c r="F13" i="67"/>
  <c r="M23" i="67"/>
  <c r="F26" i="15"/>
  <c r="M24" i="67"/>
  <c r="J15" i="67"/>
  <c r="D9" i="69"/>
  <c r="F43" i="15"/>
  <c r="M24" i="15"/>
  <c r="F7" i="15"/>
  <c r="F9" i="67"/>
  <c r="C76" i="67"/>
  <c r="L48" i="15"/>
  <c r="C36" i="68"/>
  <c r="F38" i="67"/>
  <c r="F16" i="15"/>
  <c r="F37" i="15"/>
  <c r="F43" i="86"/>
  <c r="M26" i="67"/>
  <c r="F7" i="86"/>
  <c r="F8" i="67"/>
  <c r="F16" i="67"/>
  <c r="M22" i="67"/>
  <c r="D3" i="73"/>
  <c r="F43" i="67"/>
  <c r="F8" i="15"/>
  <c r="M9" i="67"/>
  <c r="D4" i="73"/>
  <c r="M8" i="67"/>
  <c r="M6" i="67"/>
  <c r="F7" i="67"/>
  <c r="M29" i="86"/>
  <c r="M23" i="15"/>
  <c r="F36" i="67"/>
  <c r="F27" i="69"/>
  <c r="L47" i="67"/>
  <c r="M29" i="15"/>
  <c r="F26" i="67"/>
  <c r="F65" i="15" l="1"/>
  <c r="Q71" i="15"/>
  <c r="F51" i="15"/>
  <c r="C27" i="15"/>
  <c r="L59" i="15"/>
  <c r="N59" i="15"/>
  <c r="M59" i="15"/>
  <c r="E28" i="6"/>
  <c r="K14" i="1" s="1"/>
  <c r="AZ150" i="3"/>
  <c r="C48" i="68"/>
  <c r="C30" i="69"/>
  <c r="C28" i="67"/>
  <c r="AZ104" i="3"/>
  <c r="AZ85" i="3"/>
  <c r="AZ36" i="3"/>
  <c r="AZ300" i="3"/>
  <c r="AZ292" i="3"/>
  <c r="AZ161" i="3"/>
  <c r="AZ129" i="3"/>
  <c r="AZ215" i="3"/>
  <c r="AZ348" i="3"/>
  <c r="AZ317" i="3"/>
  <c r="G30" i="6"/>
  <c r="G31" i="6" s="1"/>
  <c r="AZ130" i="3"/>
  <c r="AZ251" i="3"/>
  <c r="AZ247" i="3"/>
  <c r="AZ229" i="3"/>
  <c r="AZ282" i="3"/>
  <c r="AZ258" i="3"/>
  <c r="AZ210" i="3"/>
  <c r="D60" i="71"/>
  <c r="T60" i="71"/>
  <c r="AA35" i="39"/>
  <c r="S35" i="39"/>
  <c r="AC24" i="36"/>
  <c r="W24" i="36"/>
  <c r="AZ269" i="3"/>
  <c r="U12" i="36"/>
  <c r="AB12" i="36"/>
  <c r="AA25" i="37"/>
  <c r="S25" i="37"/>
  <c r="U33" i="36"/>
  <c r="AB33" i="36"/>
  <c r="AB34" i="36"/>
  <c r="U34" i="36"/>
  <c r="E29" i="6"/>
  <c r="K15" i="1" s="1"/>
  <c r="AZ250" i="3"/>
  <c r="G29" i="6"/>
  <c r="AA33" i="36"/>
  <c r="S33" i="36"/>
  <c r="AB35" i="39"/>
  <c r="U35" i="39"/>
  <c r="S25" i="36"/>
  <c r="AA25" i="36"/>
  <c r="AA24" i="36"/>
  <c r="S24" i="36"/>
  <c r="E12" i="6"/>
  <c r="E57" i="40" s="1"/>
  <c r="M53" i="43"/>
  <c r="N53" i="43" s="1"/>
  <c r="K53" i="43"/>
  <c r="M55" i="43"/>
  <c r="N55" i="43" s="1"/>
  <c r="K55" i="43"/>
  <c r="C48" i="69"/>
  <c r="AZ80" i="3"/>
  <c r="AZ81" i="3"/>
  <c r="AZ83" i="3"/>
  <c r="AZ141" i="3"/>
  <c r="AZ299" i="3"/>
  <c r="AZ285" i="3"/>
  <c r="AZ492" i="3"/>
  <c r="AZ474" i="3"/>
  <c r="AZ333" i="3"/>
  <c r="AZ68" i="3"/>
  <c r="AZ108" i="3"/>
  <c r="AZ91" i="3"/>
  <c r="AZ27" i="3"/>
  <c r="AZ178" i="3"/>
  <c r="AZ121" i="3"/>
  <c r="AZ244" i="3"/>
  <c r="AZ239" i="3"/>
  <c r="AZ421" i="3"/>
  <c r="AZ414" i="3"/>
  <c r="G7" i="1"/>
  <c r="I24" i="96"/>
  <c r="C24" i="96" s="1"/>
  <c r="I24" i="99"/>
  <c r="C24" i="99" s="1"/>
  <c r="S27" i="1"/>
  <c r="AZ88" i="3"/>
  <c r="E66" i="71"/>
  <c r="P67" i="71"/>
  <c r="AZ271" i="3"/>
  <c r="AZ228" i="3"/>
  <c r="AZ217" i="3"/>
  <c r="AB38" i="40"/>
  <c r="U38" i="40"/>
  <c r="AC9" i="36"/>
  <c r="W9" i="36"/>
  <c r="AB29" i="34"/>
  <c r="U29" i="34"/>
  <c r="C28" i="86"/>
  <c r="C48" i="98"/>
  <c r="C30" i="98"/>
  <c r="F48" i="98"/>
  <c r="AZ559" i="3"/>
  <c r="K56" i="43"/>
  <c r="J56" i="43" s="1"/>
  <c r="M56" i="43"/>
  <c r="N56" i="43" s="1"/>
  <c r="AZ202" i="3"/>
  <c r="AZ253" i="3"/>
  <c r="AZ181" i="3"/>
  <c r="AZ405" i="3"/>
  <c r="F11" i="34"/>
  <c r="P28" i="96"/>
  <c r="P29" i="96"/>
  <c r="O23" i="96"/>
  <c r="C23" i="96"/>
  <c r="P25" i="96"/>
  <c r="P27" i="96"/>
  <c r="P26" i="96"/>
  <c r="AZ67" i="3"/>
  <c r="AZ274" i="3"/>
  <c r="AC44" i="39"/>
  <c r="W44" i="39"/>
  <c r="AA17" i="34"/>
  <c r="S17" i="34"/>
  <c r="AC13" i="35"/>
  <c r="W13" i="35"/>
  <c r="S29" i="34"/>
  <c r="AA29" i="34"/>
  <c r="C28" i="85"/>
  <c r="S32" i="36"/>
  <c r="AA32" i="36"/>
  <c r="AZ499" i="3"/>
  <c r="K52" i="43"/>
  <c r="M52" i="43"/>
  <c r="N52" i="43" s="1"/>
  <c r="M51" i="43"/>
  <c r="N51" i="43" s="1"/>
  <c r="K51" i="43"/>
  <c r="M50" i="43"/>
  <c r="N50" i="43" s="1"/>
  <c r="K50" i="43"/>
  <c r="J50" i="43" s="1"/>
  <c r="AZ20" i="3"/>
  <c r="AZ294" i="3"/>
  <c r="J11" i="34"/>
  <c r="P29" i="99"/>
  <c r="O23" i="99"/>
  <c r="C23" i="99"/>
  <c r="P27" i="99"/>
  <c r="P25" i="99"/>
  <c r="P26" i="99"/>
  <c r="P28" i="99"/>
  <c r="AZ368" i="3"/>
  <c r="AZ419" i="3"/>
  <c r="AB39" i="37"/>
  <c r="U39" i="37"/>
  <c r="AA44" i="39"/>
  <c r="S44" i="39"/>
  <c r="W25" i="35"/>
  <c r="AC25" i="35"/>
  <c r="S45" i="34"/>
  <c r="AA45" i="34"/>
  <c r="AZ500" i="3"/>
  <c r="M57" i="43"/>
  <c r="N57" i="43" s="1"/>
  <c r="K57" i="43"/>
  <c r="J57" i="43" s="1"/>
  <c r="D57" i="43" s="1"/>
  <c r="M58" i="43"/>
  <c r="N58" i="43" s="1"/>
  <c r="K58" i="43"/>
  <c r="J58" i="43" s="1"/>
  <c r="C24" i="12"/>
  <c r="C77" i="95"/>
  <c r="C74" i="95" s="1"/>
  <c r="C77" i="87"/>
  <c r="C74" i="87" s="1"/>
  <c r="F10" i="34"/>
  <c r="J10" i="34"/>
  <c r="H10" i="34"/>
  <c r="AZ157" i="3"/>
  <c r="AB9" i="33"/>
  <c r="U9" i="33"/>
  <c r="AZ413" i="3"/>
  <c r="U44" i="39"/>
  <c r="AB44" i="39"/>
  <c r="AB36" i="35"/>
  <c r="U36" i="35"/>
  <c r="S25" i="35"/>
  <c r="AA25" i="35"/>
  <c r="W45" i="34"/>
  <c r="AC45" i="34"/>
  <c r="W12" i="33"/>
  <c r="AC12" i="33"/>
  <c r="J54" i="43"/>
  <c r="D54" i="43"/>
  <c r="AZ524" i="3"/>
  <c r="AZ553" i="3"/>
  <c r="AB11" i="34"/>
  <c r="E8" i="6"/>
  <c r="F27" i="6" s="1"/>
  <c r="F31" i="6" s="1"/>
  <c r="Q16" i="1"/>
  <c r="F27" i="11" s="1"/>
  <c r="C29" i="11" s="1"/>
  <c r="D27" i="11" s="1"/>
  <c r="H16" i="1"/>
  <c r="G16" i="1"/>
  <c r="F10" i="39" s="1"/>
  <c r="AA42" i="33"/>
  <c r="S42" i="33"/>
  <c r="AC42" i="33"/>
  <c r="W42" i="33"/>
  <c r="AA36" i="33"/>
  <c r="S36" i="33"/>
  <c r="W32" i="33"/>
  <c r="U32" i="33"/>
  <c r="AA46" i="33"/>
  <c r="S46" i="33"/>
  <c r="W30" i="33"/>
  <c r="AC30" i="33"/>
  <c r="V24" i="1"/>
  <c r="U24" i="1"/>
  <c r="V25" i="1"/>
  <c r="U25" i="1"/>
  <c r="V26" i="1"/>
  <c r="U26" i="1"/>
  <c r="V23" i="1"/>
  <c r="U23" i="1"/>
  <c r="V22" i="1"/>
  <c r="U22" i="1"/>
  <c r="F50" i="86"/>
  <c r="M7" i="86"/>
  <c r="F71" i="86"/>
  <c r="F71" i="15"/>
  <c r="M7" i="15"/>
  <c r="J6" i="15" s="1"/>
  <c r="J18" i="15" s="1"/>
  <c r="F50" i="15"/>
  <c r="O6" i="1"/>
  <c r="O7" i="1"/>
  <c r="P7" i="1" s="1"/>
  <c r="L25" i="1"/>
  <c r="N25" i="1" s="1"/>
  <c r="L26" i="1"/>
  <c r="N26" i="1" s="1"/>
  <c r="AP6" i="1"/>
  <c r="M22" i="1"/>
  <c r="M21" i="1" s="1"/>
  <c r="U39" i="34"/>
  <c r="AA38" i="34"/>
  <c r="AC39" i="34"/>
  <c r="AA37" i="34"/>
  <c r="S37" i="34"/>
  <c r="S31" i="34"/>
  <c r="AA31" i="34"/>
  <c r="F11" i="86"/>
  <c r="M11" i="86"/>
  <c r="J10" i="86" s="1"/>
  <c r="F11" i="85"/>
  <c r="M11" i="85"/>
  <c r="J10" i="85" s="1"/>
  <c r="L58" i="15"/>
  <c r="Q60" i="15" s="1"/>
  <c r="J57" i="15"/>
  <c r="J55" i="15" s="1"/>
  <c r="J58" i="15" s="1"/>
  <c r="Q50" i="15" s="1"/>
  <c r="I54" i="15"/>
  <c r="J53" i="15"/>
  <c r="L56" i="15" s="1"/>
  <c r="N59" i="67"/>
  <c r="M59" i="67"/>
  <c r="L59" i="67"/>
  <c r="Q61" i="67" s="1"/>
  <c r="Q71" i="67"/>
  <c r="F51" i="67"/>
  <c r="F68" i="67"/>
  <c r="M7" i="67"/>
  <c r="J6" i="67" s="1"/>
  <c r="J18" i="67" s="1"/>
  <c r="F50" i="67"/>
  <c r="C27" i="67"/>
  <c r="F64" i="67"/>
  <c r="K16" i="1"/>
  <c r="E14" i="6"/>
  <c r="E63" i="39" s="1"/>
  <c r="E10" i="6"/>
  <c r="E11" i="6"/>
  <c r="E60" i="39" s="1"/>
  <c r="E15" i="6"/>
  <c r="E64" i="39" s="1"/>
  <c r="E13" i="6"/>
  <c r="E62" i="39" s="1"/>
  <c r="P6" i="1"/>
  <c r="C13" i="12" s="1"/>
  <c r="C65" i="40"/>
  <c r="F66" i="67"/>
  <c r="I54" i="67"/>
  <c r="L58" i="67"/>
  <c r="Q60" i="67" s="1"/>
  <c r="J53" i="67"/>
  <c r="F1" i="67" s="1"/>
  <c r="J57" i="67"/>
  <c r="J55" i="67" s="1"/>
  <c r="J58" i="67" s="1"/>
  <c r="Q50" i="67" s="1"/>
  <c r="L56" i="67"/>
  <c r="F65" i="67"/>
  <c r="F71" i="67"/>
  <c r="F31" i="67"/>
  <c r="C6" i="67"/>
  <c r="C32" i="67" s="1"/>
  <c r="C40" i="71"/>
  <c r="D39" i="71"/>
  <c r="T32" i="71"/>
  <c r="D32" i="71"/>
  <c r="AZ118" i="3"/>
  <c r="AZ102" i="3"/>
  <c r="C56" i="71"/>
  <c r="D55" i="71"/>
  <c r="AZ62" i="3"/>
  <c r="AZ19" i="3"/>
  <c r="AZ5" i="3" s="1"/>
  <c r="AZ464" i="3"/>
  <c r="AZ422" i="3"/>
  <c r="AB31" i="39"/>
  <c r="U31" i="39"/>
  <c r="AA37" i="39"/>
  <c r="S37" i="39"/>
  <c r="AC9" i="34"/>
  <c r="W9" i="34"/>
  <c r="J7" i="36"/>
  <c r="J7" i="37"/>
  <c r="AC7" i="37" s="1"/>
  <c r="G5" i="3"/>
  <c r="B3" i="3" s="1"/>
  <c r="E393" i="3" s="1"/>
  <c r="C70" i="71"/>
  <c r="D70" i="71" s="1"/>
  <c r="D71" i="71"/>
  <c r="AZ61" i="3"/>
  <c r="AZ59" i="3"/>
  <c r="AZ51" i="3"/>
  <c r="AZ249" i="3"/>
  <c r="AZ218" i="3"/>
  <c r="AZ332" i="3"/>
  <c r="AZ126" i="3"/>
  <c r="AZ273" i="3"/>
  <c r="AZ353" i="3"/>
  <c r="AZ297" i="3"/>
  <c r="AZ241" i="3"/>
  <c r="AZ461" i="3"/>
  <c r="AZ425" i="3"/>
  <c r="AZ404" i="3"/>
  <c r="AC23" i="36"/>
  <c r="W23" i="36"/>
  <c r="AC37" i="39"/>
  <c r="W37" i="39"/>
  <c r="U12" i="34"/>
  <c r="AB12" i="34"/>
  <c r="AZ89" i="3"/>
  <c r="T28" i="71"/>
  <c r="D28" i="71"/>
  <c r="U28" i="71" s="1"/>
  <c r="C27" i="71"/>
  <c r="D79" i="71"/>
  <c r="C78" i="71"/>
  <c r="D78" i="71" s="1"/>
  <c r="AZ75" i="3"/>
  <c r="C52" i="71"/>
  <c r="D51" i="71"/>
  <c r="AZ111" i="3"/>
  <c r="AZ49" i="3"/>
  <c r="AZ41" i="3"/>
  <c r="AZ31" i="3"/>
  <c r="C36" i="71"/>
  <c r="D35" i="71"/>
  <c r="AZ72" i="3"/>
  <c r="AZ182" i="3"/>
  <c r="AZ302" i="3"/>
  <c r="AZ284" i="3"/>
  <c r="AZ277" i="3"/>
  <c r="AZ256" i="3"/>
  <c r="AZ397" i="3"/>
  <c r="AZ460" i="3"/>
  <c r="AZ415" i="3"/>
  <c r="AZ398" i="3"/>
  <c r="AZ403" i="3"/>
  <c r="AB23" i="36"/>
  <c r="U23" i="36"/>
  <c r="AZ550" i="3"/>
  <c r="U39" i="40"/>
  <c r="AB39" i="40"/>
  <c r="W12" i="34"/>
  <c r="AC12" i="34"/>
  <c r="D83" i="71"/>
  <c r="C82" i="71"/>
  <c r="D82" i="71" s="1"/>
  <c r="O65" i="71"/>
  <c r="D66" i="71"/>
  <c r="O66" i="71"/>
  <c r="D44" i="71"/>
  <c r="T44" i="71"/>
  <c r="AZ38" i="3"/>
  <c r="U23" i="35"/>
  <c r="AB23" i="35"/>
  <c r="AZ401" i="3"/>
  <c r="AC31" i="39"/>
  <c r="W31" i="39"/>
  <c r="AC39" i="40"/>
  <c r="W39" i="40"/>
  <c r="AB9" i="34"/>
  <c r="U9"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H7" i="34"/>
  <c r="AB7" i="34" s="1"/>
  <c r="E67" i="39"/>
  <c r="F67" i="39" s="1"/>
  <c r="J7" i="34"/>
  <c r="W7" i="34" s="1"/>
  <c r="F7" i="34"/>
  <c r="S7" i="34" s="1"/>
  <c r="AA26" i="35"/>
  <c r="S26" i="35"/>
  <c r="AC26" i="35"/>
  <c r="W26" i="35"/>
  <c r="AB26" i="35"/>
  <c r="U26" i="35"/>
  <c r="E61" i="39"/>
  <c r="C47" i="69"/>
  <c r="D45" i="69" s="1"/>
  <c r="C9" i="69"/>
  <c r="C9" i="68"/>
  <c r="E72" i="43"/>
  <c r="B70" i="43" s="1"/>
  <c r="C29" i="69"/>
  <c r="D27" i="69" s="1"/>
  <c r="F45" i="69"/>
  <c r="E51" i="40"/>
  <c r="M14" i="1"/>
  <c r="D5" i="43"/>
  <c r="J10" i="39"/>
  <c r="W10" i="39" s="1"/>
  <c r="C7" i="43"/>
  <c r="C5" i="43" s="1"/>
  <c r="D10" i="52"/>
  <c r="D125" i="9"/>
  <c r="D11" i="52" s="1"/>
  <c r="B7" i="74"/>
  <c r="C7" i="74" s="1"/>
  <c r="F59" i="67"/>
  <c r="H7" i="37"/>
  <c r="AB7" i="37" s="1"/>
  <c r="T42" i="37" s="1"/>
  <c r="G42" i="37" s="1"/>
  <c r="S10" i="39"/>
  <c r="AA10" i="39"/>
  <c r="H7" i="33"/>
  <c r="J7" i="33"/>
  <c r="D65" i="40"/>
  <c r="E63" i="40"/>
  <c r="F48" i="35"/>
  <c r="AA7" i="36"/>
  <c r="R36" i="36" s="1"/>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F27" i="98"/>
  <c r="F16" i="86"/>
  <c r="M28" i="86"/>
  <c r="F40" i="86"/>
  <c r="M26" i="86"/>
  <c r="M26" i="85"/>
  <c r="M6" i="85"/>
  <c r="F9" i="85"/>
  <c r="M9" i="85"/>
  <c r="F6" i="86"/>
  <c r="M22" i="85"/>
  <c r="M24" i="86"/>
  <c r="F27" i="68"/>
  <c r="F9" i="86"/>
  <c r="C76" i="86"/>
  <c r="F16" i="85"/>
  <c r="F8" i="85"/>
  <c r="M6" i="86"/>
  <c r="M8" i="86"/>
  <c r="F37" i="85"/>
  <c r="F13" i="85"/>
  <c r="L47" i="86"/>
  <c r="M24" i="85"/>
  <c r="F6" i="85"/>
  <c r="F7" i="85"/>
  <c r="F38" i="86"/>
  <c r="F38" i="85"/>
  <c r="M8" i="85"/>
  <c r="F36" i="86"/>
  <c r="C36" i="69"/>
  <c r="F42" i="86"/>
  <c r="F42" i="85"/>
  <c r="F8" i="86"/>
  <c r="J15" i="86"/>
  <c r="C76" i="85"/>
  <c r="C36" i="98"/>
  <c r="G1" i="73"/>
  <c r="L47" i="85"/>
  <c r="M29" i="85"/>
  <c r="L48" i="86"/>
  <c r="L48" i="85"/>
  <c r="J15" i="85"/>
  <c r="F26" i="85"/>
  <c r="D9" i="98"/>
  <c r="F40" i="85"/>
  <c r="F13" i="86"/>
  <c r="F43" i="85"/>
  <c r="C16" i="67"/>
  <c r="M9" i="86"/>
  <c r="M22" i="86"/>
  <c r="M28" i="85"/>
  <c r="C16" i="15"/>
  <c r="F26" i="86"/>
  <c r="F37" i="86"/>
  <c r="M23" i="86"/>
  <c r="M23" i="85"/>
  <c r="F36" i="85"/>
  <c r="AE8" i="1"/>
  <c r="C49" i="15" l="1"/>
  <c r="E58" i="40"/>
  <c r="E56" i="39"/>
  <c r="F28" i="12"/>
  <c r="C29" i="12" s="1"/>
  <c r="D28" i="12" s="1"/>
  <c r="F68" i="85"/>
  <c r="Q71" i="85"/>
  <c r="F65" i="86"/>
  <c r="C47" i="98"/>
  <c r="D45" i="98" s="1"/>
  <c r="C29" i="98"/>
  <c r="D27" i="98" s="1"/>
  <c r="F45" i="98"/>
  <c r="F66" i="85"/>
  <c r="L57" i="85"/>
  <c r="L56" i="85"/>
  <c r="L60" i="85"/>
  <c r="J57" i="85"/>
  <c r="J55" i="85" s="1"/>
  <c r="J58" i="85" s="1"/>
  <c r="Q50" i="85" s="1"/>
  <c r="I54" i="85"/>
  <c r="J53" i="85"/>
  <c r="F51" i="85"/>
  <c r="F66" i="86"/>
  <c r="L60" i="86"/>
  <c r="L57" i="86"/>
  <c r="L56" i="86"/>
  <c r="I54" i="86"/>
  <c r="J57" i="86"/>
  <c r="J55" i="86" s="1"/>
  <c r="J58" i="86" s="1"/>
  <c r="Q50" i="86" s="1"/>
  <c r="J53" i="86"/>
  <c r="F51" i="86"/>
  <c r="C49" i="86" s="1"/>
  <c r="C61" i="86" s="1"/>
  <c r="C27" i="86"/>
  <c r="F71" i="85"/>
  <c r="C27" i="85"/>
  <c r="C6" i="85"/>
  <c r="C10" i="85" s="1"/>
  <c r="C5" i="85" s="1"/>
  <c r="F68" i="86"/>
  <c r="F64" i="86"/>
  <c r="N59" i="86"/>
  <c r="L59" i="86"/>
  <c r="L58" i="86"/>
  <c r="M59" i="86"/>
  <c r="C9" i="98"/>
  <c r="M7" i="85"/>
  <c r="J6" i="85" s="1"/>
  <c r="J5" i="85" s="1"/>
  <c r="J26" i="85" s="1"/>
  <c r="F50" i="85"/>
  <c r="F64" i="85"/>
  <c r="M59" i="85"/>
  <c r="L58" i="85"/>
  <c r="L59" i="85"/>
  <c r="N59" i="85"/>
  <c r="F65" i="85"/>
  <c r="Q71" i="86"/>
  <c r="AB10" i="34"/>
  <c r="U10" i="34"/>
  <c r="C40" i="99"/>
  <c r="T15" i="99"/>
  <c r="V15" i="99" s="1"/>
  <c r="T3" i="99"/>
  <c r="V3" i="99" s="1"/>
  <c r="C39" i="99"/>
  <c r="T14" i="99"/>
  <c r="V14" i="99" s="1"/>
  <c r="C41" i="99"/>
  <c r="T6" i="99"/>
  <c r="V6" i="99" s="1"/>
  <c r="T7" i="99"/>
  <c r="V7" i="99" s="1"/>
  <c r="C38" i="99"/>
  <c r="T4" i="99"/>
  <c r="V4" i="99" s="1"/>
  <c r="T10" i="99"/>
  <c r="V10" i="99" s="1"/>
  <c r="C42" i="99"/>
  <c r="T13" i="99"/>
  <c r="V13" i="99" s="1"/>
  <c r="T2" i="99"/>
  <c r="V2" i="99" s="1"/>
  <c r="T11" i="99"/>
  <c r="V11" i="99" s="1"/>
  <c r="T12" i="99"/>
  <c r="V12" i="99" s="1"/>
  <c r="T8" i="99"/>
  <c r="V8" i="99" s="1"/>
  <c r="C37" i="99"/>
  <c r="C33" i="99"/>
  <c r="T5" i="99"/>
  <c r="V5" i="99" s="1"/>
  <c r="T9" i="99"/>
  <c r="V9" i="99" s="1"/>
  <c r="T16" i="99"/>
  <c r="V16" i="99" s="1"/>
  <c r="J51" i="43"/>
  <c r="D51" i="43"/>
  <c r="J55" i="43"/>
  <c r="D55" i="43"/>
  <c r="AC10" i="34"/>
  <c r="W10" i="34"/>
  <c r="T12" i="96"/>
  <c r="V12" i="96" s="1"/>
  <c r="C33" i="96"/>
  <c r="C39" i="96"/>
  <c r="T7" i="96"/>
  <c r="V7" i="96" s="1"/>
  <c r="T8" i="96"/>
  <c r="V8" i="96" s="1"/>
  <c r="T3" i="96"/>
  <c r="V3" i="96" s="1"/>
  <c r="C38" i="96"/>
  <c r="C37" i="96"/>
  <c r="T2" i="96"/>
  <c r="V2" i="96" s="1"/>
  <c r="T6" i="96"/>
  <c r="V6" i="96" s="1"/>
  <c r="T15" i="96"/>
  <c r="V15" i="96" s="1"/>
  <c r="C41" i="96"/>
  <c r="T11" i="96"/>
  <c r="V11" i="96" s="1"/>
  <c r="T14" i="96"/>
  <c r="V14" i="96" s="1"/>
  <c r="T9" i="96"/>
  <c r="V9" i="96" s="1"/>
  <c r="T13" i="96"/>
  <c r="V13" i="96" s="1"/>
  <c r="T5" i="96"/>
  <c r="V5" i="96" s="1"/>
  <c r="C40" i="96"/>
  <c r="T4" i="96"/>
  <c r="V4" i="96" s="1"/>
  <c r="T10" i="96"/>
  <c r="V10" i="96" s="1"/>
  <c r="T16" i="96"/>
  <c r="V16" i="96" s="1"/>
  <c r="C42" i="96"/>
  <c r="S11" i="34"/>
  <c r="AA11" i="34"/>
  <c r="J6" i="86"/>
  <c r="J5" i="86" s="1"/>
  <c r="J26" i="86" s="1"/>
  <c r="AA10" i="34"/>
  <c r="S10" i="34"/>
  <c r="J53" i="43"/>
  <c r="D53" i="43"/>
  <c r="W11" i="34"/>
  <c r="AC11" i="34"/>
  <c r="J52" i="43"/>
  <c r="D52" i="43"/>
  <c r="P65" i="71"/>
  <c r="P66" i="71"/>
  <c r="J10" i="40"/>
  <c r="AC10" i="40" s="1"/>
  <c r="H10" i="40"/>
  <c r="AB10" i="40" s="1"/>
  <c r="F10" i="40"/>
  <c r="S10" i="40" s="1"/>
  <c r="H10" i="39"/>
  <c r="U10" i="39" s="1"/>
  <c r="E60" i="40"/>
  <c r="U27" i="1"/>
  <c r="R27" i="1" s="1"/>
  <c r="V27" i="1"/>
  <c r="T27" i="1" s="1"/>
  <c r="J5" i="15"/>
  <c r="J24" i="15" s="1"/>
  <c r="C6" i="86"/>
  <c r="C32" i="86" s="1"/>
  <c r="AY6" i="3"/>
  <c r="E59" i="40"/>
  <c r="E369" i="3"/>
  <c r="Q73" i="15"/>
  <c r="T49" i="34"/>
  <c r="G49" i="34" s="1"/>
  <c r="G53" i="34" s="1"/>
  <c r="H53" i="34" s="1"/>
  <c r="F1" i="15"/>
  <c r="Q52" i="15"/>
  <c r="C53" i="86"/>
  <c r="C53" i="85"/>
  <c r="AB7" i="36"/>
  <c r="T36" i="36" s="1"/>
  <c r="G36" i="36" s="1"/>
  <c r="E69" i="39"/>
  <c r="Q74" i="67"/>
  <c r="C49" i="67"/>
  <c r="E16" i="6"/>
  <c r="E56" i="40"/>
  <c r="E246" i="3"/>
  <c r="E124" i="3"/>
  <c r="E557" i="3"/>
  <c r="X6" i="3"/>
  <c r="E214" i="3"/>
  <c r="E215" i="3"/>
  <c r="E526" i="3"/>
  <c r="AR6" i="3"/>
  <c r="E508" i="3"/>
  <c r="E247" i="3"/>
  <c r="E171" i="3"/>
  <c r="E85" i="3"/>
  <c r="E415" i="3"/>
  <c r="E563" i="3"/>
  <c r="E28" i="3"/>
  <c r="AK6" i="3"/>
  <c r="E477" i="3"/>
  <c r="E523" i="3"/>
  <c r="E269" i="3"/>
  <c r="E328" i="3"/>
  <c r="E139" i="3"/>
  <c r="E94" i="3"/>
  <c r="E219" i="3"/>
  <c r="E242" i="3"/>
  <c r="E423" i="3"/>
  <c r="M6" i="3"/>
  <c r="E217" i="3"/>
  <c r="AO6" i="3"/>
  <c r="E560" i="3"/>
  <c r="E301" i="3"/>
  <c r="E305" i="3"/>
  <c r="E72" i="3"/>
  <c r="E334" i="3"/>
  <c r="E187" i="3"/>
  <c r="E275" i="3"/>
  <c r="E535" i="3"/>
  <c r="E201" i="3"/>
  <c r="E377" i="3"/>
  <c r="E368" i="3"/>
  <c r="K6" i="3"/>
  <c r="E261" i="3"/>
  <c r="E505" i="3"/>
  <c r="E458" i="3"/>
  <c r="E581" i="3"/>
  <c r="AD6" i="3"/>
  <c r="E378" i="3"/>
  <c r="E248" i="3"/>
  <c r="E119" i="3"/>
  <c r="E161" i="3"/>
  <c r="E335" i="3"/>
  <c r="E509" i="3"/>
  <c r="E70" i="3"/>
  <c r="Z6" i="3"/>
  <c r="E468" i="3"/>
  <c r="E347" i="3"/>
  <c r="E185" i="3"/>
  <c r="E331" i="3"/>
  <c r="E111" i="3"/>
  <c r="E382" i="3"/>
  <c r="E481" i="3"/>
  <c r="E207" i="3"/>
  <c r="E416" i="3"/>
  <c r="E434" i="3"/>
  <c r="E168" i="3"/>
  <c r="E552" i="3"/>
  <c r="E131" i="3"/>
  <c r="E148" i="3"/>
  <c r="E263" i="3"/>
  <c r="E278" i="3"/>
  <c r="E570" i="3"/>
  <c r="AJ6" i="3"/>
  <c r="E273" i="3"/>
  <c r="E345" i="3"/>
  <c r="E227" i="3"/>
  <c r="E587" i="3"/>
  <c r="E545" i="3"/>
  <c r="E134" i="3"/>
  <c r="E533" i="3"/>
  <c r="E210" i="3"/>
  <c r="E549" i="3"/>
  <c r="E573" i="3"/>
  <c r="E551" i="3"/>
  <c r="E252" i="3"/>
  <c r="E303" i="3"/>
  <c r="E317" i="3"/>
  <c r="E474" i="3"/>
  <c r="E542" i="3"/>
  <c r="E15" i="3"/>
  <c r="E239" i="3"/>
  <c r="E203" i="3"/>
  <c r="E304" i="3"/>
  <c r="E547" i="3"/>
  <c r="E136" i="3"/>
  <c r="E149" i="3"/>
  <c r="E510" i="3"/>
  <c r="E129" i="3"/>
  <c r="E232" i="3"/>
  <c r="E427" i="3"/>
  <c r="E178" i="3"/>
  <c r="E170" i="3"/>
  <c r="E364" i="3"/>
  <c r="E460" i="3"/>
  <c r="E250" i="3"/>
  <c r="E520" i="3"/>
  <c r="E48" i="3"/>
  <c r="E464" i="3"/>
  <c r="E266" i="3"/>
  <c r="E374"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E225" i="3"/>
  <c r="E326" i="3"/>
  <c r="E440" i="3"/>
  <c r="E346" i="3"/>
  <c r="E299" i="3"/>
  <c r="E176" i="3"/>
  <c r="E348" i="3"/>
  <c r="E222" i="3"/>
  <c r="E110" i="3"/>
  <c r="E284" i="3"/>
  <c r="E436" i="3"/>
  <c r="E584" i="3"/>
  <c r="E3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118" i="3"/>
  <c r="E487" i="3"/>
  <c r="E296" i="3"/>
  <c r="E200" i="3"/>
  <c r="E385" i="3"/>
  <c r="E191" i="3"/>
  <c r="E445" i="3"/>
  <c r="E69" i="3"/>
  <c r="E387" i="3"/>
  <c r="E514" i="3"/>
  <c r="E431" i="3"/>
  <c r="E322" i="3"/>
  <c r="E109" i="3"/>
  <c r="E211" i="3"/>
  <c r="E489" i="3"/>
  <c r="E400" i="3"/>
  <c r="E327" i="3"/>
  <c r="E74" i="3"/>
  <c r="E106" i="3"/>
  <c r="E465" i="3"/>
  <c r="E133" i="3"/>
  <c r="E568" i="3"/>
  <c r="E495"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375" i="3"/>
  <c r="E354" i="3"/>
  <c r="E386" i="3"/>
  <c r="E123" i="3"/>
  <c r="E463" i="3"/>
  <c r="E324" i="3"/>
  <c r="E453" i="3"/>
  <c r="E245" i="3"/>
  <c r="E114" i="3"/>
  <c r="E559" i="3"/>
  <c r="N6" i="3"/>
  <c r="E316" i="3"/>
  <c r="E558" i="3"/>
  <c r="E236" i="3"/>
  <c r="E73" i="3"/>
  <c r="E437" i="3"/>
  <c r="E238" i="3"/>
  <c r="E159" i="3"/>
  <c r="E237" i="3"/>
  <c r="S6" i="3"/>
  <c r="E426" i="3"/>
  <c r="E291" i="3"/>
  <c r="E367" i="3"/>
  <c r="E196" i="3"/>
  <c r="E54" i="3"/>
  <c r="E529" i="3"/>
  <c r="E461" i="3"/>
  <c r="E413" i="3"/>
  <c r="E179" i="3"/>
  <c r="E341" i="3"/>
  <c r="E323" i="3"/>
  <c r="E312" i="3"/>
  <c r="E524" i="3"/>
  <c r="E60" i="3"/>
  <c r="E188" i="3"/>
  <c r="E142" i="3"/>
  <c r="E240" i="3"/>
  <c r="E483" i="3"/>
  <c r="E132" i="3"/>
  <c r="E100" i="3"/>
  <c r="AI6" i="3"/>
  <c r="E135" i="3"/>
  <c r="E172" i="3"/>
  <c r="E189" i="3"/>
  <c r="AB6" i="3"/>
  <c r="E311" i="3"/>
  <c r="E579" i="3"/>
  <c r="E268" i="3"/>
  <c r="E572" i="3"/>
  <c r="E182" i="3"/>
  <c r="E531" i="3"/>
  <c r="E485" i="3"/>
  <c r="E204" i="3"/>
  <c r="E315" i="3"/>
  <c r="E454" i="3"/>
  <c r="E406" i="3"/>
  <c r="E228" i="3"/>
  <c r="E77" i="3"/>
  <c r="E586"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97" i="3"/>
  <c r="E138" i="3"/>
  <c r="E521" i="3"/>
  <c r="AQ6" i="3"/>
  <c r="J6" i="3"/>
  <c r="E412" i="3"/>
  <c r="E446" i="3"/>
  <c r="E500" i="3"/>
  <c r="E244" i="3"/>
  <c r="E24" i="3"/>
  <c r="E58" i="3"/>
  <c r="E566" i="3"/>
  <c r="E265" i="3"/>
  <c r="E289" i="3"/>
  <c r="E325" i="3"/>
  <c r="E79" i="3"/>
  <c r="E372" i="3"/>
  <c r="E25" i="3"/>
  <c r="E376" i="3"/>
  <c r="E564" i="3"/>
  <c r="E329" i="3"/>
  <c r="E35" i="3"/>
  <c r="E356" i="3"/>
  <c r="E259" i="3"/>
  <c r="E373" i="3"/>
  <c r="E47" i="3"/>
  <c r="E582" i="3"/>
  <c r="E19" i="3"/>
  <c r="E209" i="3"/>
  <c r="E57" i="3"/>
  <c r="E421" i="3"/>
  <c r="E51" i="3"/>
  <c r="E65" i="3"/>
  <c r="E90" i="3"/>
  <c r="E165" i="3"/>
  <c r="E20" i="3"/>
  <c r="E36" i="3"/>
  <c r="E194" i="3"/>
  <c r="E540" i="3"/>
  <c r="E226" i="3"/>
  <c r="E419" i="3"/>
  <c r="E507" i="3"/>
  <c r="E116" i="3"/>
  <c r="E80" i="3"/>
  <c r="E190" i="3"/>
  <c r="E360" i="3"/>
  <c r="E141" i="3"/>
  <c r="E365" i="3"/>
  <c r="E62" i="3"/>
  <c r="E340" i="3"/>
  <c r="E112" i="3"/>
  <c r="E392" i="3"/>
  <c r="E234" i="3"/>
  <c r="E38" i="3"/>
  <c r="E473" i="3"/>
  <c r="L6" i="3"/>
  <c r="E276" i="3"/>
  <c r="E108" i="3"/>
  <c r="E401" i="3"/>
  <c r="AH6" i="3"/>
  <c r="E422" i="3"/>
  <c r="E543" i="3"/>
  <c r="E105" i="3"/>
  <c r="E16" i="3"/>
  <c r="E158" i="3"/>
  <c r="E49" i="3"/>
  <c r="E220" i="3"/>
  <c r="E428" i="3"/>
  <c r="E104" i="3"/>
  <c r="E155" i="3"/>
  <c r="E398" i="3"/>
  <c r="E101" i="3"/>
  <c r="E218" i="3"/>
  <c r="E50" i="3"/>
  <c r="E147" i="3"/>
  <c r="E52" i="3"/>
  <c r="E339" i="3"/>
  <c r="E137" i="3"/>
  <c r="E455" i="3"/>
  <c r="E43" i="3"/>
  <c r="E333" i="3"/>
  <c r="E202" i="3"/>
  <c r="E40" i="3"/>
  <c r="E498" i="3"/>
  <c r="E490" i="3"/>
  <c r="E486" i="3"/>
  <c r="E493" i="3"/>
  <c r="E223" i="3"/>
  <c r="E83" i="3"/>
  <c r="E370" i="3"/>
  <c r="E342" i="3"/>
  <c r="E78" i="3"/>
  <c r="E243" i="3"/>
  <c r="E525" i="3"/>
  <c r="E26" i="3"/>
  <c r="E451" i="3"/>
  <c r="E205" i="3"/>
  <c r="E332" i="3"/>
  <c r="E452" i="3"/>
  <c r="E469" i="3"/>
  <c r="E102" i="3"/>
  <c r="E310" i="3"/>
  <c r="E41" i="3"/>
  <c r="E13" i="3"/>
  <c r="E456" i="3"/>
  <c r="E86" i="3"/>
  <c r="E115" i="3"/>
  <c r="E420" i="3"/>
  <c r="E497" i="3"/>
  <c r="E408" i="3"/>
  <c r="E405" i="3"/>
  <c r="E173" i="3"/>
  <c r="E22" i="3"/>
  <c r="AF6" i="3"/>
  <c r="E522" i="3"/>
  <c r="E482" i="3"/>
  <c r="E513" i="3"/>
  <c r="E64" i="3"/>
  <c r="E470" i="3"/>
  <c r="E556" i="3"/>
  <c r="E512" i="3"/>
  <c r="T6" i="3"/>
  <c r="E197" i="3"/>
  <c r="E308" i="3"/>
  <c r="E251" i="3"/>
  <c r="E235" i="3"/>
  <c r="E75" i="3"/>
  <c r="E309" i="3"/>
  <c r="E491" i="3"/>
  <c r="E534" i="3"/>
  <c r="E140" i="3"/>
  <c r="E287" i="3"/>
  <c r="E34" i="3"/>
  <c r="E174" i="3"/>
  <c r="E391" i="3"/>
  <c r="E233" i="3"/>
  <c r="E113" i="3"/>
  <c r="E206" i="3"/>
  <c r="E383" i="3"/>
  <c r="E96" i="3"/>
  <c r="E42" i="3"/>
  <c r="E281" i="3"/>
  <c r="E81" i="3"/>
  <c r="E33" i="3"/>
  <c r="E249" i="3"/>
  <c r="E59" i="3"/>
  <c r="E449" i="3"/>
  <c r="E18" i="3"/>
  <c r="AL6" i="3"/>
  <c r="E198" i="3"/>
  <c r="E63" i="3"/>
  <c r="E67" i="3"/>
  <c r="E267" i="3"/>
  <c r="E292" i="3"/>
  <c r="E575" i="3"/>
  <c r="E355" i="3"/>
  <c r="E492" i="3"/>
  <c r="E46" i="3"/>
  <c r="E95" i="3"/>
  <c r="E494" i="3"/>
  <c r="E283" i="3"/>
  <c r="E68" i="3"/>
  <c r="E184" i="3"/>
  <c r="E84" i="3"/>
  <c r="E371" i="3"/>
  <c r="E160" i="3"/>
  <c r="E467" i="3"/>
  <c r="E544" i="3"/>
  <c r="E241" i="3"/>
  <c r="E37" i="3"/>
  <c r="E517" i="3"/>
  <c r="E466" i="3"/>
  <c r="E212" i="3"/>
  <c r="E21" i="3"/>
  <c r="E264" i="3"/>
  <c r="E381" i="3"/>
  <c r="E144" i="3"/>
  <c r="E23" i="3"/>
  <c r="E300" i="3"/>
  <c r="E103" i="3"/>
  <c r="E484" i="3"/>
  <c r="E389" i="3"/>
  <c r="E258" i="3"/>
  <c r="E479" i="3"/>
  <c r="E554" i="3"/>
  <c r="E442" i="3"/>
  <c r="E536" i="3"/>
  <c r="E409" i="3"/>
  <c r="E349" i="3"/>
  <c r="E152" i="3"/>
  <c r="E417" i="3"/>
  <c r="E255" i="3"/>
  <c r="E499" i="3"/>
  <c r="E3" i="6"/>
  <c r="AP6" i="3"/>
  <c r="E430" i="3"/>
  <c r="E502" i="3"/>
  <c r="E286" i="3"/>
  <c r="E539" i="3"/>
  <c r="E425" i="3"/>
  <c r="E76" i="3"/>
  <c r="E363" i="3"/>
  <c r="E192" i="3"/>
  <c r="E56" i="3"/>
  <c r="E435" i="3"/>
  <c r="I3" i="6"/>
  <c r="E541" i="3"/>
  <c r="R6" i="3"/>
  <c r="E199" i="3"/>
  <c r="Q52" i="67"/>
  <c r="Q73" i="67"/>
  <c r="W7" i="37"/>
  <c r="J5" i="67"/>
  <c r="J24" i="67" s="1"/>
  <c r="T52" i="71"/>
  <c r="D52" i="71"/>
  <c r="C26" i="71"/>
  <c r="D26" i="71" s="1"/>
  <c r="D27" i="71"/>
  <c r="D56" i="71"/>
  <c r="T56" i="71"/>
  <c r="D36" i="71"/>
  <c r="T3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AE6" i="1"/>
  <c r="C17" i="86"/>
  <c r="M27" i="67"/>
  <c r="M27" i="15"/>
  <c r="M27" i="85"/>
  <c r="M27" i="86"/>
  <c r="C16" i="85"/>
  <c r="F41" i="67"/>
  <c r="C16" i="86"/>
  <c r="C48" i="15" l="1"/>
  <c r="C66" i="15" s="1"/>
  <c r="AB10" i="39"/>
  <c r="J18" i="86"/>
  <c r="C49" i="85"/>
  <c r="C61" i="85" s="1"/>
  <c r="U6" i="1"/>
  <c r="J19" i="86"/>
  <c r="J24" i="85"/>
  <c r="C48" i="86"/>
  <c r="C60" i="86" s="1"/>
  <c r="G37" i="99"/>
  <c r="I37" i="99" s="1"/>
  <c r="E37" i="99"/>
  <c r="E41" i="99"/>
  <c r="G41" i="99"/>
  <c r="I41" i="99" s="1"/>
  <c r="Q73" i="85"/>
  <c r="Q60" i="85"/>
  <c r="J18" i="85"/>
  <c r="J19" i="85"/>
  <c r="Q61" i="86"/>
  <c r="Q74" i="86"/>
  <c r="C33" i="85"/>
  <c r="C32" i="85"/>
  <c r="G41" i="96"/>
  <c r="I41" i="96" s="1"/>
  <c r="E41" i="96"/>
  <c r="E37" i="96"/>
  <c r="G37" i="96"/>
  <c r="I37" i="96" s="1"/>
  <c r="E38" i="99"/>
  <c r="G38" i="99"/>
  <c r="I38" i="99" s="1"/>
  <c r="G40" i="99"/>
  <c r="I40" i="99" s="1"/>
  <c r="E40" i="99"/>
  <c r="E38" i="96"/>
  <c r="G38" i="96"/>
  <c r="I38" i="96" s="1"/>
  <c r="G39" i="96"/>
  <c r="I39" i="96" s="1"/>
  <c r="E39" i="96"/>
  <c r="E50" i="43"/>
  <c r="B48" i="43" s="1"/>
  <c r="C28" i="43" s="1"/>
  <c r="E42" i="99"/>
  <c r="G42" i="99"/>
  <c r="I42" i="99" s="1"/>
  <c r="G39" i="99"/>
  <c r="I39" i="99" s="1"/>
  <c r="E39" i="99"/>
  <c r="F1" i="86"/>
  <c r="Q52" i="86"/>
  <c r="Q57" i="85"/>
  <c r="Q66" i="85"/>
  <c r="G42" i="96"/>
  <c r="I42" i="96" s="1"/>
  <c r="E42" i="96"/>
  <c r="C6" i="69"/>
  <c r="C7" i="69" s="1"/>
  <c r="E40" i="96"/>
  <c r="G40" i="96"/>
  <c r="I40" i="96" s="1"/>
  <c r="C34" i="96"/>
  <c r="E34" i="96" s="1"/>
  <c r="E33" i="96"/>
  <c r="C34" i="99"/>
  <c r="E34" i="99" s="1"/>
  <c r="C31" i="99" s="1"/>
  <c r="E33" i="99"/>
  <c r="Q61" i="85"/>
  <c r="Q74" i="85"/>
  <c r="Q73" i="86"/>
  <c r="Q60" i="86"/>
  <c r="Q66" i="86"/>
  <c r="Q57" i="86"/>
  <c r="Q52" i="85"/>
  <c r="F1" i="85"/>
  <c r="F69" i="67"/>
  <c r="F22" i="98"/>
  <c r="L36" i="99"/>
  <c r="J24" i="86"/>
  <c r="C33" i="86"/>
  <c r="F24" i="86"/>
  <c r="C24" i="86" s="1"/>
  <c r="L36" i="96"/>
  <c r="C10" i="86"/>
  <c r="C5" i="86" s="1"/>
  <c r="C38" i="86" s="1"/>
  <c r="D37" i="11"/>
  <c r="M18" i="87"/>
  <c r="B118" i="87" s="1"/>
  <c r="R50" i="34"/>
  <c r="C49" i="34" s="1"/>
  <c r="G54" i="34"/>
  <c r="H54" i="34" s="1"/>
  <c r="L36" i="43"/>
  <c r="L37" i="43" s="1"/>
  <c r="O37" i="43" s="1"/>
  <c r="F24" i="85"/>
  <c r="C38" i="85"/>
  <c r="C48" i="67"/>
  <c r="C60" i="67" s="1"/>
  <c r="H6" i="3"/>
  <c r="AC6" i="3"/>
  <c r="D3" i="33"/>
  <c r="D3" i="34"/>
  <c r="E6" i="6"/>
  <c r="D10" i="11" s="1"/>
  <c r="C10" i="11" s="1"/>
  <c r="D3" i="21"/>
  <c r="D14" i="12"/>
  <c r="D17" i="12" s="1"/>
  <c r="C17" i="12" s="1"/>
  <c r="C17" i="4"/>
  <c r="B4" i="52" s="1"/>
  <c r="B43" i="72" s="1"/>
  <c r="M18" i="9"/>
  <c r="B118" i="9" s="1"/>
  <c r="B1" i="74" s="1"/>
  <c r="D3" i="37"/>
  <c r="D19" i="11"/>
  <c r="C19" i="11" s="1"/>
  <c r="C20" i="11" s="1"/>
  <c r="C28" i="11" s="1"/>
  <c r="C27" i="11" s="1"/>
  <c r="F24" i="67"/>
  <c r="C24" i="67" s="1"/>
  <c r="F24" i="15"/>
  <c r="C24" i="15" s="1"/>
  <c r="F22" i="69"/>
  <c r="F41" i="69" s="1"/>
  <c r="F22" i="68"/>
  <c r="F25" i="12"/>
  <c r="C26" i="12" s="1"/>
  <c r="D25" i="12" s="1"/>
  <c r="E49" i="34"/>
  <c r="I54" i="34" s="1"/>
  <c r="J54" i="34" s="1"/>
  <c r="F22" i="11"/>
  <c r="C44" i="11" s="1"/>
  <c r="D41" i="11" s="1"/>
  <c r="C17" i="71"/>
  <c r="D18" i="71"/>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C18" i="4"/>
  <c r="D23" i="6"/>
  <c r="D5" i="6"/>
  <c r="D12" i="6"/>
  <c r="D11" i="6"/>
  <c r="D13" i="6"/>
  <c r="D28" i="6"/>
  <c r="E61" i="40"/>
  <c r="H26" i="6"/>
  <c r="P14" i="1"/>
  <c r="P16" i="1" s="1"/>
  <c r="C11" i="12" s="1"/>
  <c r="N16" i="1"/>
  <c r="F50" i="98" s="1"/>
  <c r="L16" i="1"/>
  <c r="H67" i="39"/>
  <c r="G69" i="39"/>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C14" i="86"/>
  <c r="D10" i="98"/>
  <c r="C34" i="69"/>
  <c r="F41" i="15"/>
  <c r="F6" i="15"/>
  <c r="C17" i="67"/>
  <c r="C17" i="15"/>
  <c r="C14" i="67"/>
  <c r="F41" i="86"/>
  <c r="C17" i="85"/>
  <c r="AE7" i="1"/>
  <c r="C60" i="15" l="1"/>
  <c r="C66" i="86"/>
  <c r="C48" i="85"/>
  <c r="C60" i="85" s="1"/>
  <c r="C6" i="15"/>
  <c r="C32" i="15" s="1"/>
  <c r="C30" i="99"/>
  <c r="B2" i="99" s="1"/>
  <c r="C31" i="96"/>
  <c r="T13" i="43"/>
  <c r="V13" i="43" s="1"/>
  <c r="T16" i="43"/>
  <c r="V16" i="43" s="1"/>
  <c r="T8" i="43"/>
  <c r="V8" i="43" s="1"/>
  <c r="T6" i="43"/>
  <c r="V6" i="43" s="1"/>
  <c r="C41" i="43"/>
  <c r="C38" i="43"/>
  <c r="T11" i="43"/>
  <c r="V11" i="43" s="1"/>
  <c r="T14" i="43"/>
  <c r="V14" i="43" s="1"/>
  <c r="T4" i="43"/>
  <c r="V4" i="43" s="1"/>
  <c r="T5" i="43"/>
  <c r="V5" i="43" s="1"/>
  <c r="T9" i="43"/>
  <c r="V9" i="43" s="1"/>
  <c r="T12" i="43"/>
  <c r="V12" i="43" s="1"/>
  <c r="T3" i="43"/>
  <c r="V3" i="43" s="1"/>
  <c r="C40" i="43"/>
  <c r="C39" i="43"/>
  <c r="T15" i="43"/>
  <c r="V15" i="43" s="1"/>
  <c r="T7" i="43"/>
  <c r="V7" i="43" s="1"/>
  <c r="T10" i="43"/>
  <c r="V10" i="43" s="1"/>
  <c r="T2" i="43"/>
  <c r="V2" i="43" s="1"/>
  <c r="C37" i="43"/>
  <c r="C42" i="43"/>
  <c r="C30" i="96"/>
  <c r="B2" i="96" s="1"/>
  <c r="B3" i="96" s="1"/>
  <c r="C10" i="98"/>
  <c r="C8" i="98" s="1"/>
  <c r="D19" i="98"/>
  <c r="D37" i="98" s="1"/>
  <c r="C37" i="98" s="1"/>
  <c r="M19" i="9"/>
  <c r="C118" i="9" s="1"/>
  <c r="B2" i="74" s="1"/>
  <c r="M19" i="87"/>
  <c r="C118" i="87" s="1"/>
  <c r="S21" i="6"/>
  <c r="L18" i="95"/>
  <c r="L18" i="87"/>
  <c r="M19" i="95"/>
  <c r="C118" i="95" s="1"/>
  <c r="F69" i="15"/>
  <c r="C24" i="98"/>
  <c r="C44" i="98"/>
  <c r="D41" i="98" s="1"/>
  <c r="C10" i="15"/>
  <c r="C5" i="15" s="1"/>
  <c r="C38" i="15" s="1"/>
  <c r="C26" i="98"/>
  <c r="D22" i="98" s="1"/>
  <c r="F41" i="98"/>
  <c r="N36" i="99"/>
  <c r="Q36" i="99"/>
  <c r="M36" i="99"/>
  <c r="P36" i="99"/>
  <c r="L37" i="99"/>
  <c r="O36" i="99"/>
  <c r="F69" i="86"/>
  <c r="J29" i="86"/>
  <c r="N36" i="96"/>
  <c r="L37" i="96"/>
  <c r="Q36" i="96"/>
  <c r="M36" i="96"/>
  <c r="P36" i="96"/>
  <c r="O36" i="96"/>
  <c r="C15" i="86"/>
  <c r="C18" i="86"/>
  <c r="E7" i="70"/>
  <c r="Q37" i="43"/>
  <c r="N37" i="43"/>
  <c r="M36" i="43"/>
  <c r="P37" i="43"/>
  <c r="Q36" i="43"/>
  <c r="E54" i="34"/>
  <c r="F54" i="34" s="1"/>
  <c r="E53" i="34"/>
  <c r="F53" i="34" s="1"/>
  <c r="M37" i="43"/>
  <c r="P36" i="43"/>
  <c r="O36" i="43"/>
  <c r="N36" i="43"/>
  <c r="C66" i="67"/>
  <c r="C26" i="69"/>
  <c r="D22" i="69" s="1"/>
  <c r="C24" i="85"/>
  <c r="E6" i="3"/>
  <c r="F41" i="68"/>
  <c r="H21" i="6"/>
  <c r="L19" i="95" s="1"/>
  <c r="D20" i="12"/>
  <c r="C20" i="12" s="1"/>
  <c r="D6" i="6"/>
  <c r="D30" i="6"/>
  <c r="H24" i="6"/>
  <c r="R24" i="6" s="1"/>
  <c r="R11" i="1" s="1"/>
  <c r="H22" i="6"/>
  <c r="R22" i="6" s="1"/>
  <c r="R9" i="1" s="1"/>
  <c r="C44" i="68"/>
  <c r="D41" i="68" s="1"/>
  <c r="C44" i="69"/>
  <c r="D41" i="69" s="1"/>
  <c r="C26" i="68"/>
  <c r="D22" i="68" s="1"/>
  <c r="C26" i="11"/>
  <c r="D22" i="11" s="1"/>
  <c r="C24" i="11"/>
  <c r="C23" i="11"/>
  <c r="H25" i="6"/>
  <c r="R25" i="6" s="1"/>
  <c r="R12" i="1" s="1"/>
  <c r="C25" i="1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C15" i="12"/>
  <c r="C12" i="12"/>
  <c r="D27" i="6"/>
  <c r="D8" i="74"/>
  <c r="D7" i="74"/>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67"/>
  <c r="J19" i="67"/>
  <c r="C14" i="85"/>
  <c r="D10" i="69"/>
  <c r="D10" i="68"/>
  <c r="C34" i="98"/>
  <c r="C34" i="68"/>
  <c r="F41" i="85"/>
  <c r="C14" i="15"/>
  <c r="C33" i="15" l="1"/>
  <c r="C66" i="85"/>
  <c r="J29" i="85"/>
  <c r="F69" i="85"/>
  <c r="G37" i="43"/>
  <c r="I37" i="43" s="1"/>
  <c r="E37" i="43"/>
  <c r="G39" i="43"/>
  <c r="I39" i="43" s="1"/>
  <c r="E39" i="43"/>
  <c r="B3" i="99"/>
  <c r="C6" i="98"/>
  <c r="G40" i="43"/>
  <c r="I40" i="43" s="1"/>
  <c r="E40" i="43"/>
  <c r="E38" i="43"/>
  <c r="G38" i="43"/>
  <c r="I38" i="43" s="1"/>
  <c r="E42" i="43"/>
  <c r="G42" i="43"/>
  <c r="I42" i="43" s="1"/>
  <c r="G41" i="43"/>
  <c r="I41" i="43" s="1"/>
  <c r="E41" i="43"/>
  <c r="E2" i="70"/>
  <c r="C38" i="98"/>
  <c r="C35" i="98"/>
  <c r="L19" i="87"/>
  <c r="Q37" i="99"/>
  <c r="M37" i="99"/>
  <c r="O37" i="99"/>
  <c r="N37" i="99"/>
  <c r="P37" i="99"/>
  <c r="C10" i="69"/>
  <c r="C8" i="69" s="1"/>
  <c r="C5" i="69" s="1"/>
  <c r="C23" i="69" s="1"/>
  <c r="D19" i="69"/>
  <c r="Q37" i="96"/>
  <c r="M37" i="96"/>
  <c r="P37" i="96"/>
  <c r="O37" i="96"/>
  <c r="N37" i="96"/>
  <c r="C19" i="86"/>
  <c r="C20" i="86" s="1"/>
  <c r="C23" i="86" s="1"/>
  <c r="C15" i="85"/>
  <c r="C18" i="85"/>
  <c r="C10" i="68"/>
  <c r="D19" i="68"/>
  <c r="D37" i="68" s="1"/>
  <c r="C37" i="68" s="1"/>
  <c r="C22" i="11"/>
  <c r="C31" i="11" s="1"/>
  <c r="D31" i="6"/>
  <c r="I5" i="6" s="1"/>
  <c r="C15" i="71"/>
  <c r="T16" i="71"/>
  <c r="D16" i="71"/>
  <c r="C19" i="67"/>
  <c r="C20" i="67" s="1"/>
  <c r="C26" i="67" s="1"/>
  <c r="T16" i="1"/>
  <c r="C18" i="15"/>
  <c r="C15" i="15"/>
  <c r="C38" i="68"/>
  <c r="C35" i="68"/>
  <c r="C36" i="11"/>
  <c r="C37" i="11"/>
  <c r="C34" i="11"/>
  <c r="C23" i="12"/>
  <c r="C14" i="12"/>
  <c r="C16" i="12" s="1"/>
  <c r="H19" i="6"/>
  <c r="L19" i="9" s="1"/>
  <c r="S19" i="6"/>
  <c r="S27" i="6" s="1"/>
  <c r="I27" i="6"/>
  <c r="C19" i="68"/>
  <c r="C19" i="69"/>
  <c r="C24" i="69" s="1"/>
  <c r="D37" i="69"/>
  <c r="C37" i="69" s="1"/>
  <c r="C33" i="69" s="1"/>
  <c r="I69" i="39"/>
  <c r="J67" i="39"/>
  <c r="I63" i="40"/>
  <c r="H65" i="40"/>
  <c r="I58" i="21"/>
  <c r="J58" i="21" s="1"/>
  <c r="K58" i="21" s="1"/>
  <c r="L58" i="21" s="1"/>
  <c r="M58" i="21" s="1"/>
  <c r="N58" i="21" s="1"/>
  <c r="O58" i="21" s="1"/>
  <c r="H7" i="21" s="1"/>
  <c r="J48" i="35"/>
  <c r="U16" i="71" l="1"/>
  <c r="M23" i="96"/>
  <c r="M23" i="99"/>
  <c r="C33" i="98"/>
  <c r="C39" i="98" s="1"/>
  <c r="I6" i="6"/>
  <c r="G3" i="43" s="1"/>
  <c r="G26" i="43" s="1"/>
  <c r="C19" i="85"/>
  <c r="C20" i="85" s="1"/>
  <c r="C26" i="85" s="1"/>
  <c r="C26" i="86"/>
  <c r="C29" i="86" s="1"/>
  <c r="C8" i="68"/>
  <c r="C18" i="12"/>
  <c r="C21" i="12" s="1"/>
  <c r="B116" i="43"/>
  <c r="N370" i="4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Z7" i="43" l="1"/>
  <c r="C42" i="98"/>
  <c r="F26" i="43"/>
  <c r="H26" i="43"/>
  <c r="N94" i="46"/>
  <c r="E26" i="43"/>
  <c r="J26" i="43"/>
  <c r="C46" i="98"/>
  <c r="C45" i="98" s="1"/>
  <c r="C43" i="98"/>
  <c r="C23" i="85"/>
  <c r="C29" i="85" s="1"/>
  <c r="C36" i="86"/>
  <c r="Q49" i="86"/>
  <c r="C13" i="86"/>
  <c r="J59" i="86"/>
  <c r="J60" i="86" s="1"/>
  <c r="C57" i="86"/>
  <c r="C64" i="86" s="1"/>
  <c r="J14" i="86"/>
  <c r="C22" i="12"/>
  <c r="C30" i="12" s="1"/>
  <c r="C28" i="12"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85"/>
  <c r="F35" i="67"/>
  <c r="M21" i="86"/>
  <c r="M21" i="67"/>
  <c r="M21" i="85"/>
  <c r="M21" i="15"/>
  <c r="F35" i="86"/>
  <c r="E48" i="21" l="1"/>
  <c r="D26" i="43"/>
  <c r="C25" i="43" s="1"/>
  <c r="C33" i="43" s="1"/>
  <c r="C41" i="98"/>
  <c r="C49" i="98" s="1"/>
  <c r="C51" i="98" s="1"/>
  <c r="Q48" i="86"/>
  <c r="L46" i="86"/>
  <c r="C36" i="85"/>
  <c r="J14" i="85"/>
  <c r="Q49" i="85"/>
  <c r="C57" i="85"/>
  <c r="C64" i="85" s="1"/>
  <c r="C13" i="85"/>
  <c r="J59" i="85"/>
  <c r="J60" i="85" s="1"/>
  <c r="C37" i="86"/>
  <c r="C56" i="86"/>
  <c r="C65" i="86" s="1"/>
  <c r="Q70" i="86"/>
  <c r="C75" i="86"/>
  <c r="J13" i="86"/>
  <c r="J23" i="86" s="1"/>
  <c r="J22" i="86"/>
  <c r="C34" i="86"/>
  <c r="C31" i="86" s="1"/>
  <c r="F63" i="86"/>
  <c r="C62" i="86" s="1"/>
  <c r="C59" i="86" s="1"/>
  <c r="J20" i="86"/>
  <c r="J17" i="86" s="1"/>
  <c r="C34" i="85"/>
  <c r="C31" i="85" s="1"/>
  <c r="F63" i="85"/>
  <c r="C62" i="85" s="1"/>
  <c r="C59" i="85" s="1"/>
  <c r="J20" i="85"/>
  <c r="J17" i="85" s="1"/>
  <c r="C27" i="12"/>
  <c r="C25" i="12" s="1"/>
  <c r="C32" i="12" s="1"/>
  <c r="B2" i="12" s="1"/>
  <c r="B3" i="12" s="1"/>
  <c r="C118" i="43"/>
  <c r="D116" i="43" s="1"/>
  <c r="E33" i="43"/>
  <c r="C30" i="43" s="1"/>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5"/>
  <c r="E6" i="76"/>
  <c r="C30" i="86" l="1"/>
  <c r="C39" i="86" s="1"/>
  <c r="C40" i="86" s="1"/>
  <c r="C58" i="86"/>
  <c r="C67" i="86" s="1"/>
  <c r="C68" i="86" s="1"/>
  <c r="C71" i="86" s="1"/>
  <c r="C102" i="95"/>
  <c r="C21" i="95"/>
  <c r="J16" i="86"/>
  <c r="J25" i="86" s="1"/>
  <c r="L46" i="85"/>
  <c r="Q48" i="85"/>
  <c r="J13" i="85"/>
  <c r="J23" i="85" s="1"/>
  <c r="J22" i="85"/>
  <c r="C75" i="85"/>
  <c r="C37" i="85"/>
  <c r="C30" i="85" s="1"/>
  <c r="C39" i="85" s="1"/>
  <c r="C56" i="85"/>
  <c r="C65" i="85" s="1"/>
  <c r="C58" i="85" s="1"/>
  <c r="C67" i="85" s="1"/>
  <c r="C68" i="85" s="1"/>
  <c r="C71" i="85" s="1"/>
  <c r="Q70" i="85"/>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B3" i="69"/>
  <c r="L51" i="86"/>
  <c r="D2" i="21"/>
  <c r="B6" i="76"/>
  <c r="C80" i="86" l="1"/>
  <c r="C79" i="86" s="1"/>
  <c r="Q69" i="86"/>
  <c r="Q68" i="86" s="1"/>
  <c r="C6" i="68"/>
  <c r="C7" i="68" s="1"/>
  <c r="C5" i="68" s="1"/>
  <c r="J16" i="85"/>
  <c r="J25" i="85" s="1"/>
  <c r="Q69" i="85"/>
  <c r="Q68" i="85" s="1"/>
  <c r="C40" i="85"/>
  <c r="Q65" i="85" s="1"/>
  <c r="Q75" i="85" s="1"/>
  <c r="C80" i="85"/>
  <c r="C79" i="85" s="1"/>
  <c r="Q67" i="86"/>
  <c r="Q47" i="86"/>
  <c r="Q53" i="86" s="1"/>
  <c r="B2" i="86"/>
  <c r="B3" i="86" s="1"/>
  <c r="Q65" i="86"/>
  <c r="Q75" i="86" s="1"/>
  <c r="Q56" i="86"/>
  <c r="Q62" i="86" s="1"/>
  <c r="C43" i="86"/>
  <c r="C83" i="86"/>
  <c r="C82" i="86" s="1"/>
  <c r="C46" i="86"/>
  <c r="Q67" i="85"/>
  <c r="B2" i="76"/>
  <c r="B3" i="76" s="1"/>
  <c r="B3"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C20" i="95"/>
  <c r="L51" i="67"/>
  <c r="Q69" i="15" l="1"/>
  <c r="Q68" i="15" s="1"/>
  <c r="I39" i="15"/>
  <c r="C103" i="95"/>
  <c r="C7" i="98"/>
  <c r="C5" i="98" s="1"/>
  <c r="C43" i="85"/>
  <c r="Q56" i="85"/>
  <c r="Q62" i="85" s="1"/>
  <c r="B2" i="85"/>
  <c r="B3" i="85" s="1"/>
  <c r="C46" i="85"/>
  <c r="C83" i="85"/>
  <c r="C82" i="85" s="1"/>
  <c r="Q47" i="85"/>
  <c r="Q53" i="85" s="1"/>
  <c r="C23" i="68"/>
  <c r="C20"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19" i="95"/>
  <c r="D2" i="36"/>
  <c r="D2" i="37"/>
  <c r="I19" i="95" l="1"/>
  <c r="J19" i="95" s="1"/>
  <c r="C23" i="98"/>
  <c r="C20" i="98"/>
  <c r="C25" i="98" s="1"/>
  <c r="D102" i="95"/>
  <c r="D21" i="95"/>
  <c r="D22" i="95"/>
  <c r="G19" i="95"/>
  <c r="C28" i="68"/>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1" i="1"/>
  <c r="D20" i="95"/>
  <c r="AO9" i="1"/>
  <c r="AO10" i="1"/>
  <c r="R24" i="97" l="1"/>
  <c r="R25" i="97" s="1"/>
  <c r="G21" i="95"/>
  <c r="R46" i="97"/>
  <c r="R58" i="97"/>
  <c r="R62" i="97"/>
  <c r="R74" i="97"/>
  <c r="R78" i="97"/>
  <c r="R90" i="97"/>
  <c r="R94" i="97"/>
  <c r="R106" i="97"/>
  <c r="R110" i="97"/>
  <c r="R122" i="97"/>
  <c r="R126" i="97"/>
  <c r="R138" i="97"/>
  <c r="R142" i="97"/>
  <c r="R154" i="97"/>
  <c r="R158" i="97"/>
  <c r="R170" i="97"/>
  <c r="R174" i="97"/>
  <c r="R186" i="97"/>
  <c r="R190" i="97"/>
  <c r="R202" i="97"/>
  <c r="R206" i="97"/>
  <c r="R218" i="97"/>
  <c r="R222" i="97"/>
  <c r="R234" i="97"/>
  <c r="R238" i="97"/>
  <c r="R250" i="97"/>
  <c r="R254" i="97"/>
  <c r="R266" i="97"/>
  <c r="R270" i="97"/>
  <c r="R282" i="97"/>
  <c r="R286" i="97"/>
  <c r="R298" i="97"/>
  <c r="R302" i="97"/>
  <c r="R314" i="97"/>
  <c r="R318" i="97"/>
  <c r="R330" i="97"/>
  <c r="R334" i="97"/>
  <c r="R346" i="97"/>
  <c r="R350" i="97"/>
  <c r="R362" i="97"/>
  <c r="R27" i="97"/>
  <c r="R39" i="97"/>
  <c r="R43" i="97"/>
  <c r="R55" i="97"/>
  <c r="R59" i="97"/>
  <c r="R71" i="97"/>
  <c r="R75" i="97"/>
  <c r="R87" i="97"/>
  <c r="R91" i="97"/>
  <c r="R103" i="97"/>
  <c r="R107" i="97"/>
  <c r="R119" i="97"/>
  <c r="R123" i="97"/>
  <c r="R135" i="97"/>
  <c r="R139" i="97"/>
  <c r="R151" i="97"/>
  <c r="R155" i="97"/>
  <c r="R167" i="97"/>
  <c r="R171" i="97"/>
  <c r="R183" i="97"/>
  <c r="R187" i="97"/>
  <c r="R199" i="97"/>
  <c r="R203" i="97"/>
  <c r="R215" i="97"/>
  <c r="R219" i="97"/>
  <c r="R231" i="97"/>
  <c r="R235" i="97"/>
  <c r="R247" i="97"/>
  <c r="R251" i="97"/>
  <c r="R263" i="97"/>
  <c r="R267" i="97"/>
  <c r="R279" i="97"/>
  <c r="R283" i="97"/>
  <c r="R295" i="97"/>
  <c r="R299" i="97"/>
  <c r="R311" i="97"/>
  <c r="R315" i="97"/>
  <c r="R327" i="97"/>
  <c r="R331" i="97"/>
  <c r="R343" i="97"/>
  <c r="R347" i="97"/>
  <c r="R359" i="97"/>
  <c r="R363" i="97"/>
  <c r="R36" i="97"/>
  <c r="R40" i="97"/>
  <c r="R52" i="97"/>
  <c r="R56" i="97"/>
  <c r="R68" i="97"/>
  <c r="R72" i="97"/>
  <c r="R84" i="97"/>
  <c r="R88" i="97"/>
  <c r="R100" i="97"/>
  <c r="R104" i="97"/>
  <c r="R116" i="97"/>
  <c r="R120" i="97"/>
  <c r="R132" i="97"/>
  <c r="R136" i="97"/>
  <c r="R148" i="97"/>
  <c r="R152" i="97"/>
  <c r="R164" i="97"/>
  <c r="R168" i="97"/>
  <c r="R180" i="97"/>
  <c r="R184" i="97"/>
  <c r="R196" i="97"/>
  <c r="R200" i="97"/>
  <c r="R212" i="97"/>
  <c r="R216" i="97"/>
  <c r="R228" i="97"/>
  <c r="R232" i="97"/>
  <c r="R244" i="97"/>
  <c r="R248" i="97"/>
  <c r="R260" i="97"/>
  <c r="R264" i="97"/>
  <c r="R276" i="97"/>
  <c r="R280" i="97"/>
  <c r="R292" i="97"/>
  <c r="R296" i="97"/>
  <c r="R308" i="97"/>
  <c r="R312" i="97"/>
  <c r="R324" i="97"/>
  <c r="R328" i="97"/>
  <c r="R340" i="97"/>
  <c r="R344" i="97"/>
  <c r="R356" i="97"/>
  <c r="R360" i="97"/>
  <c r="R45" i="97"/>
  <c r="R61" i="97"/>
  <c r="R109" i="97"/>
  <c r="R125" i="97"/>
  <c r="R173" i="97"/>
  <c r="R189" i="97"/>
  <c r="R237" i="97"/>
  <c r="R253" i="97"/>
  <c r="R301" i="97"/>
  <c r="R317" i="97"/>
  <c r="R365" i="97"/>
  <c r="R369" i="97"/>
  <c r="R381" i="97"/>
  <c r="R385" i="97"/>
  <c r="R397" i="97"/>
  <c r="R401" i="97"/>
  <c r="R413" i="97"/>
  <c r="R417" i="97"/>
  <c r="R429" i="97"/>
  <c r="R433" i="97"/>
  <c r="R445" i="97"/>
  <c r="R449" i="97"/>
  <c r="R461" i="97"/>
  <c r="R465" i="97"/>
  <c r="R477" i="97"/>
  <c r="R481" i="97"/>
  <c r="R493" i="97"/>
  <c r="R497" i="97"/>
  <c r="R509" i="97"/>
  <c r="R513" i="97"/>
  <c r="R525" i="97"/>
  <c r="R529" i="97"/>
  <c r="R541" i="97"/>
  <c r="R545" i="97"/>
  <c r="R557" i="97"/>
  <c r="R561" i="97"/>
  <c r="R573" i="97"/>
  <c r="R577" i="97"/>
  <c r="R589" i="97"/>
  <c r="R593" i="97"/>
  <c r="R605" i="97"/>
  <c r="R609" i="97"/>
  <c r="R617" i="97"/>
  <c r="R621" i="97"/>
  <c r="R625" i="97"/>
  <c r="R629" i="97"/>
  <c r="R633" i="97"/>
  <c r="R637" i="97"/>
  <c r="R641" i="97"/>
  <c r="R645" i="97"/>
  <c r="R649" i="97"/>
  <c r="R653" i="97"/>
  <c r="R657" i="97"/>
  <c r="R661" i="97"/>
  <c r="R665" i="97"/>
  <c r="R669" i="97"/>
  <c r="R673" i="97"/>
  <c r="R677" i="97"/>
  <c r="R681" i="97"/>
  <c r="R685" i="97"/>
  <c r="R689" i="97"/>
  <c r="R693" i="97"/>
  <c r="R697" i="97"/>
  <c r="R701" i="97"/>
  <c r="R705" i="97"/>
  <c r="R709" i="97"/>
  <c r="R713" i="97"/>
  <c r="R717" i="97"/>
  <c r="R721" i="97"/>
  <c r="R725" i="97"/>
  <c r="R729" i="97"/>
  <c r="R733" i="97"/>
  <c r="R737" i="97"/>
  <c r="R741" i="97"/>
  <c r="R745" i="97"/>
  <c r="R749" i="97"/>
  <c r="R753" i="97"/>
  <c r="R757" i="97"/>
  <c r="R761" i="97"/>
  <c r="R765" i="97"/>
  <c r="R769" i="97"/>
  <c r="R73" i="97"/>
  <c r="R121" i="97"/>
  <c r="R185" i="97"/>
  <c r="R233" i="97"/>
  <c r="R297" i="97"/>
  <c r="R329" i="97"/>
  <c r="R376" i="97"/>
  <c r="R388" i="97"/>
  <c r="R404" i="97"/>
  <c r="R416" i="97"/>
  <c r="R432" i="97"/>
  <c r="R444" i="97"/>
  <c r="R464" i="97"/>
  <c r="R484" i="97"/>
  <c r="R500" i="97"/>
  <c r="R516" i="97"/>
  <c r="R532" i="97"/>
  <c r="R544" i="97"/>
  <c r="R560" i="97"/>
  <c r="R576" i="97"/>
  <c r="R592" i="97"/>
  <c r="R604" i="97"/>
  <c r="R616" i="97"/>
  <c r="R632" i="97"/>
  <c r="R648" i="97"/>
  <c r="R664" i="97"/>
  <c r="R680" i="97"/>
  <c r="R692" i="97"/>
  <c r="R712" i="97"/>
  <c r="R728" i="97"/>
  <c r="R740" i="97"/>
  <c r="R760" i="97"/>
  <c r="R772" i="97"/>
  <c r="R33" i="97"/>
  <c r="R49" i="97"/>
  <c r="R65" i="97"/>
  <c r="R81" i="97"/>
  <c r="R97" i="97"/>
  <c r="R113" i="97"/>
  <c r="R129" i="97"/>
  <c r="R145" i="97"/>
  <c r="R161" i="97"/>
  <c r="R177" i="97"/>
  <c r="R193" i="97"/>
  <c r="R209" i="97"/>
  <c r="R225" i="97"/>
  <c r="R241" i="97"/>
  <c r="R257" i="97"/>
  <c r="R273" i="97"/>
  <c r="R289" i="97"/>
  <c r="R305" i="97"/>
  <c r="R321" i="97"/>
  <c r="R337" i="97"/>
  <c r="R353" i="97"/>
  <c r="R366" i="97"/>
  <c r="R370" i="97"/>
  <c r="R374" i="97"/>
  <c r="R378" i="97"/>
  <c r="R382" i="97"/>
  <c r="R386" i="97"/>
  <c r="R390" i="97"/>
  <c r="R394" i="97"/>
  <c r="R398" i="97"/>
  <c r="R402" i="97"/>
  <c r="R406" i="97"/>
  <c r="R410" i="97"/>
  <c r="R414" i="97"/>
  <c r="R418" i="97"/>
  <c r="R422" i="97"/>
  <c r="R426" i="97"/>
  <c r="R430" i="97"/>
  <c r="R434" i="97"/>
  <c r="R438" i="97"/>
  <c r="R442" i="97"/>
  <c r="R446" i="97"/>
  <c r="R450" i="97"/>
  <c r="R454" i="97"/>
  <c r="R458" i="97"/>
  <c r="R462" i="97"/>
  <c r="R466" i="97"/>
  <c r="R470" i="97"/>
  <c r="R474" i="97"/>
  <c r="R478" i="97"/>
  <c r="R482" i="97"/>
  <c r="R486" i="97"/>
  <c r="R490" i="97"/>
  <c r="R494" i="97"/>
  <c r="R498" i="97"/>
  <c r="R502" i="97"/>
  <c r="R506" i="97"/>
  <c r="R510" i="97"/>
  <c r="R514" i="97"/>
  <c r="R518" i="97"/>
  <c r="R522" i="97"/>
  <c r="R526" i="97"/>
  <c r="R530" i="97"/>
  <c r="R534" i="97"/>
  <c r="R538" i="97"/>
  <c r="R542" i="97"/>
  <c r="R546" i="97"/>
  <c r="R550" i="97"/>
  <c r="R554" i="97"/>
  <c r="R558" i="97"/>
  <c r="R562" i="97"/>
  <c r="R566" i="97"/>
  <c r="R570" i="97"/>
  <c r="R574" i="97"/>
  <c r="R578" i="97"/>
  <c r="R582" i="97"/>
  <c r="R586" i="97"/>
  <c r="R590" i="97"/>
  <c r="R594" i="97"/>
  <c r="R598" i="97"/>
  <c r="R602" i="97"/>
  <c r="R606" i="97"/>
  <c r="R610" i="97"/>
  <c r="R614" i="97"/>
  <c r="R618" i="97"/>
  <c r="R622" i="97"/>
  <c r="R626" i="97"/>
  <c r="R630" i="97"/>
  <c r="R634" i="97"/>
  <c r="R638" i="97"/>
  <c r="R642" i="97"/>
  <c r="R646" i="97"/>
  <c r="R650" i="97"/>
  <c r="R654" i="97"/>
  <c r="R658" i="97"/>
  <c r="R662" i="97"/>
  <c r="R666" i="97"/>
  <c r="R670" i="97"/>
  <c r="R674" i="97"/>
  <c r="R678" i="97"/>
  <c r="R682" i="97"/>
  <c r="R686" i="97"/>
  <c r="R690" i="97"/>
  <c r="R694" i="97"/>
  <c r="R698" i="97"/>
  <c r="R702" i="97"/>
  <c r="R706" i="97"/>
  <c r="R710" i="97"/>
  <c r="R714" i="97"/>
  <c r="R718" i="97"/>
  <c r="R722" i="97"/>
  <c r="R726" i="97"/>
  <c r="R730" i="97"/>
  <c r="R734" i="97"/>
  <c r="R738" i="97"/>
  <c r="R742" i="97"/>
  <c r="R746" i="97"/>
  <c r="R750" i="97"/>
  <c r="R754" i="97"/>
  <c r="R758" i="97"/>
  <c r="R762" i="97"/>
  <c r="R766" i="97"/>
  <c r="R770" i="97"/>
  <c r="R41" i="97"/>
  <c r="R153" i="97"/>
  <c r="R201" i="97"/>
  <c r="R249" i="97"/>
  <c r="R281" i="97"/>
  <c r="R345" i="97"/>
  <c r="R372" i="97"/>
  <c r="R384" i="97"/>
  <c r="R396" i="97"/>
  <c r="R412" i="97"/>
  <c r="R424" i="97"/>
  <c r="R436" i="97"/>
  <c r="R448" i="97"/>
  <c r="R460" i="97"/>
  <c r="R476" i="97"/>
  <c r="R480" i="97"/>
  <c r="R496" i="97"/>
  <c r="R512" i="97"/>
  <c r="R528" i="97"/>
  <c r="R540" i="97"/>
  <c r="R556" i="97"/>
  <c r="R572" i="97"/>
  <c r="R588" i="97"/>
  <c r="R612" i="97"/>
  <c r="R628" i="97"/>
  <c r="R644" i="97"/>
  <c r="R656" i="97"/>
  <c r="R672" i="97"/>
  <c r="R696" i="97"/>
  <c r="R708" i="97"/>
  <c r="R720" i="97"/>
  <c r="R736" i="97"/>
  <c r="R752" i="97"/>
  <c r="R768" i="97"/>
  <c r="R37" i="97"/>
  <c r="R53" i="97"/>
  <c r="R69" i="97"/>
  <c r="R85" i="97"/>
  <c r="R101" i="97"/>
  <c r="R117" i="97"/>
  <c r="R133" i="97"/>
  <c r="R149" i="97"/>
  <c r="R165" i="97"/>
  <c r="R181" i="97"/>
  <c r="R197" i="97"/>
  <c r="R213" i="97"/>
  <c r="R229" i="97"/>
  <c r="R245" i="97"/>
  <c r="R261" i="97"/>
  <c r="R277" i="97"/>
  <c r="R293" i="97"/>
  <c r="R309" i="97"/>
  <c r="R325" i="97"/>
  <c r="R341" i="97"/>
  <c r="R357" i="97"/>
  <c r="R367" i="97"/>
  <c r="R371" i="97"/>
  <c r="R375" i="97"/>
  <c r="R379" i="97"/>
  <c r="R383" i="97"/>
  <c r="R387" i="97"/>
  <c r="R391" i="97"/>
  <c r="R395" i="97"/>
  <c r="R399" i="97"/>
  <c r="R403" i="97"/>
  <c r="R407" i="97"/>
  <c r="R411" i="97"/>
  <c r="R415" i="97"/>
  <c r="R419" i="97"/>
  <c r="R423" i="97"/>
  <c r="R427" i="97"/>
  <c r="R431" i="97"/>
  <c r="R435" i="97"/>
  <c r="R439" i="97"/>
  <c r="R443" i="97"/>
  <c r="R447" i="97"/>
  <c r="R451" i="97"/>
  <c r="R455" i="97"/>
  <c r="R459" i="97"/>
  <c r="R463" i="97"/>
  <c r="R467" i="97"/>
  <c r="R471" i="97"/>
  <c r="R475" i="97"/>
  <c r="R479" i="97"/>
  <c r="R483" i="97"/>
  <c r="R487" i="97"/>
  <c r="R491" i="97"/>
  <c r="R495" i="97"/>
  <c r="R499" i="97"/>
  <c r="R503" i="97"/>
  <c r="R507" i="97"/>
  <c r="R511" i="97"/>
  <c r="R515" i="97"/>
  <c r="R519" i="97"/>
  <c r="R523" i="97"/>
  <c r="R527" i="97"/>
  <c r="R531" i="97"/>
  <c r="R535" i="97"/>
  <c r="R539" i="97"/>
  <c r="R543" i="97"/>
  <c r="R547" i="97"/>
  <c r="R551" i="97"/>
  <c r="R555" i="97"/>
  <c r="R559" i="97"/>
  <c r="R563" i="97"/>
  <c r="R567" i="97"/>
  <c r="R571" i="97"/>
  <c r="R575" i="97"/>
  <c r="R579" i="97"/>
  <c r="R583" i="97"/>
  <c r="R587" i="97"/>
  <c r="R591" i="97"/>
  <c r="R595" i="97"/>
  <c r="R599" i="97"/>
  <c r="R603" i="97"/>
  <c r="R607" i="97"/>
  <c r="R611" i="97"/>
  <c r="R615" i="97"/>
  <c r="R619" i="97"/>
  <c r="R623" i="97"/>
  <c r="R627" i="97"/>
  <c r="R631" i="97"/>
  <c r="R635" i="97"/>
  <c r="R639" i="97"/>
  <c r="R643" i="97"/>
  <c r="R647" i="97"/>
  <c r="R651" i="97"/>
  <c r="R655" i="97"/>
  <c r="R659" i="97"/>
  <c r="R663" i="97"/>
  <c r="R667" i="97"/>
  <c r="R671" i="97"/>
  <c r="R675" i="97"/>
  <c r="R679" i="97"/>
  <c r="R683" i="97"/>
  <c r="R687" i="97"/>
  <c r="R691" i="97"/>
  <c r="R695" i="97"/>
  <c r="R699" i="97"/>
  <c r="R703" i="97"/>
  <c r="R707" i="97"/>
  <c r="R711" i="97"/>
  <c r="R715" i="97"/>
  <c r="R719" i="97"/>
  <c r="R723" i="97"/>
  <c r="R727" i="97"/>
  <c r="R731" i="97"/>
  <c r="R735" i="97"/>
  <c r="R739" i="97"/>
  <c r="R743" i="97"/>
  <c r="R747" i="97"/>
  <c r="R751" i="97"/>
  <c r="R755" i="97"/>
  <c r="R759" i="97"/>
  <c r="R763" i="97"/>
  <c r="R767" i="97"/>
  <c r="R771" i="97"/>
  <c r="R57" i="97"/>
  <c r="R105" i="97"/>
  <c r="R137" i="97"/>
  <c r="R169" i="97"/>
  <c r="R217" i="97"/>
  <c r="R265" i="97"/>
  <c r="R313" i="97"/>
  <c r="R368" i="97"/>
  <c r="R380" i="97"/>
  <c r="R392" i="97"/>
  <c r="R408" i="97"/>
  <c r="R420" i="97"/>
  <c r="R440" i="97"/>
  <c r="R456" i="97"/>
  <c r="R472" i="97"/>
  <c r="R488" i="97"/>
  <c r="R504" i="97"/>
  <c r="R520" i="97"/>
  <c r="R536" i="97"/>
  <c r="R552" i="97"/>
  <c r="R568" i="97"/>
  <c r="R584" i="97"/>
  <c r="R596" i="97"/>
  <c r="R608" i="97"/>
  <c r="R624" i="97"/>
  <c r="R640" i="97"/>
  <c r="R660" i="97"/>
  <c r="R676" i="97"/>
  <c r="R688" i="97"/>
  <c r="R704" i="97"/>
  <c r="R724" i="97"/>
  <c r="R744" i="97"/>
  <c r="R756" i="97"/>
  <c r="R89" i="97"/>
  <c r="R361" i="97"/>
  <c r="R400" i="97"/>
  <c r="R428" i="97"/>
  <c r="R452" i="97"/>
  <c r="R468" i="97"/>
  <c r="R492" i="97"/>
  <c r="R508" i="97"/>
  <c r="R524" i="97"/>
  <c r="R548" i="97"/>
  <c r="R564" i="97"/>
  <c r="R580" i="97"/>
  <c r="R600" i="97"/>
  <c r="R620" i="97"/>
  <c r="R636" i="97"/>
  <c r="R652" i="97"/>
  <c r="R668" i="97"/>
  <c r="R684" i="97"/>
  <c r="R700" i="97"/>
  <c r="R716" i="97"/>
  <c r="R732" i="97"/>
  <c r="R748" i="97"/>
  <c r="R764" i="97"/>
  <c r="X22" i="97"/>
  <c r="X23" i="97" s="1"/>
  <c r="Y23" i="97" s="1"/>
  <c r="C22" i="98"/>
  <c r="C28" i="98"/>
  <c r="C27" i="98" s="1"/>
  <c r="D103" i="95"/>
  <c r="G20" i="95"/>
  <c r="C31" i="68"/>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D19" i="9"/>
  <c r="AO6" i="1"/>
  <c r="C19" i="9"/>
  <c r="R42" i="97" l="1"/>
  <c r="R26" i="97"/>
  <c r="R34" i="97"/>
  <c r="R50" i="97"/>
  <c r="R66" i="97"/>
  <c r="R82" i="97"/>
  <c r="R98" i="97"/>
  <c r="R114" i="97"/>
  <c r="R130" i="97"/>
  <c r="R146" i="97"/>
  <c r="R162" i="97"/>
  <c r="R178" i="97"/>
  <c r="R194" i="97"/>
  <c r="R210" i="97"/>
  <c r="R226" i="97"/>
  <c r="R242" i="97"/>
  <c r="R258" i="97"/>
  <c r="R274" i="97"/>
  <c r="R290" i="97"/>
  <c r="R306" i="97"/>
  <c r="R322" i="97"/>
  <c r="R338" i="97"/>
  <c r="R354" i="97"/>
  <c r="R31" i="97"/>
  <c r="R47" i="97"/>
  <c r="R63" i="97"/>
  <c r="R79" i="97"/>
  <c r="R95" i="97"/>
  <c r="R111" i="97"/>
  <c r="R127" i="97"/>
  <c r="R143" i="97"/>
  <c r="R159" i="97"/>
  <c r="R175" i="97"/>
  <c r="R191" i="97"/>
  <c r="R207" i="97"/>
  <c r="R223" i="97"/>
  <c r="R239" i="97"/>
  <c r="R255" i="97"/>
  <c r="R271" i="97"/>
  <c r="R287" i="97"/>
  <c r="R303" i="97"/>
  <c r="R319" i="97"/>
  <c r="R335" i="97"/>
  <c r="R351" i="97"/>
  <c r="R28" i="97"/>
  <c r="R44" i="97"/>
  <c r="R60" i="97"/>
  <c r="R76" i="97"/>
  <c r="R92" i="97"/>
  <c r="R108" i="97"/>
  <c r="R124" i="97"/>
  <c r="R140" i="97"/>
  <c r="R156" i="97"/>
  <c r="R172" i="97"/>
  <c r="R188" i="97"/>
  <c r="R204" i="97"/>
  <c r="R220" i="97"/>
  <c r="R236" i="97"/>
  <c r="R252" i="97"/>
  <c r="R268" i="97"/>
  <c r="R284" i="97"/>
  <c r="R300" i="97"/>
  <c r="R316" i="97"/>
  <c r="R332" i="97"/>
  <c r="R348" i="97"/>
  <c r="R364" i="97"/>
  <c r="R77" i="97"/>
  <c r="R141" i="97"/>
  <c r="R205" i="97"/>
  <c r="R269" i="97"/>
  <c r="R333" i="97"/>
  <c r="R373" i="97"/>
  <c r="R389" i="97"/>
  <c r="R405" i="97"/>
  <c r="R421" i="97"/>
  <c r="R437" i="97"/>
  <c r="R453" i="97"/>
  <c r="R469" i="97"/>
  <c r="R485" i="97"/>
  <c r="R501" i="97"/>
  <c r="R517" i="97"/>
  <c r="R533" i="97"/>
  <c r="R549" i="97"/>
  <c r="R565" i="97"/>
  <c r="R581" i="97"/>
  <c r="R597" i="97"/>
  <c r="R613" i="97"/>
  <c r="R30" i="97"/>
  <c r="R38" i="97"/>
  <c r="R54" i="97"/>
  <c r="R70" i="97"/>
  <c r="R86" i="97"/>
  <c r="R102" i="97"/>
  <c r="R118" i="97"/>
  <c r="R134" i="97"/>
  <c r="R150" i="97"/>
  <c r="R166" i="97"/>
  <c r="R182" i="97"/>
  <c r="R198" i="97"/>
  <c r="R214" i="97"/>
  <c r="R230" i="97"/>
  <c r="R246" i="97"/>
  <c r="R262" i="97"/>
  <c r="R278" i="97"/>
  <c r="R294" i="97"/>
  <c r="R310" i="97"/>
  <c r="R326" i="97"/>
  <c r="R342" i="97"/>
  <c r="R358" i="97"/>
  <c r="R35" i="97"/>
  <c r="R51" i="97"/>
  <c r="R67" i="97"/>
  <c r="R83" i="97"/>
  <c r="R99" i="97"/>
  <c r="R115" i="97"/>
  <c r="R131" i="97"/>
  <c r="R147" i="97"/>
  <c r="R163" i="97"/>
  <c r="R179" i="97"/>
  <c r="R195" i="97"/>
  <c r="R211" i="97"/>
  <c r="R227" i="97"/>
  <c r="R243" i="97"/>
  <c r="R259" i="97"/>
  <c r="R275" i="97"/>
  <c r="R291" i="97"/>
  <c r="R307" i="97"/>
  <c r="R323" i="97"/>
  <c r="R339" i="97"/>
  <c r="R355" i="97"/>
  <c r="R32" i="97"/>
  <c r="R48" i="97"/>
  <c r="R64" i="97"/>
  <c r="R80" i="97"/>
  <c r="R96" i="97"/>
  <c r="R112" i="97"/>
  <c r="R128" i="97"/>
  <c r="R144" i="97"/>
  <c r="R160" i="97"/>
  <c r="R176" i="97"/>
  <c r="R192" i="97"/>
  <c r="R208" i="97"/>
  <c r="R224" i="97"/>
  <c r="R240" i="97"/>
  <c r="R256" i="97"/>
  <c r="R272" i="97"/>
  <c r="R288" i="97"/>
  <c r="R304" i="97"/>
  <c r="R320" i="97"/>
  <c r="R336" i="97"/>
  <c r="R352" i="97"/>
  <c r="R29" i="97"/>
  <c r="R93" i="97"/>
  <c r="R157" i="97"/>
  <c r="R221" i="97"/>
  <c r="R285" i="97"/>
  <c r="R349" i="97"/>
  <c r="R377" i="97"/>
  <c r="R393" i="97"/>
  <c r="R409" i="97"/>
  <c r="R425" i="97"/>
  <c r="R441" i="97"/>
  <c r="R457" i="97"/>
  <c r="R473" i="97"/>
  <c r="R489" i="97"/>
  <c r="R505" i="97"/>
  <c r="R521" i="97"/>
  <c r="R537" i="97"/>
  <c r="R553" i="97"/>
  <c r="R569" i="97"/>
  <c r="R585" i="97"/>
  <c r="R601" i="97"/>
  <c r="Y22" i="97"/>
  <c r="I20" i="95"/>
  <c r="C31" i="98"/>
  <c r="C52" i="98" s="1"/>
  <c r="B2" i="98" s="1"/>
  <c r="C32" i="95"/>
  <c r="C35" i="95" s="1"/>
  <c r="C34" i="95" s="1"/>
  <c r="B6" i="70"/>
  <c r="B2" i="70" s="1"/>
  <c r="B3" i="70" s="1"/>
  <c r="C57" i="68"/>
  <c r="C56" i="68" s="1"/>
  <c r="C102" i="9"/>
  <c r="C21" i="9"/>
  <c r="D102" i="9"/>
  <c r="D21" i="9"/>
  <c r="G19" i="9"/>
  <c r="E37" i="6" s="1"/>
  <c r="G37" i="6" s="1"/>
  <c r="G36" i="6" s="1"/>
  <c r="D22"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20" i="9"/>
  <c r="C19" i="87"/>
  <c r="D19" i="87"/>
  <c r="B3" i="98"/>
  <c r="R22" i="97" l="1"/>
  <c r="S22" i="97" s="1"/>
  <c r="Y24" i="97"/>
  <c r="C102" i="87"/>
  <c r="C21" i="87"/>
  <c r="C103" i="9"/>
  <c r="D102" i="87"/>
  <c r="D21" i="87"/>
  <c r="G19" i="87"/>
  <c r="G21" i="87" s="1"/>
  <c r="D22" i="87"/>
  <c r="C57" i="98"/>
  <c r="C56" i="98" s="1"/>
  <c r="G21" i="9"/>
  <c r="F14" i="74" s="1"/>
  <c r="D14" i="74"/>
  <c r="G14" i="74" s="1"/>
  <c r="S24" i="97"/>
  <c r="D103" i="9"/>
  <c r="G20" i="9"/>
  <c r="C32" i="9" s="1"/>
  <c r="C35" i="9" s="1"/>
  <c r="C34" i="9" s="1"/>
  <c r="D6" i="71"/>
  <c r="C5" i="71"/>
  <c r="C42" i="40"/>
  <c r="C43" i="40"/>
  <c r="E47" i="40"/>
  <c r="F47" i="40" s="1"/>
  <c r="E46" i="40"/>
  <c r="F46" i="40" s="1"/>
  <c r="I47" i="40"/>
  <c r="J47" i="40" s="1"/>
  <c r="D20" i="87"/>
  <c r="C20" i="87"/>
  <c r="D16" i="74" l="1"/>
  <c r="D5" i="71"/>
  <c r="M24" i="43" s="1"/>
  <c r="M24" i="99"/>
  <c r="M24" i="96"/>
  <c r="C103" i="87"/>
  <c r="D103" i="87"/>
  <c r="G20" i="87"/>
  <c r="S128" i="97"/>
  <c r="S123" i="97"/>
  <c r="S125" i="97"/>
  <c r="S54" i="97"/>
  <c r="S31" i="97"/>
  <c r="S194" i="97"/>
  <c r="S178" i="97"/>
  <c r="S162" i="97"/>
  <c r="S189" i="97"/>
  <c r="S173" i="97"/>
  <c r="S140" i="97"/>
  <c r="S111" i="97"/>
  <c r="S93" i="97"/>
  <c r="S114" i="97"/>
  <c r="S106" i="97"/>
  <c r="S90" i="97"/>
  <c r="S27" i="97"/>
  <c r="S120" i="97"/>
  <c r="S133" i="97"/>
  <c r="S52" i="97"/>
  <c r="S42" i="97"/>
  <c r="S192" i="97"/>
  <c r="S176" i="97"/>
  <c r="S160" i="97"/>
  <c r="S187" i="97"/>
  <c r="S171" i="97"/>
  <c r="S132" i="97"/>
  <c r="S107" i="97"/>
  <c r="S91" i="97"/>
  <c r="S110" i="97"/>
  <c r="S104" i="97"/>
  <c r="S88" i="97"/>
  <c r="S32" i="97"/>
  <c r="S29" i="97"/>
  <c r="S47" i="97"/>
  <c r="S63" i="97"/>
  <c r="S69" i="97"/>
  <c r="S73" i="97"/>
  <c r="S77" i="97"/>
  <c r="S81" i="97"/>
  <c r="S85" i="97"/>
  <c r="S146" i="97"/>
  <c r="S150" i="97"/>
  <c r="S154" i="97"/>
  <c r="S212" i="97"/>
  <c r="S244" i="97"/>
  <c r="S284" i="97"/>
  <c r="S340" i="97"/>
  <c r="S400" i="97"/>
  <c r="S448" i="97"/>
  <c r="S484" i="97"/>
  <c r="S520" i="97"/>
  <c r="S736" i="97"/>
  <c r="S556" i="97"/>
  <c r="S588" i="97"/>
  <c r="S620" i="97"/>
  <c r="S652" i="97"/>
  <c r="S684" i="97"/>
  <c r="S716" i="97"/>
  <c r="S756" i="97"/>
  <c r="S328" i="97"/>
  <c r="S200" i="97"/>
  <c r="S232" i="97"/>
  <c r="S264" i="97"/>
  <c r="S320" i="97"/>
  <c r="S384" i="97"/>
  <c r="S428" i="97"/>
  <c r="S472" i="97"/>
  <c r="S508" i="97"/>
  <c r="S364" i="97"/>
  <c r="S544" i="97"/>
  <c r="S576" i="97"/>
  <c r="S608" i="97"/>
  <c r="S640" i="97"/>
  <c r="S672" i="97"/>
  <c r="S704" i="97"/>
  <c r="S744" i="97"/>
  <c r="S280" i="97"/>
  <c r="S233" i="97"/>
  <c r="S322" i="97"/>
  <c r="S387" i="97"/>
  <c r="S468" i="97"/>
  <c r="S219" i="97"/>
  <c r="S251" i="97"/>
  <c r="S278" i="97"/>
  <c r="S331" i="97"/>
  <c r="S371" i="97"/>
  <c r="S503" i="97"/>
  <c r="S231" i="97"/>
  <c r="S378" i="97"/>
  <c r="S241" i="97"/>
  <c r="S317" i="97"/>
  <c r="S374" i="97"/>
  <c r="S422" i="97"/>
  <c r="S485" i="97"/>
  <c r="S747" i="97"/>
  <c r="S247" i="97"/>
  <c r="S294" i="97"/>
  <c r="S209" i="97"/>
  <c r="S315" i="97"/>
  <c r="S227" i="97"/>
  <c r="S259" i="97"/>
  <c r="S301" i="97"/>
  <c r="S339" i="97"/>
  <c r="S365" i="97"/>
  <c r="S397" i="97"/>
  <c r="S202" i="97"/>
  <c r="S218" i="97"/>
  <c r="S234" i="97"/>
  <c r="S250" i="97"/>
  <c r="S266" i="97"/>
  <c r="S291" i="97"/>
  <c r="S309" i="97"/>
  <c r="S330" i="97"/>
  <c r="S349" i="97"/>
  <c r="S366" i="97"/>
  <c r="S391" i="97"/>
  <c r="S405" i="97"/>
  <c r="S430" i="97"/>
  <c r="S462" i="97"/>
  <c r="S498" i="97"/>
  <c r="S762" i="97"/>
  <c r="S714" i="97"/>
  <c r="S438" i="97"/>
  <c r="S453" i="97"/>
  <c r="S491" i="97"/>
  <c r="S759" i="97"/>
  <c r="S706" i="97"/>
  <c r="S406" i="97"/>
  <c r="S275" i="97"/>
  <c r="S293" i="97"/>
  <c r="S314" i="97"/>
  <c r="S347" i="97"/>
  <c r="S361" i="97"/>
  <c r="S386" i="97"/>
  <c r="S411" i="97"/>
  <c r="S425" i="97"/>
  <c r="S450" i="97"/>
  <c r="S475" i="97"/>
  <c r="S521" i="97"/>
  <c r="S730" i="97"/>
  <c r="S691" i="97"/>
  <c r="S675" i="97"/>
  <c r="S659" i="97"/>
  <c r="S643" i="97"/>
  <c r="S627" i="97"/>
  <c r="S611" i="97"/>
  <c r="S595" i="97"/>
  <c r="S579" i="97"/>
  <c r="S563" i="97"/>
  <c r="S547" i="97"/>
  <c r="S474" i="97"/>
  <c r="S499" i="97"/>
  <c r="S513" i="97"/>
  <c r="S753" i="97"/>
  <c r="S721" i="97"/>
  <c r="S690" i="97"/>
  <c r="S658" i="97"/>
  <c r="S626" i="97"/>
  <c r="S594" i="97"/>
  <c r="S562" i="97"/>
  <c r="S739" i="97"/>
  <c r="S723" i="97"/>
  <c r="S707" i="97"/>
  <c r="S689" i="97"/>
  <c r="S673" i="97"/>
  <c r="S657" i="97"/>
  <c r="S641" i="97"/>
  <c r="S625" i="97"/>
  <c r="S609" i="97"/>
  <c r="S593" i="97"/>
  <c r="S577" i="97"/>
  <c r="S561" i="97"/>
  <c r="S545" i="97"/>
  <c r="S461" i="97"/>
  <c r="S486" i="97"/>
  <c r="S511" i="97"/>
  <c r="S765" i="97"/>
  <c r="S733" i="97"/>
  <c r="S701" i="97"/>
  <c r="S670" i="97"/>
  <c r="S638" i="97"/>
  <c r="S606" i="97"/>
  <c r="S574" i="97"/>
  <c r="S541" i="97"/>
  <c r="S539" i="97"/>
  <c r="S542" i="97"/>
  <c r="S116" i="97"/>
  <c r="S142" i="97"/>
  <c r="S64" i="97"/>
  <c r="S50" i="97"/>
  <c r="S34" i="97"/>
  <c r="S190" i="97"/>
  <c r="S174" i="97"/>
  <c r="S158" i="97"/>
  <c r="S185" i="97"/>
  <c r="S169" i="97"/>
  <c r="S124" i="97"/>
  <c r="S105" i="97"/>
  <c r="S89" i="97"/>
  <c r="S137" i="97"/>
  <c r="S102" i="97"/>
  <c r="S59" i="97"/>
  <c r="S30" i="97"/>
  <c r="S112" i="97"/>
  <c r="S57" i="97"/>
  <c r="S48" i="97"/>
  <c r="S26" i="97"/>
  <c r="S188" i="97"/>
  <c r="S172" i="97"/>
  <c r="S199" i="97"/>
  <c r="S183" i="97"/>
  <c r="S167" i="97"/>
  <c r="S143" i="97"/>
  <c r="S103" i="97"/>
  <c r="S87" i="97"/>
  <c r="S129" i="97"/>
  <c r="S100" i="97"/>
  <c r="S55" i="97"/>
  <c r="S35" i="97"/>
  <c r="S60" i="97"/>
  <c r="S66" i="97"/>
  <c r="S70" i="97"/>
  <c r="S74" i="97"/>
  <c r="S78" i="97"/>
  <c r="S82" i="97"/>
  <c r="S86" i="97"/>
  <c r="S147" i="97"/>
  <c r="S151" i="97"/>
  <c r="S155" i="97"/>
  <c r="S220" i="97"/>
  <c r="S252" i="97"/>
  <c r="S300" i="97"/>
  <c r="S356" i="97"/>
  <c r="S416" i="97"/>
  <c r="S456" i="97"/>
  <c r="S492" i="97"/>
  <c r="S324" i="97"/>
  <c r="S532" i="97"/>
  <c r="S564" i="97"/>
  <c r="S596" i="97"/>
  <c r="S628" i="97"/>
  <c r="S660" i="97"/>
  <c r="S692" i="97"/>
  <c r="S724" i="97"/>
  <c r="S764" i="97"/>
  <c r="S496" i="97"/>
  <c r="S208" i="97"/>
  <c r="S240" i="97"/>
  <c r="S272" i="97"/>
  <c r="S336" i="97"/>
  <c r="S396" i="97"/>
  <c r="S436" i="97"/>
  <c r="S480" i="97"/>
  <c r="S516" i="97"/>
  <c r="S292" i="97"/>
  <c r="S552" i="97"/>
  <c r="S584" i="97"/>
  <c r="S616" i="97"/>
  <c r="S648" i="97"/>
  <c r="S680" i="97"/>
  <c r="S712" i="97"/>
  <c r="S752" i="97"/>
  <c r="S412" i="97"/>
  <c r="S263" i="97"/>
  <c r="S343" i="97"/>
  <c r="S408" i="97"/>
  <c r="S514" i="97"/>
  <c r="S221" i="97"/>
  <c r="S253" i="97"/>
  <c r="S287" i="97"/>
  <c r="S333" i="97"/>
  <c r="S390" i="97"/>
  <c r="S505" i="97"/>
  <c r="S249" i="97"/>
  <c r="S207" i="97"/>
  <c r="S257" i="97"/>
  <c r="S335" i="97"/>
  <c r="S381" i="97"/>
  <c r="S426" i="97"/>
  <c r="S771" i="97"/>
  <c r="S722" i="97"/>
  <c r="S265" i="97"/>
  <c r="S312" i="97"/>
  <c r="S239" i="97"/>
  <c r="S326" i="97"/>
  <c r="S229" i="97"/>
  <c r="S261" i="97"/>
  <c r="S310" i="97"/>
  <c r="S341" i="97"/>
  <c r="S383" i="97"/>
  <c r="S401" i="97"/>
  <c r="S206" i="97"/>
  <c r="S222" i="97"/>
  <c r="S238" i="97"/>
  <c r="S254" i="97"/>
  <c r="S270" i="97"/>
  <c r="S295" i="97"/>
  <c r="S313" i="97"/>
  <c r="S334" i="97"/>
  <c r="S353" i="97"/>
  <c r="S370" i="97"/>
  <c r="S395" i="97"/>
  <c r="S409" i="97"/>
  <c r="S434" i="97"/>
  <c r="S469" i="97"/>
  <c r="S507" i="97"/>
  <c r="S754" i="97"/>
  <c r="S711" i="97"/>
  <c r="S442" i="97"/>
  <c r="S471" i="97"/>
  <c r="S510" i="97"/>
  <c r="S751" i="97"/>
  <c r="S703" i="97"/>
  <c r="S410" i="97"/>
  <c r="S279" i="97"/>
  <c r="S297" i="97"/>
  <c r="S318" i="97"/>
  <c r="S351" i="97"/>
  <c r="S375" i="97"/>
  <c r="S389" i="97"/>
  <c r="S414" i="97"/>
  <c r="S439" i="97"/>
  <c r="S455" i="97"/>
  <c r="S494" i="97"/>
  <c r="S766" i="97"/>
  <c r="S727" i="97"/>
  <c r="S685" i="97"/>
  <c r="S669" i="97"/>
  <c r="S653" i="97"/>
  <c r="S637" i="97"/>
  <c r="S621" i="97"/>
  <c r="S605" i="97"/>
  <c r="S589" i="97"/>
  <c r="S573" i="97"/>
  <c r="S557" i="97"/>
  <c r="S463" i="97"/>
  <c r="S477" i="97"/>
  <c r="S502" i="97"/>
  <c r="S525" i="97"/>
  <c r="S745" i="97"/>
  <c r="S713" i="97"/>
  <c r="S682" i="97"/>
  <c r="S650" i="97"/>
  <c r="S618" i="97"/>
  <c r="S586" i="97"/>
  <c r="S554" i="97"/>
  <c r="S734" i="97"/>
  <c r="S718" i="97"/>
  <c r="S702" i="97"/>
  <c r="S687" i="97"/>
  <c r="S671" i="97"/>
  <c r="S655" i="97"/>
  <c r="S639" i="97"/>
  <c r="S623" i="97"/>
  <c r="S607" i="97"/>
  <c r="S591" i="97"/>
  <c r="S575" i="97"/>
  <c r="S559" i="97"/>
  <c r="S543" i="97"/>
  <c r="S465" i="97"/>
  <c r="S490" i="97"/>
  <c r="S515" i="97"/>
  <c r="S757" i="97"/>
  <c r="S725" i="97"/>
  <c r="S694" i="97"/>
  <c r="S662" i="97"/>
  <c r="S630" i="97"/>
  <c r="S598" i="97"/>
  <c r="S566" i="97"/>
  <c r="S537" i="97"/>
  <c r="S535" i="97"/>
  <c r="S538" i="97"/>
  <c r="S108" i="97"/>
  <c r="S126" i="97"/>
  <c r="S53" i="97"/>
  <c r="S44" i="97"/>
  <c r="S41" i="97"/>
  <c r="S186" i="97"/>
  <c r="S170" i="97"/>
  <c r="S197" i="97"/>
  <c r="S181" i="97"/>
  <c r="S165" i="97"/>
  <c r="S135" i="97"/>
  <c r="S101" i="97"/>
  <c r="S138" i="97"/>
  <c r="S121" i="97"/>
  <c r="S98" i="97"/>
  <c r="S40" i="97"/>
  <c r="S37" i="97"/>
  <c r="S131" i="97"/>
  <c r="S51" i="97"/>
  <c r="S36" i="97"/>
  <c r="S33" i="97"/>
  <c r="S184" i="97"/>
  <c r="S168" i="97"/>
  <c r="S195" i="97"/>
  <c r="S179" i="97"/>
  <c r="S163" i="97"/>
  <c r="S127" i="97"/>
  <c r="S99" i="97"/>
  <c r="S130" i="97"/>
  <c r="S117" i="97"/>
  <c r="S96" i="97"/>
  <c r="S56" i="97"/>
  <c r="S38" i="97"/>
  <c r="S45" i="97"/>
  <c r="S61" i="97"/>
  <c r="S67" i="97"/>
  <c r="S71" i="97"/>
  <c r="S75" i="97"/>
  <c r="S79" i="97"/>
  <c r="S83" i="97"/>
  <c r="S144" i="97"/>
  <c r="S148" i="97"/>
  <c r="S152" i="97"/>
  <c r="S156" i="97"/>
  <c r="S228" i="97"/>
  <c r="S260" i="97"/>
  <c r="S316" i="97"/>
  <c r="S372" i="97"/>
  <c r="S424" i="97"/>
  <c r="S464" i="97"/>
  <c r="S504" i="97"/>
  <c r="S296" i="97"/>
  <c r="S540" i="97"/>
  <c r="S572" i="97"/>
  <c r="S604" i="97"/>
  <c r="S636" i="97"/>
  <c r="S668" i="97"/>
  <c r="S700" i="97"/>
  <c r="S740" i="97"/>
  <c r="S772" i="97"/>
  <c r="S732" i="97"/>
  <c r="S216" i="97"/>
  <c r="S248" i="97"/>
  <c r="S288" i="97"/>
  <c r="S344" i="97"/>
  <c r="S404" i="97"/>
  <c r="S452" i="97"/>
  <c r="S488" i="97"/>
  <c r="S524" i="97"/>
  <c r="S528" i="97"/>
  <c r="S560" i="97"/>
  <c r="S592" i="97"/>
  <c r="S624" i="97"/>
  <c r="S656" i="97"/>
  <c r="S688" i="97"/>
  <c r="S720" i="97"/>
  <c r="S760" i="97"/>
  <c r="S380" i="97"/>
  <c r="S283" i="97"/>
  <c r="S352" i="97"/>
  <c r="S444" i="97"/>
  <c r="S203" i="97"/>
  <c r="S235" i="97"/>
  <c r="S267" i="97"/>
  <c r="S289" i="97"/>
  <c r="S346" i="97"/>
  <c r="S447" i="97"/>
  <c r="S201" i="97"/>
  <c r="S305" i="97"/>
  <c r="S223" i="97"/>
  <c r="S273" i="97"/>
  <c r="S337" i="97"/>
  <c r="S415" i="97"/>
  <c r="S429" i="97"/>
  <c r="S763" i="97"/>
  <c r="S719" i="97"/>
  <c r="S276" i="97"/>
  <c r="S345" i="97"/>
  <c r="S255" i="97"/>
  <c r="S211" i="97"/>
  <c r="S243" i="97"/>
  <c r="S274" i="97"/>
  <c r="S319" i="97"/>
  <c r="S350" i="97"/>
  <c r="S385" i="97"/>
  <c r="S478" i="97"/>
  <c r="S210" i="97"/>
  <c r="S226" i="97"/>
  <c r="S242" i="97"/>
  <c r="S258" i="97"/>
  <c r="S277" i="97"/>
  <c r="S298" i="97"/>
  <c r="S323" i="97"/>
  <c r="S338" i="97"/>
  <c r="S359" i="97"/>
  <c r="S373" i="97"/>
  <c r="S398" i="97"/>
  <c r="S423" i="97"/>
  <c r="S437" i="97"/>
  <c r="S487" i="97"/>
  <c r="S526" i="97"/>
  <c r="S746" i="97"/>
  <c r="S431" i="97"/>
  <c r="S445" i="97"/>
  <c r="S473" i="97"/>
  <c r="S517" i="97"/>
  <c r="S738" i="97"/>
  <c r="S399" i="97"/>
  <c r="S413" i="97"/>
  <c r="S282" i="97"/>
  <c r="S307" i="97"/>
  <c r="S325" i="97"/>
  <c r="S354" i="97"/>
  <c r="S379" i="97"/>
  <c r="S393" i="97"/>
  <c r="S418" i="97"/>
  <c r="S443" i="97"/>
  <c r="S457" i="97"/>
  <c r="S501" i="97"/>
  <c r="S758" i="97"/>
  <c r="S698" i="97"/>
  <c r="S683" i="97"/>
  <c r="S667" i="97"/>
  <c r="S651" i="97"/>
  <c r="S635" i="97"/>
  <c r="S619" i="97"/>
  <c r="S603" i="97"/>
  <c r="S587" i="97"/>
  <c r="S571" i="97"/>
  <c r="S555" i="97"/>
  <c r="S467" i="97"/>
  <c r="S481" i="97"/>
  <c r="S506" i="97"/>
  <c r="S769" i="97"/>
  <c r="S737" i="97"/>
  <c r="S705" i="97"/>
  <c r="S674" i="97"/>
  <c r="S642" i="97"/>
  <c r="S610" i="97"/>
  <c r="S578" i="97"/>
  <c r="S546" i="97"/>
  <c r="S731" i="97"/>
  <c r="S715" i="97"/>
  <c r="S699" i="97"/>
  <c r="S681" i="97"/>
  <c r="S665" i="97"/>
  <c r="S649" i="97"/>
  <c r="S633" i="97"/>
  <c r="S617" i="97"/>
  <c r="S601" i="97"/>
  <c r="S585" i="97"/>
  <c r="S569" i="97"/>
  <c r="S553" i="97"/>
  <c r="S454" i="97"/>
  <c r="S479" i="97"/>
  <c r="S493" i="97"/>
  <c r="S518" i="97"/>
  <c r="S749" i="97"/>
  <c r="S717" i="97"/>
  <c r="S686" i="97"/>
  <c r="S654" i="97"/>
  <c r="S622" i="97"/>
  <c r="S590" i="97"/>
  <c r="S558" i="97"/>
  <c r="S533" i="97"/>
  <c r="S531" i="97"/>
  <c r="S534" i="97"/>
  <c r="S157" i="97"/>
  <c r="S139" i="97"/>
  <c r="S141" i="97"/>
  <c r="S49" i="97"/>
  <c r="S28" i="97"/>
  <c r="S198" i="97"/>
  <c r="S182" i="97"/>
  <c r="S166" i="97"/>
  <c r="S193" i="97"/>
  <c r="S177" i="97"/>
  <c r="S161" i="97"/>
  <c r="S119" i="97"/>
  <c r="S97" i="97"/>
  <c r="S122" i="97"/>
  <c r="S113" i="97"/>
  <c r="S94" i="97"/>
  <c r="S43" i="97"/>
  <c r="S136" i="97"/>
  <c r="S134" i="97"/>
  <c r="S58" i="97"/>
  <c r="S39" i="97"/>
  <c r="S196" i="97"/>
  <c r="S180" i="97"/>
  <c r="S164" i="97"/>
  <c r="S191" i="97"/>
  <c r="S175" i="97"/>
  <c r="S159" i="97"/>
  <c r="S115" i="97"/>
  <c r="S95" i="97"/>
  <c r="S118" i="97"/>
  <c r="S109" i="97"/>
  <c r="S92" i="97"/>
  <c r="S65" i="97"/>
  <c r="S25" i="97"/>
  <c r="S46" i="97"/>
  <c r="S62" i="97"/>
  <c r="S68" i="97"/>
  <c r="S72" i="97"/>
  <c r="S76" i="97"/>
  <c r="S80" i="97"/>
  <c r="S84" i="97"/>
  <c r="S145" i="97"/>
  <c r="S149" i="97"/>
  <c r="S153" i="97"/>
  <c r="S204" i="97"/>
  <c r="S236" i="97"/>
  <c r="S268" i="97"/>
  <c r="S332" i="97"/>
  <c r="S388" i="97"/>
  <c r="S432" i="97"/>
  <c r="S476" i="97"/>
  <c r="S512" i="97"/>
  <c r="S440" i="97"/>
  <c r="S548" i="97"/>
  <c r="S580" i="97"/>
  <c r="S612" i="97"/>
  <c r="S644" i="97"/>
  <c r="S676" i="97"/>
  <c r="S708" i="97"/>
  <c r="S748" i="97"/>
  <c r="S376" i="97"/>
  <c r="S348" i="97"/>
  <c r="S224" i="97"/>
  <c r="S256" i="97"/>
  <c r="S304" i="97"/>
  <c r="S368" i="97"/>
  <c r="S420" i="97"/>
  <c r="S460" i="97"/>
  <c r="S500" i="97"/>
  <c r="S392" i="97"/>
  <c r="S536" i="97"/>
  <c r="S568" i="97"/>
  <c r="S600" i="97"/>
  <c r="S632" i="97"/>
  <c r="S664" i="97"/>
  <c r="S696" i="97"/>
  <c r="S728" i="97"/>
  <c r="S768" i="97"/>
  <c r="S308" i="97"/>
  <c r="S303" i="97"/>
  <c r="S360" i="97"/>
  <c r="S459" i="97"/>
  <c r="S205" i="97"/>
  <c r="S237" i="97"/>
  <c r="S269" i="97"/>
  <c r="S306" i="97"/>
  <c r="S362" i="97"/>
  <c r="S451" i="97"/>
  <c r="S215" i="97"/>
  <c r="S369" i="97"/>
  <c r="S225" i="97"/>
  <c r="S290" i="97"/>
  <c r="S355" i="97"/>
  <c r="S419" i="97"/>
  <c r="S433" i="97"/>
  <c r="S755" i="97"/>
  <c r="S217" i="97"/>
  <c r="S285" i="97"/>
  <c r="S367" i="97"/>
  <c r="S271" i="97"/>
  <c r="S213" i="97"/>
  <c r="S245" i="97"/>
  <c r="S299" i="97"/>
  <c r="S321" i="97"/>
  <c r="S358" i="97"/>
  <c r="S394" i="97"/>
  <c r="S523" i="97"/>
  <c r="S214" i="97"/>
  <c r="S230" i="97"/>
  <c r="S246" i="97"/>
  <c r="S262" i="97"/>
  <c r="S281" i="97"/>
  <c r="S302" i="97"/>
  <c r="S327" i="97"/>
  <c r="S342" i="97"/>
  <c r="S363" i="97"/>
  <c r="S377" i="97"/>
  <c r="S402" i="97"/>
  <c r="S427" i="97"/>
  <c r="S441" i="97"/>
  <c r="S489" i="97"/>
  <c r="S770" i="97"/>
  <c r="S743" i="97"/>
  <c r="S435" i="97"/>
  <c r="S449" i="97"/>
  <c r="S482" i="97"/>
  <c r="S767" i="97"/>
  <c r="S735" i="97"/>
  <c r="S403" i="97"/>
  <c r="S417" i="97"/>
  <c r="S286" i="97"/>
  <c r="S311" i="97"/>
  <c r="S329" i="97"/>
  <c r="S357" i="97"/>
  <c r="S382" i="97"/>
  <c r="S407" i="97"/>
  <c r="S421" i="97"/>
  <c r="S446" i="97"/>
  <c r="S466" i="97"/>
  <c r="S519" i="97"/>
  <c r="S750" i="97"/>
  <c r="S693" i="97"/>
  <c r="S677" i="97"/>
  <c r="S661" i="97"/>
  <c r="S645" i="97"/>
  <c r="S629" i="97"/>
  <c r="S613" i="97"/>
  <c r="S597" i="97"/>
  <c r="S581" i="97"/>
  <c r="S565" i="97"/>
  <c r="S549" i="97"/>
  <c r="S470" i="97"/>
  <c r="S495" i="97"/>
  <c r="S509" i="97"/>
  <c r="S761" i="97"/>
  <c r="S729" i="97"/>
  <c r="S697" i="97"/>
  <c r="S666" i="97"/>
  <c r="S634" i="97"/>
  <c r="S602" i="97"/>
  <c r="S570" i="97"/>
  <c r="S742" i="97"/>
  <c r="S726" i="97"/>
  <c r="S710" i="97"/>
  <c r="S695" i="97"/>
  <c r="S679" i="97"/>
  <c r="S663" i="97"/>
  <c r="S647" i="97"/>
  <c r="S631" i="97"/>
  <c r="S615" i="97"/>
  <c r="S599" i="97"/>
  <c r="S583" i="97"/>
  <c r="S567" i="97"/>
  <c r="S551" i="97"/>
  <c r="S458" i="97"/>
  <c r="S483" i="97"/>
  <c r="S497" i="97"/>
  <c r="S522" i="97"/>
  <c r="S741" i="97"/>
  <c r="S709" i="97"/>
  <c r="S678" i="97"/>
  <c r="S646" i="97"/>
  <c r="S614" i="97"/>
  <c r="S582" i="97"/>
  <c r="S550" i="97"/>
  <c r="S529" i="97"/>
  <c r="S527" i="97"/>
  <c r="S530" i="97"/>
  <c r="B58" i="40"/>
  <c r="F58" i="40" s="1"/>
  <c r="B54" i="40"/>
  <c r="F54" i="40" s="1"/>
  <c r="B53" i="40"/>
  <c r="F53" i="40" s="1"/>
  <c r="B59" i="40"/>
  <c r="F59" i="40" s="1"/>
  <c r="B52" i="40"/>
  <c r="F52" i="40" s="1"/>
  <c r="B56" i="40"/>
  <c r="F56" i="40" s="1"/>
  <c r="B60" i="40"/>
  <c r="F60" i="40" s="1"/>
  <c r="B57" i="40"/>
  <c r="F57" i="40" s="1"/>
  <c r="B51" i="40"/>
  <c r="F51" i="40" s="1"/>
  <c r="F61" i="40"/>
  <c r="B2" i="40" s="1"/>
  <c r="B3" i="40" s="1"/>
  <c r="S773" i="97" l="1"/>
  <c r="R24" i="31"/>
  <c r="C32" i="87"/>
  <c r="C35" i="87" s="1"/>
  <c r="C34" i="87" s="1"/>
  <c r="E14" i="74"/>
  <c r="R180" i="31" l="1"/>
  <c r="S180" i="31" s="1"/>
  <c r="R52" i="31"/>
  <c r="S52" i="31" s="1"/>
  <c r="R35" i="31"/>
  <c r="S35" i="31" s="1"/>
  <c r="R82" i="31"/>
  <c r="S82" i="31" s="1"/>
  <c r="R129" i="31"/>
  <c r="S129" i="31" s="1"/>
  <c r="R176" i="31"/>
  <c r="S176" i="31" s="1"/>
  <c r="R31" i="31"/>
  <c r="S31" i="31" s="1"/>
  <c r="R61" i="31"/>
  <c r="S61" i="31" s="1"/>
  <c r="R138" i="31"/>
  <c r="S138" i="31" s="1"/>
  <c r="R40" i="31"/>
  <c r="S40" i="31" s="1"/>
  <c r="R117" i="31"/>
  <c r="S117" i="31" s="1"/>
  <c r="R164" i="31"/>
  <c r="S164" i="31" s="1"/>
  <c r="R100" i="31"/>
  <c r="S100" i="31" s="1"/>
  <c r="R36" i="31"/>
  <c r="S36" i="31" s="1"/>
  <c r="R147" i="31"/>
  <c r="S147" i="31" s="1"/>
  <c r="R83" i="31"/>
  <c r="S83" i="31" s="1"/>
  <c r="R194" i="31"/>
  <c r="S194" i="31" s="1"/>
  <c r="R130" i="31"/>
  <c r="S130" i="31" s="1"/>
  <c r="R66" i="31"/>
  <c r="S66" i="31" s="1"/>
  <c r="R177" i="31"/>
  <c r="S177" i="31" s="1"/>
  <c r="R113" i="31"/>
  <c r="S113" i="31" s="1"/>
  <c r="R49" i="31"/>
  <c r="S49" i="31" s="1"/>
  <c r="R160" i="31"/>
  <c r="S160" i="31" s="1"/>
  <c r="R96" i="31"/>
  <c r="S96" i="31" s="1"/>
  <c r="R32" i="31"/>
  <c r="S32" i="31" s="1"/>
  <c r="R143" i="31"/>
  <c r="S143" i="31" s="1"/>
  <c r="R79" i="31"/>
  <c r="S79" i="31" s="1"/>
  <c r="R190" i="31"/>
  <c r="S190" i="31" s="1"/>
  <c r="R126" i="31"/>
  <c r="S126" i="31" s="1"/>
  <c r="R62" i="31"/>
  <c r="S62" i="31" s="1"/>
  <c r="R173" i="31"/>
  <c r="S173" i="31" s="1"/>
  <c r="R109" i="31"/>
  <c r="S109" i="31" s="1"/>
  <c r="R45" i="31"/>
  <c r="S45" i="31" s="1"/>
  <c r="R156" i="31"/>
  <c r="S156" i="31" s="1"/>
  <c r="R92" i="31"/>
  <c r="S92" i="31" s="1"/>
  <c r="R28" i="31"/>
  <c r="S28" i="31" s="1"/>
  <c r="R139" i="31"/>
  <c r="S139" i="31" s="1"/>
  <c r="R75" i="31"/>
  <c r="S75" i="31" s="1"/>
  <c r="R186" i="31"/>
  <c r="S186" i="31" s="1"/>
  <c r="R122" i="31"/>
  <c r="S122" i="31" s="1"/>
  <c r="R58" i="31"/>
  <c r="S58" i="31" s="1"/>
  <c r="R169" i="31"/>
  <c r="S169" i="31" s="1"/>
  <c r="R105" i="31"/>
  <c r="S105" i="31" s="1"/>
  <c r="R41" i="31"/>
  <c r="S41" i="31" s="1"/>
  <c r="R152" i="31"/>
  <c r="S152" i="31" s="1"/>
  <c r="R88" i="31"/>
  <c r="S88" i="31" s="1"/>
  <c r="R199" i="31"/>
  <c r="S199" i="31" s="1"/>
  <c r="R135" i="31"/>
  <c r="S135" i="31" s="1"/>
  <c r="R71" i="31"/>
  <c r="S71" i="31" s="1"/>
  <c r="R182" i="31"/>
  <c r="S182" i="31" s="1"/>
  <c r="R118" i="31"/>
  <c r="S118" i="31" s="1"/>
  <c r="R54" i="31"/>
  <c r="S54" i="31" s="1"/>
  <c r="R165" i="31"/>
  <c r="S165" i="31" s="1"/>
  <c r="R101" i="31"/>
  <c r="S101" i="31" s="1"/>
  <c r="R37" i="31"/>
  <c r="S37" i="31" s="1"/>
  <c r="R149" i="31"/>
  <c r="S149" i="31" s="1"/>
  <c r="R163" i="31"/>
  <c r="S163" i="31" s="1"/>
  <c r="R48" i="31"/>
  <c r="S48" i="31" s="1"/>
  <c r="R78" i="31"/>
  <c r="S78" i="31" s="1"/>
  <c r="R172" i="31"/>
  <c r="S172" i="31" s="1"/>
  <c r="R91" i="31"/>
  <c r="S91" i="31" s="1"/>
  <c r="R121" i="31"/>
  <c r="S121" i="31" s="1"/>
  <c r="R104" i="31"/>
  <c r="S104" i="31" s="1"/>
  <c r="R198" i="31"/>
  <c r="S198" i="31" s="1"/>
  <c r="R181" i="31"/>
  <c r="S181" i="31" s="1"/>
  <c r="S24" i="31"/>
  <c r="R148" i="31"/>
  <c r="S148" i="31" s="1"/>
  <c r="R84" i="31"/>
  <c r="S84" i="31" s="1"/>
  <c r="R195" i="31"/>
  <c r="S195" i="31" s="1"/>
  <c r="R131" i="31"/>
  <c r="S131" i="31" s="1"/>
  <c r="R67" i="31"/>
  <c r="S67" i="31" s="1"/>
  <c r="R178" i="31"/>
  <c r="S178" i="31" s="1"/>
  <c r="R114" i="31"/>
  <c r="S114" i="31" s="1"/>
  <c r="R50" i="31"/>
  <c r="S50" i="31" s="1"/>
  <c r="R161" i="31"/>
  <c r="S161" i="31" s="1"/>
  <c r="R97" i="31"/>
  <c r="S97" i="31" s="1"/>
  <c r="R33" i="31"/>
  <c r="S33" i="31" s="1"/>
  <c r="R144" i="31"/>
  <c r="S144" i="31" s="1"/>
  <c r="R80" i="31"/>
  <c r="S80" i="31" s="1"/>
  <c r="R191" i="31"/>
  <c r="S191" i="31" s="1"/>
  <c r="R127" i="31"/>
  <c r="S127" i="31" s="1"/>
  <c r="R63" i="31"/>
  <c r="S63" i="31" s="1"/>
  <c r="R174" i="31"/>
  <c r="S174" i="31" s="1"/>
  <c r="R110" i="31"/>
  <c r="S110" i="31" s="1"/>
  <c r="R46" i="31"/>
  <c r="S46" i="31" s="1"/>
  <c r="R157" i="31"/>
  <c r="S157" i="31" s="1"/>
  <c r="R93" i="31"/>
  <c r="S93" i="31" s="1"/>
  <c r="R29" i="31"/>
  <c r="S29" i="31" s="1"/>
  <c r="R140" i="31"/>
  <c r="S140" i="31" s="1"/>
  <c r="R76" i="31"/>
  <c r="S76" i="31" s="1"/>
  <c r="R187" i="31"/>
  <c r="S187" i="31" s="1"/>
  <c r="R123" i="31"/>
  <c r="S123" i="31" s="1"/>
  <c r="R59" i="31"/>
  <c r="S59" i="31" s="1"/>
  <c r="R170" i="31"/>
  <c r="S170" i="31" s="1"/>
  <c r="R106" i="31"/>
  <c r="S106" i="31" s="1"/>
  <c r="R42" i="31"/>
  <c r="S42" i="31" s="1"/>
  <c r="R153" i="31"/>
  <c r="S153" i="31" s="1"/>
  <c r="R89" i="31"/>
  <c r="S89" i="31" s="1"/>
  <c r="R25" i="31"/>
  <c r="S25" i="31" s="1"/>
  <c r="R136" i="31"/>
  <c r="S136" i="31" s="1"/>
  <c r="R72" i="31"/>
  <c r="S72" i="31" s="1"/>
  <c r="R183" i="31"/>
  <c r="S183" i="31" s="1"/>
  <c r="R119" i="31"/>
  <c r="S119" i="31" s="1"/>
  <c r="R55" i="31"/>
  <c r="S55" i="31" s="1"/>
  <c r="R166" i="31"/>
  <c r="S166" i="31" s="1"/>
  <c r="R102" i="31"/>
  <c r="S102" i="31" s="1"/>
  <c r="R38" i="31"/>
  <c r="S38" i="31" s="1"/>
  <c r="R85" i="31"/>
  <c r="S85" i="31" s="1"/>
  <c r="R99" i="31"/>
  <c r="S99" i="31" s="1"/>
  <c r="R146" i="31"/>
  <c r="S146" i="31" s="1"/>
  <c r="R193" i="31"/>
  <c r="S193" i="31" s="1"/>
  <c r="R65" i="31"/>
  <c r="S65" i="31" s="1"/>
  <c r="R112" i="31"/>
  <c r="S112" i="31" s="1"/>
  <c r="R95" i="31"/>
  <c r="S95" i="31" s="1"/>
  <c r="R142" i="31"/>
  <c r="S142" i="31" s="1"/>
  <c r="R125" i="31"/>
  <c r="S125" i="31" s="1"/>
  <c r="R44" i="31"/>
  <c r="S44" i="31" s="1"/>
  <c r="R27" i="31"/>
  <c r="S27" i="31" s="1"/>
  <c r="R185" i="31"/>
  <c r="S185" i="31" s="1"/>
  <c r="R168" i="31"/>
  <c r="S168" i="31" s="1"/>
  <c r="R87" i="31"/>
  <c r="S87" i="31" s="1"/>
  <c r="R70" i="31"/>
  <c r="S70" i="31" s="1"/>
  <c r="R196" i="31"/>
  <c r="S196" i="31" s="1"/>
  <c r="R132" i="31"/>
  <c r="S132" i="31" s="1"/>
  <c r="R68" i="31"/>
  <c r="S68" i="31" s="1"/>
  <c r="R179" i="31"/>
  <c r="S179" i="31" s="1"/>
  <c r="R115" i="31"/>
  <c r="S115" i="31" s="1"/>
  <c r="R51" i="31"/>
  <c r="S51" i="31" s="1"/>
  <c r="R162" i="31"/>
  <c r="S162" i="31" s="1"/>
  <c r="R98" i="31"/>
  <c r="S98" i="31" s="1"/>
  <c r="R34" i="31"/>
  <c r="S34" i="31" s="1"/>
  <c r="R145" i="31"/>
  <c r="S145" i="31" s="1"/>
  <c r="R81" i="31"/>
  <c r="S81" i="31" s="1"/>
  <c r="R192" i="31"/>
  <c r="S192" i="31" s="1"/>
  <c r="R128" i="31"/>
  <c r="S128" i="31" s="1"/>
  <c r="R64" i="31"/>
  <c r="S64" i="31" s="1"/>
  <c r="R175" i="31"/>
  <c r="S175" i="31" s="1"/>
  <c r="R111" i="31"/>
  <c r="S111" i="31" s="1"/>
  <c r="R47" i="31"/>
  <c r="S47" i="31" s="1"/>
  <c r="R158" i="31"/>
  <c r="S158" i="31" s="1"/>
  <c r="R94" i="31"/>
  <c r="S94" i="31" s="1"/>
  <c r="R30" i="31"/>
  <c r="S30" i="31" s="1"/>
  <c r="R141" i="31"/>
  <c r="S141" i="31" s="1"/>
  <c r="R77" i="31"/>
  <c r="S77" i="31" s="1"/>
  <c r="R188" i="31"/>
  <c r="S188" i="31" s="1"/>
  <c r="R124" i="31"/>
  <c r="S124" i="31" s="1"/>
  <c r="R60" i="31"/>
  <c r="S60" i="31" s="1"/>
  <c r="R171" i="31"/>
  <c r="S171" i="31" s="1"/>
  <c r="R107" i="31"/>
  <c r="S107" i="31" s="1"/>
  <c r="R43" i="31"/>
  <c r="S43" i="31" s="1"/>
  <c r="R154" i="31"/>
  <c r="S154" i="31" s="1"/>
  <c r="R90" i="31"/>
  <c r="S90" i="31" s="1"/>
  <c r="R26" i="31"/>
  <c r="S26" i="31" s="1"/>
  <c r="R137" i="31"/>
  <c r="S137" i="31" s="1"/>
  <c r="R73" i="31"/>
  <c r="S73" i="31" s="1"/>
  <c r="R184" i="31"/>
  <c r="S184" i="31" s="1"/>
  <c r="R120" i="31"/>
  <c r="S120" i="31" s="1"/>
  <c r="R56" i="31"/>
  <c r="S56" i="31" s="1"/>
  <c r="R167" i="31"/>
  <c r="S167" i="31" s="1"/>
  <c r="R103" i="31"/>
  <c r="S103" i="31" s="1"/>
  <c r="R39" i="31"/>
  <c r="S39" i="31" s="1"/>
  <c r="R150" i="31"/>
  <c r="S150" i="31" s="1"/>
  <c r="R86" i="31"/>
  <c r="S86" i="31" s="1"/>
  <c r="R197" i="31"/>
  <c r="S197" i="31" s="1"/>
  <c r="R133" i="31"/>
  <c r="S133" i="31" s="1"/>
  <c r="R69" i="31"/>
  <c r="S69" i="31" s="1"/>
  <c r="R116" i="31"/>
  <c r="S116" i="31" s="1"/>
  <c r="R159" i="31"/>
  <c r="S159" i="31" s="1"/>
  <c r="R189" i="31"/>
  <c r="S189" i="31" s="1"/>
  <c r="R108" i="31"/>
  <c r="S108" i="31" s="1"/>
  <c r="R155" i="31"/>
  <c r="S155" i="31" s="1"/>
  <c r="R74" i="31"/>
  <c r="S74" i="31" s="1"/>
  <c r="R57" i="31"/>
  <c r="S57" i="31" s="1"/>
  <c r="R151" i="31"/>
  <c r="S151" i="31" s="1"/>
  <c r="R134" i="31"/>
  <c r="S134" i="31" s="1"/>
  <c r="R53" i="31"/>
  <c r="S53" i="31" s="1"/>
  <c r="S22" i="31" l="1"/>
  <c r="G16" i="74"/>
  <c r="R22" i="31" l="1"/>
  <c r="B20" i="31"/>
  <c r="E16" i="74"/>
  <c r="F16" i="74"/>
  <c r="D15" i="74" l="1"/>
  <c r="B21" i="31"/>
  <c r="G15" i="74" l="1"/>
  <c r="B6" i="74" s="1"/>
  <c r="E15" i="74"/>
  <c r="F15" i="74"/>
  <c r="B5" i="74"/>
  <c r="D5" i="74" l="1"/>
  <c r="C5" i="74"/>
  <c r="D6" i="74"/>
  <c r="C6" i="74"/>
  <c r="I118" i="87" l="1"/>
  <c r="H118" i="87" s="1"/>
  <c r="H119" i="87" s="1"/>
  <c r="G118" i="87"/>
  <c r="F118" i="87" s="1"/>
  <c r="F119" i="87" s="1"/>
  <c r="E118" i="87" l="1"/>
  <c r="D118" i="87" s="1"/>
  <c r="D119" i="87" s="1"/>
  <c r="H101" i="87"/>
  <c r="H102" i="87"/>
  <c r="C104" i="87"/>
  <c r="C105" i="87"/>
  <c r="M48" i="87" l="1"/>
  <c r="D45" i="87"/>
  <c r="H107" i="87"/>
  <c r="H108" i="87" l="1"/>
  <c r="D122" i="87"/>
  <c r="D123" i="87" s="1"/>
  <c r="M49" i="87"/>
  <c r="D55" i="87"/>
  <c r="M53" i="87" s="1"/>
  <c r="C64" i="87"/>
  <c r="C63" i="87" s="1"/>
  <c r="C67" i="87" s="1"/>
  <c r="C78" i="87"/>
  <c r="C73" i="87" s="1"/>
  <c r="C85" i="87"/>
  <c r="C72" i="87"/>
  <c r="D53" i="87"/>
  <c r="D52" i="87"/>
  <c r="C93" i="87"/>
  <c r="C86" i="87" s="1"/>
  <c r="C79" i="87" l="1"/>
  <c r="L66" i="87"/>
  <c r="M66" i="87" s="1"/>
  <c r="L64" i="87"/>
  <c r="M64" i="87" s="1"/>
  <c r="L63" i="87"/>
  <c r="M63" i="87" s="1"/>
  <c r="L68" i="87"/>
  <c r="M68" i="87" s="1"/>
  <c r="L67" i="87"/>
  <c r="M67" i="87" s="1"/>
  <c r="L65" i="87"/>
  <c r="M65" i="87" s="1"/>
  <c r="C80" i="87"/>
  <c r="E80" i="87" s="1"/>
  <c r="E81" i="87" s="1"/>
  <c r="C95" i="87"/>
  <c r="C68" i="87"/>
  <c r="D54" i="87" s="1"/>
  <c r="D59" i="87"/>
  <c r="M55" i="87" s="1"/>
  <c r="C81" i="87" l="1"/>
  <c r="C96" i="87"/>
  <c r="E96" i="87" s="1"/>
  <c r="E97" i="87" s="1"/>
  <c r="M69" i="87"/>
  <c r="N69" i="87" s="1"/>
  <c r="C97" i="87" l="1"/>
  <c r="D58" i="87" s="1"/>
  <c r="D56" i="87" s="1"/>
  <c r="M54" i="87" s="1"/>
  <c r="N57" i="87" s="1"/>
  <c r="P57" i="87" s="1"/>
  <c r="N59" i="87" l="1"/>
  <c r="N60" i="87" s="1"/>
  <c r="N58" i="87"/>
  <c r="D118" i="95"/>
  <c r="D119" i="95" s="1"/>
  <c r="F118" i="95"/>
  <c r="G118" i="95" s="1"/>
  <c r="H118" i="95"/>
  <c r="C104" i="95" s="1"/>
  <c r="N61" i="87" l="1"/>
  <c r="I118" i="95"/>
  <c r="C105" i="95" s="1"/>
  <c r="H101" i="95"/>
  <c r="M48" i="95" s="1"/>
  <c r="F119" i="95"/>
  <c r="H119" i="95"/>
  <c r="H102" i="95" l="1"/>
  <c r="E118" i="95"/>
  <c r="H107" i="95"/>
  <c r="H108" i="95" s="1"/>
  <c r="D45" i="95"/>
  <c r="C72" i="95" s="1"/>
  <c r="M49" i="95" l="1"/>
  <c r="L66" i="95" s="1"/>
  <c r="M66" i="95" s="1"/>
  <c r="D55" i="95"/>
  <c r="M53" i="95" s="1"/>
  <c r="D53" i="95"/>
  <c r="C85" i="95"/>
  <c r="C78" i="95"/>
  <c r="C73" i="95" s="1"/>
  <c r="C79" i="95" s="1"/>
  <c r="C80" i="95" s="1"/>
  <c r="E80" i="95" s="1"/>
  <c r="E81" i="95" s="1"/>
  <c r="D52" i="95"/>
  <c r="C64" i="95"/>
  <c r="C63" i="95" s="1"/>
  <c r="C67" i="95" s="1"/>
  <c r="C68" i="95" s="1"/>
  <c r="D54" i="95" s="1"/>
  <c r="D122" i="95"/>
  <c r="D123" i="95" s="1"/>
  <c r="C93" i="95"/>
  <c r="C86" i="95" s="1"/>
  <c r="L67" i="95"/>
  <c r="M67" i="95" s="1"/>
  <c r="L64" i="95"/>
  <c r="M64" i="95" s="1"/>
  <c r="L63" i="95"/>
  <c r="M63" i="95" s="1"/>
  <c r="L68" i="95"/>
  <c r="M68" i="95" s="1"/>
  <c r="L65" i="95"/>
  <c r="M65" i="95" s="1"/>
  <c r="C95" i="95" l="1"/>
  <c r="C96" i="95" s="1"/>
  <c r="E96" i="95" s="1"/>
  <c r="E97" i="95" s="1"/>
  <c r="D59" i="95"/>
  <c r="M55" i="95" s="1"/>
  <c r="M69" i="95"/>
  <c r="N69" i="95" s="1"/>
  <c r="C81" i="95"/>
  <c r="C97" i="95" l="1"/>
  <c r="D58" i="95" s="1"/>
  <c r="D56" i="95" s="1"/>
  <c r="M54" i="95" s="1"/>
  <c r="N57" i="95" s="1"/>
  <c r="N58" i="95" s="1"/>
  <c r="N59" i="95" l="1"/>
  <c r="N61" i="95" s="1"/>
  <c r="P57" i="95"/>
  <c r="B20" i="97"/>
  <c r="B21" i="97" s="1"/>
  <c r="N60" i="95" l="1"/>
  <c r="E97" i="9"/>
  <c r="E96" i="9"/>
  <c r="C96" i="9"/>
  <c r="B49" i="72"/>
  <c r="D5" i="52"/>
  <c r="D119" i="9"/>
  <c r="B22" i="72"/>
  <c r="D6" i="53"/>
  <c r="B53" i="72"/>
  <c r="F5" i="52"/>
  <c r="F119" i="9"/>
  <c r="H5" i="52"/>
  <c r="H119" i="9"/>
  <c r="B48" i="72"/>
  <c r="E4" i="52"/>
  <c r="M64" i="9"/>
  <c r="L64" i="9"/>
  <c r="D9" i="52"/>
  <c r="D123" i="9"/>
  <c r="M68" i="9"/>
  <c r="L68" i="9"/>
  <c r="N69" i="9"/>
  <c r="M69" i="9"/>
  <c r="M63" i="9"/>
  <c r="L63" i="9"/>
  <c r="B52" i="72"/>
  <c r="G4" i="52"/>
  <c r="B51" i="72"/>
  <c r="G118" i="9"/>
  <c r="F118" i="9"/>
  <c r="F4" i="52"/>
  <c r="M65" i="9"/>
  <c r="L65" i="9"/>
  <c r="C81" i="9"/>
  <c r="M66" i="9"/>
  <c r="L66" i="9"/>
  <c r="M48" i="9"/>
  <c r="D122" i="9"/>
  <c r="D8" i="52"/>
  <c r="B31" i="72"/>
  <c r="D15" i="53"/>
  <c r="H108" i="9"/>
  <c r="C86" i="9"/>
  <c r="C93" i="9"/>
  <c r="C72" i="9"/>
  <c r="C79" i="9"/>
  <c r="C80" i="9"/>
  <c r="E80" i="9"/>
  <c r="E81" i="9"/>
  <c r="B30" i="72"/>
  <c r="H102" i="9"/>
  <c r="D7" i="53"/>
  <c r="B21" i="72"/>
  <c r="C73" i="9"/>
  <c r="C78" i="9"/>
  <c r="E118" i="9"/>
  <c r="D118" i="9"/>
  <c r="D4" i="52"/>
  <c r="B47" i="72"/>
  <c r="C85" i="9"/>
  <c r="C95" i="9"/>
  <c r="C97" i="9"/>
  <c r="D58" i="9"/>
  <c r="D56" i="9"/>
  <c r="M54" i="9"/>
  <c r="D59" i="9"/>
  <c r="M55" i="9"/>
  <c r="D52" i="9"/>
  <c r="D53" i="9"/>
  <c r="C105" i="9"/>
  <c r="I4" i="52"/>
  <c r="D5" i="53"/>
  <c r="B20" i="72"/>
  <c r="L67" i="9"/>
  <c r="M67" i="9"/>
  <c r="N60" i="9"/>
  <c r="M49" i="9"/>
  <c r="N59" i="9"/>
  <c r="N61" i="9"/>
  <c r="C64" i="9"/>
  <c r="C63" i="9"/>
  <c r="C67" i="9"/>
  <c r="C68" i="9"/>
  <c r="D54" i="9"/>
  <c r="H107" i="9"/>
  <c r="D13" i="53"/>
  <c r="D14" i="53"/>
  <c r="B32" i="72"/>
  <c r="P57" i="9"/>
  <c r="H101" i="9"/>
  <c r="D45" i="9"/>
  <c r="D55" i="9"/>
  <c r="M53" i="9"/>
  <c r="N57" i="9"/>
  <c r="N58"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4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4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4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4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400-000005000000}">
      <text>
        <r>
          <rPr>
            <sz val="12"/>
            <color indexed="81"/>
            <rFont val="宋体"/>
            <family val="3"/>
            <charset val="134"/>
          </rPr>
          <t xml:space="preserve">名称在右侧单元格录入
</t>
        </r>
      </text>
    </comment>
    <comment ref="B16" authorId="0" shapeId="0" xr:uid="{00000000-0006-0000-14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4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400-000008000000}">
      <text>
        <r>
          <rPr>
            <sz val="11"/>
            <color indexed="81"/>
            <rFont val="宋体"/>
            <family val="3"/>
            <charset val="134"/>
          </rPr>
          <t xml:space="preserve">有相同面积依据时，仅在土地面积依据处录入。
</t>
        </r>
      </text>
    </comment>
    <comment ref="C28" authorId="1" shapeId="0" xr:uid="{00000000-0006-0000-1400-000009000000}">
      <text>
        <r>
          <rPr>
            <sz val="11"/>
            <color indexed="81"/>
            <rFont val="楷体_GB2312"/>
            <family val="3"/>
            <charset val="134"/>
          </rPr>
          <t>其他特殊项请在右侧录入</t>
        </r>
      </text>
    </comment>
    <comment ref="C30" authorId="1" shapeId="0" xr:uid="{00000000-0006-0000-14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400-00000B000000}">
      <text>
        <r>
          <rPr>
            <sz val="11"/>
            <color indexed="81"/>
            <rFont val="宋体"/>
            <family val="3"/>
            <charset val="134"/>
          </rPr>
          <t xml:space="preserve">工程停工、土地闲置、年久失修等
</t>
        </r>
      </text>
    </comment>
    <comment ref="E32" authorId="1" shapeId="0" xr:uid="{00000000-0006-0000-1400-00000C000000}">
      <text>
        <r>
          <rPr>
            <sz val="11"/>
            <color indexed="81"/>
            <rFont val="宋体"/>
            <family val="3"/>
            <charset val="134"/>
          </rPr>
          <t xml:space="preserve">工程停工、土地闲置、年久失修等
</t>
        </r>
      </text>
    </comment>
    <comment ref="E33" authorId="1" shapeId="0" xr:uid="{00000000-0006-0000-1400-00000D000000}">
      <text>
        <r>
          <rPr>
            <sz val="11"/>
            <color indexed="81"/>
            <rFont val="宋体"/>
            <family val="3"/>
            <charset val="134"/>
          </rPr>
          <t xml:space="preserve">工程停工、土地闲置、年久失修等
</t>
        </r>
      </text>
    </comment>
    <comment ref="K42" authorId="1" shapeId="0" xr:uid="{00000000-0006-0000-14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4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4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4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4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4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4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4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4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4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4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在建项目均选择“是”</t>
        </r>
      </text>
    </comment>
    <comment ref="F59" authorId="1" shapeId="0" xr:uid="{00000000-0006-0000-2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900-000006000000}">
      <text>
        <r>
          <rPr>
            <sz val="10"/>
            <color indexed="81"/>
            <rFont val="宋体"/>
            <family val="3"/>
            <charset val="134"/>
          </rPr>
          <t xml:space="preserve">在建
</t>
        </r>
      </text>
    </comment>
    <comment ref="N59" authorId="0" shapeId="0" xr:uid="{00000000-0006-0000-29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在建项目均选择“是”</t>
        </r>
      </text>
    </comment>
    <comment ref="F59" authorId="1" shapeId="0" xr:uid="{00000000-0006-0000-3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000-000006000000}">
      <text>
        <r>
          <rPr>
            <sz val="10"/>
            <color indexed="81"/>
            <rFont val="宋体"/>
            <family val="3"/>
            <charset val="134"/>
          </rPr>
          <t xml:space="preserve">在建
</t>
        </r>
      </text>
    </comment>
    <comment ref="N59" authorId="0" shapeId="0" xr:uid="{00000000-0006-0000-30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100-000004000000}">
      <text>
        <r>
          <rPr>
            <b/>
            <sz val="12"/>
            <color indexed="81"/>
            <rFont val="宋体"/>
            <family val="3"/>
            <charset val="134"/>
          </rPr>
          <t>所属项目品质或
物业管理</t>
        </r>
      </text>
    </comment>
    <comment ref="B86" authorId="0" shapeId="0" xr:uid="{00000000-0006-0000-3100-000005000000}">
      <text>
        <r>
          <rPr>
            <b/>
            <sz val="12"/>
            <color indexed="81"/>
            <rFont val="宋体"/>
            <family val="3"/>
            <charset val="134"/>
          </rPr>
          <t>所属项目品质</t>
        </r>
      </text>
    </comment>
    <comment ref="B89" authorId="0" shapeId="0" xr:uid="{00000000-0006-0000-3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200-00000300000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5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5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5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赵泽</author>
  </authors>
  <commentList>
    <comment ref="H2" authorId="0" shapeId="0" xr:uid="{00000000-0006-0000-3400-000001000000}">
      <text>
        <r>
          <rPr>
            <b/>
            <sz val="9"/>
            <rFont val="宋体"/>
            <family val="3"/>
            <charset val="134"/>
          </rPr>
          <t>赵泽:</t>
        </r>
        <r>
          <rPr>
            <sz val="9"/>
            <rFont val="宋体"/>
            <family val="3"/>
            <charset val="134"/>
          </rPr>
          <t xml:space="preserve">
2024.9-2027.9
</t>
        </r>
      </text>
    </comment>
    <comment ref="J2" authorId="0" shapeId="0" xr:uid="{00000000-0006-0000-3400-000002000000}">
      <text>
        <r>
          <rPr>
            <b/>
            <sz val="9"/>
            <rFont val="宋体"/>
            <family val="3"/>
            <charset val="134"/>
          </rPr>
          <t>赵泽:</t>
        </r>
        <r>
          <rPr>
            <sz val="9"/>
            <rFont val="宋体"/>
            <family val="3"/>
            <charset val="134"/>
          </rPr>
          <t xml:space="preserve">
2027.9-2029.9
</t>
        </r>
      </text>
    </comment>
    <comment ref="J6" authorId="0" shapeId="0" xr:uid="{00000000-0006-0000-3400-000003000000}">
      <text>
        <r>
          <rPr>
            <b/>
            <sz val="9"/>
            <rFont val="宋体"/>
            <family val="3"/>
            <charset val="134"/>
          </rPr>
          <t>赵泽:</t>
        </r>
        <r>
          <rPr>
            <sz val="9"/>
            <rFont val="宋体"/>
            <family val="3"/>
            <charset val="134"/>
          </rPr>
          <t xml:space="preserve">
2027.8.16
</t>
        </r>
      </text>
    </comment>
    <comment ref="J8" authorId="0" shapeId="0" xr:uid="{00000000-0006-0000-3400-000004000000}">
      <text>
        <r>
          <rPr>
            <b/>
            <sz val="9"/>
            <rFont val="宋体"/>
            <family val="3"/>
            <charset val="134"/>
          </rPr>
          <t>赵泽:</t>
        </r>
        <r>
          <rPr>
            <sz val="9"/>
            <rFont val="宋体"/>
            <family val="3"/>
            <charset val="134"/>
          </rPr>
          <t xml:space="preserve">
2027.9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6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6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7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7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7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7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7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7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7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800-000001000000}">
      <text>
        <r>
          <rPr>
            <sz val="12"/>
            <color indexed="81"/>
            <rFont val="宋体"/>
            <family val="3"/>
            <charset val="134"/>
          </rPr>
          <t xml:space="preserve">指区域居住用地比例、居住小区规模和社区发展完善程度
</t>
        </r>
      </text>
    </comment>
    <comment ref="F3" authorId="0" shapeId="0" xr:uid="{00000000-0006-0000-1800-000002000000}">
      <text>
        <r>
          <rPr>
            <sz val="12"/>
            <color indexed="81"/>
            <rFont val="宋体"/>
            <family val="3"/>
            <charset val="134"/>
          </rPr>
          <t xml:space="preserve">也指工业区成熟度，工业区性质、相关产业的配套及集聚状况
</t>
        </r>
      </text>
    </comment>
    <comment ref="B4" authorId="0" shapeId="0" xr:uid="{00000000-0006-0000-18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8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8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8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800-000007000000}">
      <text>
        <r>
          <rPr>
            <sz val="12"/>
            <color indexed="81"/>
            <rFont val="宋体"/>
            <family val="3"/>
            <charset val="134"/>
          </rPr>
          <t>主要指污染排放状况及治理状况、距离危险设施或污染源的临近程度、自然条件等</t>
        </r>
      </text>
    </comment>
    <comment ref="B9" authorId="0" shapeId="0" xr:uid="{00000000-0006-0000-18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<sst xmlns="http://schemas.openxmlformats.org/spreadsheetml/2006/main" count="21470" uniqueCount="4871">
  <si>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</si>
  <si>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</si>
  <si>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</si>
  <si>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</si>
  <si>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</si>
  <si>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</si>
  <si>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</si>
  <si>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</si>
  <si>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</si>
  <si>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</si>
  <si>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</si>
  <si>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</si>
  <si>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</si>
  <si>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</si>
  <si>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</si>
  <si>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</si>
  <si>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</si>
  <si>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</si>
  <si>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</si>
  <si>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</si>
  <si>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</si>
  <si>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</si>
  <si>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</si>
  <si>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</si>
  <si>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</si>
  <si>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</si>
  <si>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</si>
  <si>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</si>
  <si>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</si>
  <si>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</si>
  <si>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</si>
  <si>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</si>
  <si>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</si>
  <si>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</si>
  <si>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</si>
  <si>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</si>
  <si>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</si>
  <si>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</si>
  <si>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</si>
  <si>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</si>
  <si>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</si>
  <si>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</si>
  <si>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</si>
  <si>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</si>
  <si>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</si>
  <si>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</si>
  <si>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</si>
  <si>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</si>
  <si>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</si>
  <si>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</si>
  <si>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</si>
  <si>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</si>
  <si>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</si>
  <si>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</si>
  <si>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</si>
  <si>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</si>
  <si>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</si>
  <si>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</si>
  <si>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</si>
  <si>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</si>
  <si>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</si>
  <si>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</si>
  <si>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</si>
  <si>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</si>
  <si>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</si>
  <si>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</si>
  <si>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</si>
  <si>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</si>
  <si>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</si>
  <si>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</si>
  <si>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</si>
  <si>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</si>
  <si>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</si>
  <si>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</si>
  <si>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</si>
  <si>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</si>
  <si>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</si>
  <si>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</si>
  <si>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</si>
  <si>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</si>
  <si>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</si>
  <si>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</si>
  <si>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</si>
  <si>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</si>
  <si>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</si>
  <si>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</si>
  <si>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</si>
  <si>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</si>
  <si>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</si>
  <si>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</si>
  <si>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</si>
  <si>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</si>
  <si>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</si>
  <si>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</si>
  <si>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</si>
  <si>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</si>
  <si>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</si>
  <si>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</si>
  <si>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</si>
  <si>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</si>
  <si>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</si>
  <si>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</si>
  <si>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</si>
  <si>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</si>
  <si>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</si>
  <si>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</si>
  <si>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</si>
  <si>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</si>
  <si>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</si>
  <si>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</si>
  <si>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</si>
  <si>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</si>
  <si>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</si>
  <si>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</si>
  <si>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</si>
  <si>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</si>
  <si>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</si>
  <si>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</si>
  <si>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</si>
  <si>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</si>
  <si>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</si>
  <si>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</si>
  <si>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</si>
  <si>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</si>
  <si>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</si>
  <si>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</si>
  <si>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</si>
  <si>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</si>
  <si>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</si>
  <si>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</si>
  <si>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</si>
  <si>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</si>
  <si>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</si>
  <si>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</si>
  <si>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</si>
  <si>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</si>
  <si>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</si>
  <si>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</si>
  <si>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</si>
  <si>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</si>
  <si>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</si>
  <si>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</si>
  <si>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</si>
  <si>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</si>
  <si>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</si>
  <si>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</si>
  <si>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</si>
  <si>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</si>
  <si>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</si>
  <si>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</si>
  <si>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</si>
  <si>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</si>
  <si>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</si>
  <si>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</si>
  <si>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</si>
  <si>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</si>
  <si>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</si>
  <si>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</si>
  <si>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</si>
  <si>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</si>
  <si>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</si>
  <si>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</si>
  <si>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</si>
  <si>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</si>
  <si>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</si>
  <si>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</si>
  <si>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</si>
  <si>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</si>
  <si>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</si>
  <si>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</si>
  <si>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</si>
  <si>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</si>
  <si>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</si>
  <si>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</si>
  <si>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</si>
  <si>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</si>
  <si>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</si>
  <si>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</si>
  <si>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</si>
  <si>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</si>
  <si>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</si>
  <si>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</si>
  <si>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</si>
  <si>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</si>
  <si>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</si>
  <si>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</si>
  <si>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</si>
  <si>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</si>
  <si>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</si>
  <si>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</si>
  <si>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</si>
  <si>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</si>
  <si>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</si>
  <si>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</si>
  <si>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</si>
  <si>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</si>
  <si>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</si>
  <si>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</si>
  <si>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</si>
  <si>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</si>
  <si>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</si>
  <si>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</si>
  <si>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</si>
  <si>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</si>
  <si>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</si>
  <si>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</si>
  <si>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</si>
  <si>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</si>
  <si>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</si>
  <si>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</si>
  <si>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</si>
  <si>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</si>
  <si>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</si>
  <si>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</si>
  <si>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</si>
  <si>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</si>
  <si>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</si>
  <si>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</si>
  <si>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</si>
  <si>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</si>
  <si>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</si>
  <si>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</si>
  <si>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</si>
  <si>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</si>
  <si>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</si>
  <si>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</si>
  <si>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</si>
  <si>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</si>
  <si>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</si>
  <si>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</si>
  <si>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</si>
  <si>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</si>
  <si>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</si>
  <si>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</si>
  <si>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</si>
  <si>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</si>
  <si>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</si>
  <si>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</si>
  <si>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</si>
  <si>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</si>
  <si>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</si>
  <si>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</si>
  <si>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</si>
  <si>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</si>
  <si>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</si>
  <si>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</si>
  <si>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</si>
  <si>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</si>
  <si>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</si>
  <si>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</si>
  <si>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</si>
  <si>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</si>
  <si>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</si>
  <si>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</si>
  <si>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</si>
  <si>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</si>
  <si>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</si>
  <si>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</si>
  <si>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</si>
  <si>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</si>
  <si>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</si>
  <si>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</si>
  <si>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</si>
  <si>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</si>
  <si>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</si>
  <si>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</si>
  <si>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</si>
  <si>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</si>
  <si>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</si>
  <si>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</si>
  <si>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</si>
  <si>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</si>
  <si>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</si>
  <si>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</si>
  <si>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</si>
  <si>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</si>
  <si>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</si>
  <si>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</si>
  <si>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</si>
  <si>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</si>
  <si>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</si>
  <si>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</si>
  <si>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</si>
  <si>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</si>
  <si>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</si>
  <si>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</si>
  <si>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</si>
  <si>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</si>
  <si>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</si>
  <si>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</si>
  <si>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</si>
  <si>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</si>
  <si>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</si>
  <si>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</si>
  <si>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</si>
  <si>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</si>
  <si>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</si>
  <si>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</si>
  <si>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</si>
  <si>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</si>
  <si>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</si>
  <si>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</si>
  <si>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</si>
  <si>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</si>
  <si>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</si>
  <si>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</si>
  <si>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</si>
  <si>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</si>
  <si>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</si>
  <si>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</si>
  <si>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</si>
  <si>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</si>
  <si>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</si>
  <si>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</si>
  <si>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</si>
  <si>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</si>
  <si>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</si>
  <si>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</si>
  <si>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</si>
  <si>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</si>
  <si>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</si>
  <si>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</si>
  <si>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</si>
  <si>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</si>
  <si>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</si>
  <si>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</si>
  <si>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</si>
  <si>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</si>
  <si>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</si>
  <si>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</si>
  <si>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</si>
  <si>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</si>
  <si>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</si>
  <si>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</si>
  <si>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</si>
  <si>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</si>
  <si>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</si>
  <si>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</si>
  <si>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</si>
  <si>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</si>
  <si>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</si>
  <si>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</si>
  <si>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</si>
  <si>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</si>
  <si>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</si>
  <si>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</si>
  <si>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</si>
  <si>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</si>
  <si>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</si>
  <si>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</si>
  <si>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</si>
  <si>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</si>
  <si>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</si>
  <si>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</si>
  <si>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</si>
  <si>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</si>
  <si>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</si>
  <si>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</si>
  <si>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</si>
  <si>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</si>
  <si>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</si>
  <si>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</si>
  <si>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</si>
  <si>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</si>
  <si>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</si>
  <si>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</si>
  <si>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</si>
  <si>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</si>
  <si>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</si>
  <si>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</si>
  <si>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</si>
  <si>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</si>
  <si>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</si>
  <si>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</si>
  <si>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</si>
  <si>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</si>
  <si>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</si>
  <si>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</si>
  <si>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</si>
  <si>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</si>
  <si>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</si>
  <si>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</si>
  <si>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</si>
  <si>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</si>
  <si>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</si>
  <si>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</si>
  <si>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</si>
  <si>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</si>
  <si>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</si>
  <si>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</si>
  <si>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</si>
  <si>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</si>
  <si>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</si>
  <si>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</si>
  <si>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</si>
  <si>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</si>
  <si>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</si>
  <si>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</si>
  <si>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</si>
  <si>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</si>
  <si>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</si>
  <si>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</si>
  <si>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</si>
  <si>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</si>
  <si>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</si>
  <si>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</si>
  <si>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</si>
  <si>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</si>
  <si>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</si>
  <si>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</si>
  <si>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</si>
  <si>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</si>
  <si>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</si>
  <si>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</si>
  <si>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</si>
  <si>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</si>
  <si>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</si>
  <si>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</si>
  <si>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</si>
  <si>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</si>
  <si>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</si>
  <si>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</si>
  <si>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</si>
  <si>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</si>
  <si>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</si>
  <si>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</si>
  <si>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</si>
  <si>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</si>
  <si>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</si>
  <si>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</si>
  <si>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</si>
  <si>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</si>
  <si>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</si>
  <si>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</si>
  <si>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</si>
  <si>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</si>
  <si>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</si>
  <si>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</si>
  <si>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</si>
  <si>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</si>
  <si>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</si>
  <si>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</si>
  <si>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</si>
  <si>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</si>
  <si>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</si>
  <si>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</si>
  <si>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</si>
  <si>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</si>
  <si>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</si>
  <si>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</si>
  <si>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</si>
  <si>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</si>
  <si>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</si>
  <si>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</si>
  <si>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</si>
  <si>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</si>
  <si>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</si>
  <si>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</si>
  <si>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</si>
  <si>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</si>
  <si>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</si>
  <si>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</si>
  <si>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</si>
  <si>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</si>
  <si>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</si>
  <si>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</si>
  <si>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</si>
  <si>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</si>
  <si>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</si>
  <si>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</si>
  <si>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</si>
  <si>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</si>
  <si>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</si>
  <si>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</si>
  <si>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</si>
  <si>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</si>
  <si>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</si>
  <si>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</si>
  <si>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</si>
  <si>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</si>
  <si>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</si>
  <si>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</si>
  <si>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</si>
  <si>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</si>
  <si>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</si>
  <si>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</si>
  <si>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</si>
  <si>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</si>
  <si>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</si>
  <si>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</si>
  <si>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</si>
  <si>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</si>
  <si>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</si>
  <si>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</si>
  <si>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</si>
  <si>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</si>
  <si>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</si>
  <si>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</si>
  <si>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</si>
  <si>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</si>
  <si>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</si>
  <si>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</si>
  <si>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</si>
  <si>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</si>
  <si>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</si>
  <si>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</si>
  <si>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</si>
  <si>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</si>
  <si>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</si>
  <si>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</si>
  <si>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</si>
  <si>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</si>
  <si>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</si>
  <si>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</si>
  <si>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</si>
  <si>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</si>
  <si>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</si>
  <si>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</si>
  <si>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</si>
  <si>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</si>
  <si>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</si>
  <si>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</si>
  <si>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</si>
  <si>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</si>
  <si>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</si>
  <si>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</si>
  <si>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</si>
  <si>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</si>
  <si>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</si>
  <si>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</si>
  <si>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</si>
  <si>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</si>
  <si>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</si>
  <si>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</si>
  <si>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</si>
  <si>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</si>
  <si>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</si>
  <si>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</si>
  <si>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</si>
  <si>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</si>
  <si>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</si>
  <si>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</si>
  <si>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</si>
  <si>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</si>
  <si>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</si>
  <si>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</si>
  <si>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</si>
  <si>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</si>
  <si>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</si>
  <si>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</si>
  <si>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</si>
  <si>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</si>
  <si>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</si>
  <si>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</si>
  <si>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</si>
  <si>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</si>
  <si>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</si>
  <si>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</si>
  <si>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</si>
  <si>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</si>
  <si>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</si>
  <si>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</si>
  <si>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</si>
  <si>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</si>
  <si>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</si>
  <si>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</si>
  <si>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</si>
  <si>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</si>
  <si>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</si>
  <si>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</si>
  <si>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</si>
  <si>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</si>
  <si>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</si>
  <si>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</si>
  <si>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</si>
  <si>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</si>
  <si>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</si>
  <si>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</si>
  <si>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</si>
  <si>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</si>
  <si>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</si>
  <si>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</si>
  <si>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</si>
  <si>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</si>
  <si>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</si>
  <si>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</si>
  <si>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</si>
  <si>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</si>
  <si>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</si>
  <si>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</si>
  <si>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</si>
  <si>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</si>
  <si>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</si>
  <si>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</si>
  <si>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</si>
  <si>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</si>
  <si>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</si>
  <si>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</si>
  <si>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</si>
  <si>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</si>
  <si>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</si>
  <si>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</si>
  <si>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</si>
  <si>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</si>
  <si>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</si>
  <si>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</si>
  <si>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</si>
  <si>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</si>
  <si>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</si>
  <si>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</si>
  <si>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</si>
  <si>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</si>
  <si>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</si>
  <si>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</si>
  <si>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</si>
  <si>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</si>
  <si>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</si>
  <si>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</si>
  <si>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</si>
  <si>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</si>
  <si>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</si>
  <si>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</si>
  <si>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</si>
  <si>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</si>
  <si>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</si>
  <si>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</si>
  <si>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</si>
  <si>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</si>
  <si>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</si>
  <si>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</si>
  <si>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</si>
  <si>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</si>
  <si>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</si>
  <si>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</si>
  <si>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</si>
  <si>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</si>
  <si>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</si>
  <si>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</si>
  <si>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</si>
  <si>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</si>
  <si>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</si>
  <si>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</si>
  <si>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</si>
  <si>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</si>
  <si>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</si>
  <si>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</si>
  <si>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</si>
  <si>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</si>
  <si>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</si>
  <si>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</si>
  <si>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</si>
  <si>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</si>
  <si>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</si>
  <si>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</si>
  <si>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</si>
  <si>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</si>
  <si>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</si>
  <si>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</si>
  <si>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</si>
  <si>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</si>
  <si>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</si>
  <si>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</si>
  <si>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</si>
  <si>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</si>
  <si>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</si>
  <si>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</si>
  <si>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</si>
  <si>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</si>
  <si>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</si>
  <si>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</si>
  <si>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</si>
  <si>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</si>
  <si>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</si>
  <si>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</si>
  <si>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</si>
  <si>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</si>
  <si>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</si>
  <si>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</si>
  <si>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</si>
  <si>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</si>
  <si>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</si>
  <si>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</si>
  <si>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</si>
  <si>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</si>
  <si>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</si>
  <si>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</si>
  <si>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</si>
  <si>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</si>
  <si>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</si>
  <si>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</si>
  <si>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</si>
  <si>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</si>
  <si>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</si>
  <si>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</si>
  <si>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</si>
  <si>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</si>
  <si>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</si>
  <si>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</si>
  <si>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</si>
  <si>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</si>
  <si>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</si>
  <si>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</si>
  <si>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</si>
  <si>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</si>
  <si>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</si>
  <si>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</si>
  <si>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</si>
  <si>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</si>
  <si>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</si>
  <si>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</si>
  <si>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</si>
  <si>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</si>
  <si>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</si>
  <si>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</si>
  <si>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</si>
  <si>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</si>
  <si>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</si>
  <si>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</si>
  <si>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</si>
  <si>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</si>
  <si>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</si>
  <si>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</si>
  <si>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</si>
  <si>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</si>
  <si>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</si>
  <si>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</si>
  <si>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</si>
  <si>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</si>
  <si>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</si>
  <si>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</si>
  <si>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</si>
  <si>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</si>
  <si>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</si>
  <si>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</si>
  <si>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</si>
  <si>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</si>
  <si>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</si>
  <si>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</si>
  <si>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</si>
  <si>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</si>
  <si>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</si>
  <si>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</si>
  <si>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</si>
  <si>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</si>
  <si>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</si>
  <si>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</si>
  <si>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</si>
  <si>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</si>
  <si>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</si>
  <si>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</si>
  <si>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</si>
  <si>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</si>
  <si>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</si>
  <si>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</si>
  <si>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</si>
  <si>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</si>
  <si>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</si>
  <si>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</si>
  <si>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</si>
  <si>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</si>
  <si>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</si>
  <si>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</si>
  <si>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</si>
  <si>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</si>
  <si>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</si>
  <si>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</si>
  <si>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</si>
  <si>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</si>
  <si>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</si>
  <si>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</si>
  <si>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</si>
  <si>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</si>
  <si>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</si>
  <si>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</si>
  <si>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</si>
  <si>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</si>
  <si>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</si>
  <si>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</si>
  <si>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</si>
  <si>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</si>
  <si>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</si>
  <si>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</si>
  <si>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</si>
  <si>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</si>
  <si>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</si>
  <si>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</si>
  <si>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</si>
  <si>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</si>
  <si>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</si>
  <si>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</si>
  <si>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</si>
  <si>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</si>
  <si>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</si>
  <si>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</si>
  <si>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</si>
  <si>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</si>
  <si>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</si>
  <si>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</si>
  <si>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</si>
  <si>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</si>
  <si>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</si>
  <si>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</si>
  <si>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</si>
  <si>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</si>
  <si>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</si>
  <si>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</si>
  <si>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</si>
  <si>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</si>
  <si>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</si>
  <si>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</si>
  <si>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</si>
  <si>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</si>
  <si>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</si>
  <si>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</si>
  <si>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</si>
  <si>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</si>
  <si>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</si>
  <si>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</si>
  <si>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</si>
  <si>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</si>
  <si>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</si>
  <si>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</si>
  <si>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</si>
  <si>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</si>
  <si>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</si>
  <si>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</si>
  <si>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</si>
  <si>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</si>
  <si>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</si>
  <si>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</si>
  <si>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</si>
  <si>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</si>
  <si>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</si>
  <si>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</si>
  <si>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</si>
  <si>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</si>
  <si>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</si>
  <si>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</si>
  <si>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</si>
  <si>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</si>
  <si>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</si>
  <si>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</si>
  <si>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</si>
  <si>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</si>
  <si>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</si>
  <si>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</si>
  <si>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</si>
  <si>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</si>
  <si>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</si>
  <si>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</si>
  <si>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</si>
  <si>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</si>
  <si>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</si>
  <si>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</si>
  <si>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</si>
  <si>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</si>
  <si>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</si>
  <si>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</si>
  <si>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</si>
  <si>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</si>
  <si>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</si>
  <si>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</si>
  <si>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</si>
  <si>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</si>
  <si>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</si>
  <si>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</si>
  <si>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</si>
  <si>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</si>
  <si>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</si>
  <si>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</si>
  <si>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</si>
  <si>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</si>
  <si>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</si>
  <si>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</si>
  <si>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</si>
  <si>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</si>
  <si>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</si>
  <si>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</si>
  <si>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</si>
  <si>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</si>
  <si>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</si>
  <si>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</si>
  <si>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</si>
  <si>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</si>
  <si>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</si>
  <si>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</si>
  <si>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</si>
  <si>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</si>
  <si>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</si>
  <si>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</si>
  <si>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</si>
  <si>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</si>
  <si>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</si>
  <si>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</si>
  <si>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</si>
  <si>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</si>
  <si>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</si>
  <si>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</si>
  <si>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</si>
  <si>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</si>
  <si>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</si>
  <si>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</si>
  <si>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</si>
  <si>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</si>
  <si>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</si>
  <si>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</si>
  <si>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</si>
  <si>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</si>
  <si>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</si>
  <si>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</si>
  <si>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</si>
  <si>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</si>
  <si>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</si>
  <si>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</si>
  <si>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</si>
  <si>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</si>
  <si>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</si>
  <si>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</si>
  <si>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</si>
  <si>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</si>
  <si>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</si>
  <si>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</si>
  <si>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</si>
  <si>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</si>
  <si>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</si>
  <si>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</si>
  <si>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</si>
  <si>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</si>
  <si>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</si>
  <si>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</si>
  <si>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</si>
  <si>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</si>
  <si>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</si>
  <si>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</si>
  <si>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</si>
  <si>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</si>
  <si>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</si>
  <si>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</si>
  <si>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</si>
  <si>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</si>
  <si>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</si>
  <si>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</si>
  <si>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</si>
  <si>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</si>
  <si>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</si>
  <si>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</si>
  <si>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</si>
  <si>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</si>
  <si>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</si>
  <si>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</si>
  <si>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</si>
  <si>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</si>
  <si>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</si>
  <si>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</si>
  <si>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</si>
  <si>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</si>
  <si>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</si>
  <si>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</si>
  <si>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</si>
  <si>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</si>
  <si>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</si>
  <si>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</si>
  <si>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</si>
  <si>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</si>
  <si>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</si>
  <si>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</si>
  <si>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</si>
  <si>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</si>
  <si>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</si>
  <si>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</si>
  <si>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</si>
  <si>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</si>
  <si>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</si>
  <si>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</si>
  <si>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</si>
  <si>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</si>
  <si>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</si>
  <si>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</si>
  <si>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</si>
  <si>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</si>
  <si>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</si>
  <si>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</si>
  <si>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</si>
  <si>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</si>
  <si>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</si>
  <si>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</si>
  <si>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</si>
  <si>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</si>
  <si>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</si>
  <si>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</si>
  <si>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</si>
  <si>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</si>
  <si>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</si>
  <si>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</si>
  <si>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</si>
  <si>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</si>
  <si>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</si>
  <si>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</si>
  <si>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</si>
  <si>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</si>
  <si>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</si>
  <si>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</si>
  <si>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</si>
  <si>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</si>
  <si>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</si>
  <si>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</si>
  <si>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</si>
  <si>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</si>
  <si>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</si>
  <si>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</si>
  <si>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</si>
  <si>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</si>
  <si>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</si>
  <si>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</si>
  <si>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</si>
  <si>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</si>
  <si>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</si>
  <si>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</si>
  <si>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</si>
  <si>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</si>
  <si>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</si>
  <si>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</si>
  <si>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</si>
  <si>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</si>
  <si>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</si>
  <si>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</si>
  <si>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</si>
  <si>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</si>
  <si>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</si>
  <si>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</si>
  <si>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</si>
  <si>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</si>
  <si>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</si>
  <si>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</si>
  <si>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</si>
  <si>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</si>
  <si>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</si>
  <si>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</si>
  <si>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</si>
  <si>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</si>
  <si>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</si>
  <si>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</si>
  <si>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</si>
  <si>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</si>
  <si>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</si>
  <si>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</si>
  <si>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</si>
  <si>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</si>
  <si>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</si>
  <si>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</si>
  <si>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</si>
  <si>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</si>
  <si>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</si>
  <si>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</si>
  <si>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</si>
  <si>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</si>
  <si>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</si>
  <si>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</si>
  <si>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</si>
  <si>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</si>
  <si>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</si>
  <si>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</si>
  <si>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</si>
  <si>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</si>
  <si>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</si>
  <si>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</si>
  <si>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</si>
  <si>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</si>
  <si>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</si>
  <si>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</si>
  <si>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</si>
  <si>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</si>
  <si>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</si>
  <si>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</si>
  <si>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</si>
  <si>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</si>
  <si>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</si>
  <si>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</si>
  <si>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</si>
  <si>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</si>
  <si>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</si>
  <si>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</si>
  <si>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</si>
  <si>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</si>
  <si>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</si>
  <si>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</si>
  <si>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</si>
  <si>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</si>
  <si>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</si>
  <si>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</si>
  <si>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</si>
  <si>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</si>
  <si>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</si>
  <si>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</si>
  <si>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</si>
  <si>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</si>
  <si>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</si>
  <si>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</si>
  <si>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</si>
  <si>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</si>
  <si>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</si>
  <si>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</si>
  <si>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</si>
  <si>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</si>
  <si>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</si>
  <si>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</si>
  <si>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</si>
  <si>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</si>
  <si>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</si>
  <si>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</si>
  <si>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</si>
  <si>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</si>
  <si>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</si>
  <si>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</si>
  <si>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</si>
  <si>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</si>
  <si>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</si>
  <si>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</si>
  <si>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</si>
  <si>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</si>
  <si>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</si>
  <si>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</si>
  <si>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</si>
  <si>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</si>
  <si>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</si>
  <si>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</si>
  <si>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</si>
  <si>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</si>
  <si>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</si>
  <si>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</si>
  <si>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</si>
  <si>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</si>
  <si>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</si>
  <si>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</si>
  <si>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</si>
  <si>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</si>
  <si>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</si>
  <si>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</si>
  <si>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</si>
  <si>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</si>
  <si>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</si>
  <si>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</si>
  <si>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</si>
  <si>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</si>
  <si>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</si>
  <si>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</si>
  <si>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</si>
  <si>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</si>
  <si>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</si>
  <si>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</si>
  <si>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</si>
  <si>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</si>
  <si>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</si>
  <si>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</si>
  <si>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</si>
  <si>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</si>
  <si>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</si>
  <si>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</si>
  <si>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</si>
  <si>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</si>
  <si>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</si>
  <si>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</si>
  <si>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</si>
  <si>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</si>
  <si>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</si>
  <si>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</si>
  <si>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</si>
  <si>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</si>
  <si>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</si>
  <si>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</si>
  <si>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</si>
  <si>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</si>
  <si>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</si>
  <si>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</si>
  <si>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</si>
  <si>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</si>
  <si>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</si>
  <si>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</si>
  <si>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</si>
  <si>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</si>
  <si>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</si>
  <si>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</si>
  <si>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</si>
  <si>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</si>
  <si>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</si>
  <si>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</si>
  <si>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</si>
  <si>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</si>
  <si>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</si>
  <si>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</si>
  <si>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</si>
  <si>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</si>
  <si>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</si>
  <si>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</si>
  <si>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</si>
  <si>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</si>
  <si>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</si>
  <si>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</si>
  <si>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</si>
  <si>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</si>
  <si>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</si>
  <si>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</si>
  <si>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</si>
  <si>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</si>
  <si>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</si>
  <si>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</si>
  <si>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</si>
  <si>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</si>
  <si>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</si>
  <si>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</si>
  <si>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</si>
  <si>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</si>
  <si>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</si>
  <si>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</si>
  <si>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</si>
  <si>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</si>
  <si>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</si>
  <si>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</si>
  <si>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</si>
  <si>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</si>
  <si>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</si>
  <si>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</si>
  <si>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</si>
  <si>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</si>
  <si>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</si>
  <si>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</si>
  <si>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</si>
  <si>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</si>
  <si>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</si>
  <si>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</si>
  <si>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</si>
  <si>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</si>
  <si>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</si>
  <si>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</si>
  <si>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</si>
  <si>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</si>
  <si>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</si>
  <si>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</si>
  <si>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</si>
  <si>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</si>
  <si>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</si>
  <si>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</si>
  <si>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</si>
  <si>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</si>
  <si>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</si>
  <si>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</si>
  <si>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</si>
  <si>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</si>
  <si>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</si>
  <si>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</si>
  <si>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</si>
  <si>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</si>
  <si>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</si>
  <si>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</si>
  <si>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</si>
  <si>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</si>
  <si>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</si>
  <si>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</si>
  <si>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</si>
  <si>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</si>
  <si>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</si>
  <si>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</si>
  <si>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</si>
  <si>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</si>
  <si>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</si>
  <si>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</si>
  <si>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</si>
  <si>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</si>
  <si>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</si>
  <si>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</si>
  <si>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</si>
  <si>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</si>
  <si>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</si>
  <si>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</si>
  <si>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</si>
  <si>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</si>
  <si>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</si>
  <si>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</si>
  <si>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</si>
  <si>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</si>
  <si>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</si>
  <si>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</si>
  <si>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</si>
  <si>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</si>
  <si>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</si>
  <si>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</si>
  <si>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</si>
  <si>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</si>
  <si>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</si>
  <si>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</si>
  <si>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</si>
  <si>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</si>
  <si>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</si>
  <si>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</si>
  <si>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</si>
  <si>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</si>
  <si>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</si>
  <si>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</si>
  <si>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</si>
  <si>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</si>
  <si>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</si>
  <si>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</si>
  <si>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</si>
  <si>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</si>
  <si>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</si>
  <si>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</si>
  <si>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</si>
  <si>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</si>
  <si>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</si>
  <si>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</si>
  <si>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</si>
  <si>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</si>
  <si>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</si>
  <si>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</si>
  <si>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</si>
  <si>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</si>
  <si>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</si>
  <si>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</si>
  <si>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</si>
  <si>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</si>
  <si>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</si>
  <si>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</si>
  <si>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</si>
  <si>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</si>
  <si>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</si>
  <si>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</si>
  <si>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</si>
  <si>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</si>
  <si>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</si>
  <si>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</si>
  <si>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</si>
  <si>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</si>
  <si>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</si>
  <si>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</si>
  <si>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</si>
  <si>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</si>
  <si>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</si>
  <si>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</si>
  <si>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</si>
  <si>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</si>
  <si>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</si>
  <si>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</si>
  <si>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</si>
  <si>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</si>
  <si>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</si>
  <si>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</si>
  <si>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</si>
  <si>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</si>
  <si>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</si>
  <si>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</si>
  <si>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</si>
  <si>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</si>
  <si>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</si>
  <si>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</si>
  <si>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</si>
  <si>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</si>
  <si>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</si>
  <si>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</si>
  <si>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</si>
  <si>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</si>
  <si>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</si>
  <si>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</si>
  <si>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</si>
  <si>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</si>
  <si>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</si>
  <si>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</si>
  <si>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</si>
  <si>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</si>
  <si>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</si>
  <si>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</si>
  <si>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</si>
  <si>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</si>
  <si>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</si>
  <si>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</si>
  <si>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</si>
  <si>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</si>
  <si>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</si>
  <si>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</si>
  <si>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</si>
  <si>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</si>
  <si>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</si>
  <si>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</si>
  <si>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</si>
  <si>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</si>
  <si>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</si>
  <si>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</si>
  <si>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</si>
  <si>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</si>
  <si>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</si>
  <si>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</si>
  <si>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</si>
  <si>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</si>
  <si>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</si>
  <si>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</si>
  <si>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</si>
  <si>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</si>
  <si>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</si>
  <si>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</si>
  <si>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</si>
  <si>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</si>
  <si>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</si>
  <si>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</si>
  <si>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</si>
  <si>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</si>
  <si>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</si>
  <si>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</si>
  <si>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</si>
  <si>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</si>
  <si>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</si>
  <si>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</si>
  <si>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</si>
  <si>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</si>
  <si>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</si>
  <si>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</si>
  <si>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</si>
  <si>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</si>
  <si>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</si>
  <si>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</si>
  <si>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</si>
  <si>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</si>
  <si>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</si>
  <si>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</si>
  <si>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</si>
  <si>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</si>
  <si>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</si>
  <si>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</si>
  <si>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</si>
  <si>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</si>
  <si>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</si>
  <si>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</si>
  <si>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</si>
  <si>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</si>
  <si>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</si>
  <si>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</si>
  <si>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</si>
  <si>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</si>
  <si>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</si>
  <si>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</si>
  <si>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</si>
  <si>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</si>
  <si>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</si>
  <si>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</si>
  <si>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</si>
  <si>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</si>
  <si>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</si>
  <si>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</si>
  <si>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</si>
  <si>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</si>
  <si>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</si>
  <si>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</si>
  <si>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</si>
  <si>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</si>
  <si>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</si>
  <si>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</si>
  <si>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</si>
  <si>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</si>
  <si>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</si>
  <si>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</si>
  <si>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</si>
  <si>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</si>
  <si>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</si>
  <si>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</si>
  <si>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</si>
  <si>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</si>
  <si>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</si>
  <si>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</si>
  <si>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</si>
  <si>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</si>
  <si>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</si>
  <si>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</si>
  <si>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</si>
  <si>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</si>
  <si>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</si>
  <si>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</si>
  <si>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</si>
  <si>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</si>
  <si>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</si>
  <si>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</si>
  <si>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</si>
  <si>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</si>
  <si>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</si>
  <si>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</si>
  <si>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</si>
  <si>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</si>
  <si>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</si>
  <si>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</si>
  <si>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</si>
  <si>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</si>
  <si>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</si>
  <si>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</si>
  <si>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</si>
  <si>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</si>
  <si>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</si>
  <si>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</si>
  <si>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</si>
  <si>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</si>
  <si>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</si>
  <si>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</si>
  <si>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</si>
  <si>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</si>
  <si>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</si>
  <si>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</si>
  <si>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</si>
  <si>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</si>
  <si>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</si>
  <si>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</si>
  <si>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</si>
  <si>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</si>
  <si>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</si>
  <si>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</si>
  <si>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</si>
  <si>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</si>
  <si>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</si>
  <si>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</si>
  <si>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</si>
  <si>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</si>
  <si>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</si>
  <si>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</si>
  <si>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</si>
  <si>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</si>
  <si>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</si>
  <si>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</si>
  <si>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</si>
  <si>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</si>
  <si>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</si>
  <si>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</si>
  <si>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</si>
  <si>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</si>
  <si>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</si>
  <si>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</si>
  <si>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</si>
  <si>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</si>
  <si>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</si>
  <si>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</si>
  <si>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</si>
  <si>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</si>
  <si>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</si>
  <si>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</si>
  <si>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</si>
  <si>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</si>
  <si>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</si>
  <si>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</si>
  <si>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</si>
  <si>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</si>
  <si>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</si>
  <si>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</si>
  <si>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</si>
  <si>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</si>
  <si>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</si>
  <si>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</si>
  <si>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</si>
  <si>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</si>
  <si>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</si>
  <si>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</si>
  <si>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</si>
  <si>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</si>
  <si>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</si>
  <si>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</si>
  <si>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</si>
  <si>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</si>
  <si>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</si>
  <si>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</si>
  <si>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</si>
  <si>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</si>
  <si>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</si>
  <si>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</si>
  <si>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</si>
  <si>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</si>
  <si>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</si>
  <si>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</si>
  <si>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</si>
  <si>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</si>
  <si>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</si>
  <si>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</si>
  <si>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</si>
  <si>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</si>
  <si>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</si>
  <si>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</si>
  <si>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</si>
  <si>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</si>
  <si>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</si>
  <si>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</si>
  <si>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</si>
  <si>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</si>
  <si>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</si>
  <si>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</si>
  <si>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</si>
  <si>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</si>
  <si>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</si>
  <si>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</si>
  <si>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</si>
  <si>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</si>
  <si>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</si>
  <si>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</si>
  <si>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</si>
  <si>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</si>
  <si>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</si>
  <si>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</si>
  <si>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</si>
  <si>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</si>
  <si>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</si>
  <si>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</si>
  <si>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</si>
  <si>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</si>
  <si>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</si>
  <si>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</si>
  <si>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</si>
  <si>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</si>
  <si>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</si>
  <si>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</si>
  <si>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</si>
  <si>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</si>
  <si>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</si>
  <si>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</si>
  <si>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</si>
  <si>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</si>
  <si>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</si>
  <si>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</si>
  <si>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</si>
  <si>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</si>
  <si>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</si>
  <si>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</si>
  <si>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</si>
  <si>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</si>
  <si>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</si>
  <si>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</si>
  <si>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</si>
  <si>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</si>
  <si>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</si>
  <si>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</si>
  <si>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</si>
  <si>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</si>
  <si>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</si>
  <si>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</si>
  <si>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</si>
  <si>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</si>
  <si>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</si>
  <si>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</si>
  <si>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</si>
  <si>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</si>
  <si>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</si>
  <si>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</si>
  <si>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</si>
  <si>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</si>
  <si>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</si>
  <si>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</si>
  <si>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</si>
  <si>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</si>
  <si>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</si>
  <si>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</si>
  <si>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</si>
  <si>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</si>
  <si>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</si>
  <si>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</si>
  <si>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</si>
  <si>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</si>
  <si>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</si>
  <si>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</si>
  <si>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</si>
  <si>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</si>
  <si>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</si>
  <si>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</si>
  <si>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</si>
  <si>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</si>
  <si>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</si>
  <si>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</si>
  <si>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</si>
  <si>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</si>
  <si>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</si>
  <si>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</si>
  <si>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</si>
  <si>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</si>
  <si>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</si>
  <si>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</si>
  <si>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</si>
  <si>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</si>
  <si>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</si>
  <si>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</si>
  <si>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</si>
  <si>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</si>
  <si>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</si>
  <si>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</si>
  <si>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</si>
  <si>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</si>
  <si>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</si>
  <si>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</si>
  <si>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</si>
  <si>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</si>
  <si>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</si>
  <si>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</si>
  <si>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</si>
  <si>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</si>
  <si>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</si>
  <si>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</si>
  <si>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</si>
  <si>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</si>
  <si>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</si>
  <si>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</si>
  <si>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</si>
  <si>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</si>
  <si>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</si>
  <si>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</si>
  <si>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</si>
  <si>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</si>
  <si>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</si>
  <si>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</si>
  <si>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</si>
  <si>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</si>
  <si>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</si>
  <si>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</si>
  <si>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</si>
  <si>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</si>
  <si>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</si>
  <si>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</si>
  <si>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</si>
  <si>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</si>
  <si>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</si>
  <si>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</si>
  <si>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</si>
  <si>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</si>
  <si>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</si>
  <si>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</si>
  <si>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</si>
  <si>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</si>
  <si>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</si>
  <si>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</si>
  <si>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</si>
  <si>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</si>
  <si>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</si>
  <si>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</si>
  <si>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</si>
  <si>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</si>
  <si>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</si>
  <si>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</si>
  <si>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</si>
  <si>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</si>
  <si>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</si>
  <si>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</si>
  <si>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</si>
  <si>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</si>
  <si>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</si>
  <si>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</si>
  <si>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</si>
  <si>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</si>
  <si>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</si>
  <si>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</si>
  <si>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</si>
  <si>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</si>
  <si>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</si>
  <si>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</si>
  <si>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</si>
  <si>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</si>
  <si>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</si>
  <si>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</si>
  <si>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</si>
  <si>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</si>
  <si>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</si>
  <si>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</si>
  <si>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</si>
  <si>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</si>
  <si>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</si>
  <si>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</si>
  <si>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</si>
  <si>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</si>
  <si>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</si>
  <si>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</si>
  <si>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</si>
  <si>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</si>
  <si>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</si>
  <si>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</si>
  <si>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</si>
  <si>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</si>
  <si>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</si>
  <si>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</si>
  <si>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</si>
  <si>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</si>
  <si>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</si>
  <si>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</si>
  <si>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</si>
  <si>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</si>
  <si>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</si>
  <si>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</si>
  <si>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</si>
  <si>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</si>
  <si>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</si>
  <si>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</si>
  <si>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</si>
  <si>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</si>
  <si>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</si>
  <si>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</si>
  <si>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</si>
  <si>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</si>
  <si>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</si>
  <si>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</si>
  <si>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</si>
  <si>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</si>
  <si>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</si>
  <si>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</si>
  <si>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</si>
  <si>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</si>
  <si>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</si>
  <si>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</si>
  <si>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</si>
  <si>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</si>
  <si>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</si>
  <si>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</si>
  <si>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</si>
  <si>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</si>
  <si>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</si>
  <si>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</si>
  <si>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</si>
  <si>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</si>
  <si>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</si>
  <si>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</si>
  <si>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</si>
  <si>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</si>
  <si>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</si>
  <si>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</si>
  <si>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</si>
  <si>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</si>
  <si>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</si>
  <si>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</si>
  <si>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</si>
  <si>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</si>
  <si>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</si>
  <si>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</si>
  <si>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</si>
  <si>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</si>
  <si>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</si>
  <si>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</si>
  <si>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</si>
  <si>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</si>
  <si>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</si>
  <si>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</si>
  <si>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</si>
  <si>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</si>
  <si>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</si>
  <si>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</si>
  <si>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</si>
  <si>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</si>
  <si>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</si>
  <si>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</si>
  <si>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</si>
  <si>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</si>
  <si>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</si>
  <si>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</si>
  <si>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</si>
  <si>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</si>
  <si>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</si>
  <si>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</si>
  <si>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</si>
  <si>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</si>
  <si>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</si>
  <si>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</si>
  <si>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</si>
  <si>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</si>
  <si>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</si>
  <si>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</si>
  <si>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</si>
  <si>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</si>
  <si>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</si>
  <si>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</si>
  <si>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</si>
  <si>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</si>
  <si>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</si>
  <si>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</si>
  <si>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</si>
  <si>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</si>
  <si>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</si>
  <si>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</si>
  <si>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</si>
  <si>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</si>
  <si>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</si>
  <si>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</si>
  <si>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</si>
  <si>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</si>
  <si>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</si>
  <si>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</si>
  <si>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</si>
  <si>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</si>
  <si>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</si>
  <si>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</si>
  <si>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</si>
  <si>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</si>
  <si>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</si>
  <si>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</si>
  <si>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</si>
  <si>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</si>
  <si>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</si>
  <si>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</si>
  <si>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</si>
  <si>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</si>
  <si>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</si>
  <si>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</si>
  <si>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</si>
  <si>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</si>
  <si>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</si>
  <si>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</si>
  <si>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</si>
  <si>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</si>
  <si>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</si>
  <si>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</si>
  <si>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</si>
  <si>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</si>
  <si>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</si>
  <si>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</si>
  <si>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</si>
  <si>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</si>
  <si>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</si>
  <si>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</si>
  <si>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</si>
  <si>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</si>
  <si>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</si>
  <si>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</si>
  <si>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</si>
  <si>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</si>
  <si>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</si>
  <si>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</si>
  <si>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</si>
  <si>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</si>
  <si>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</si>
  <si>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</si>
  <si>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</si>
  <si>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</si>
  <si>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</si>
  <si>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</si>
  <si>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</si>
  <si>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</si>
  <si>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</si>
  <si>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</si>
  <si>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</si>
  <si>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</si>
  <si>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</si>
  <si>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</si>
  <si>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</si>
  <si>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</si>
  <si>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</si>
  <si>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</si>
  <si>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</si>
  <si>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</si>
  <si>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</si>
  <si>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</si>
  <si>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</si>
  <si>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</si>
  <si>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</si>
  <si>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</si>
  <si>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</si>
  <si>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</si>
  <si>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</si>
  <si>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</si>
  <si>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</si>
  <si>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</si>
  <si>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</si>
  <si>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</si>
  <si>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</si>
  <si>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</si>
  <si>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</si>
  <si>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</si>
  <si>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</si>
  <si>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</si>
  <si>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</si>
  <si>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</si>
  <si>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</si>
  <si>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</si>
  <si>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</si>
  <si>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</si>
  <si>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</si>
  <si>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</si>
  <si>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</si>
  <si>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</si>
  <si>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</si>
  <si>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</si>
  <si>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</si>
  <si>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</si>
  <si>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</si>
  <si>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</si>
  <si>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</si>
  <si>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</si>
  <si>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</si>
  <si>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</si>
  <si>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</si>
  <si>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</si>
  <si>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</si>
  <si>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</si>
  <si>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</si>
  <si>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</si>
  <si>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</si>
  <si>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</si>
  <si>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</si>
  <si>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</si>
  <si>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</si>
  <si>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</si>
  <si>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</si>
  <si>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</si>
  <si>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</si>
  <si>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</si>
  <si>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</si>
  <si>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</si>
  <si>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</si>
  <si>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</si>
  <si>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</si>
  <si>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</si>
  <si>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</si>
  <si>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</si>
  <si>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</si>
  <si>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</si>
  <si>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</si>
  <si>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</si>
  <si>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</si>
  <si>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</si>
  <si>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</si>
  <si>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</si>
  <si>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</si>
  <si>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</si>
  <si>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</si>
  <si>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</si>
  <si>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</si>
  <si>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</si>
  <si>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</si>
  <si>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</si>
  <si>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</si>
  <si>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</si>
  <si>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</si>
  <si>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</si>
  <si>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</si>
  <si>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</si>
  <si>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</si>
  <si>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</si>
  <si>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</si>
  <si>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</si>
  <si>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</si>
  <si>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</si>
  <si>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</si>
  <si>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</si>
  <si>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</si>
  <si>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</si>
  <si>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</si>
  <si>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</si>
  <si>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</si>
  <si>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</si>
  <si>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</si>
  <si>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</si>
  <si>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</si>
  <si>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</si>
  <si>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</si>
  <si>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</si>
  <si>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</si>
  <si>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</si>
  <si>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</si>
  <si>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</si>
  <si>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</si>
  <si>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</si>
  <si>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</si>
  <si>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</si>
  <si>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</si>
  <si>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</si>
  <si>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</si>
  <si>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</si>
  <si>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</si>
  <si>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</si>
  <si>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</si>
  <si>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</si>
  <si>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</si>
  <si>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</si>
  <si>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</si>
  <si>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</si>
  <si>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</si>
  <si>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</si>
  <si>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</si>
  <si>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</si>
  <si>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</si>
  <si>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</si>
  <si>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</si>
  <si>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</si>
  <si>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</si>
  <si>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</si>
  <si>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</si>
  <si>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</si>
  <si>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</si>
  <si>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</si>
  <si>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</si>
  <si>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</si>
  <si>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</si>
  <si>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</si>
  <si>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</si>
  <si>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</si>
  <si>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</si>
  <si>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</si>
  <si>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</si>
  <si>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</si>
  <si>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</si>
  <si>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</si>
  <si>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</si>
  <si>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</si>
  <si>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</si>
  <si>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</si>
  <si>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</si>
  <si>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</si>
  <si>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</si>
  <si>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</si>
  <si>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</si>
  <si>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</si>
  <si>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</si>
  <si>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</si>
  <si>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</si>
  <si>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</si>
  <si>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</si>
  <si>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</si>
  <si>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</si>
  <si>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</si>
  <si>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</si>
  <si>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</si>
  <si>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</si>
  <si>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</si>
  <si>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</si>
  <si>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</si>
  <si>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</si>
  <si>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</si>
  <si>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</si>
  <si>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</si>
  <si>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</si>
  <si>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</si>
  <si>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</si>
  <si>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</si>
  <si>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</si>
  <si>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</si>
  <si>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</si>
  <si>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</si>
  <si>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</si>
  <si>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</si>
  <si>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</si>
  <si>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</si>
  <si>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</si>
  <si>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</si>
  <si>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</si>
  <si>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</si>
  <si>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</si>
  <si>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</si>
  <si>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</si>
  <si>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</si>
  <si>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</si>
  <si>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</si>
  <si>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</si>
  <si>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</si>
  <si>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</si>
  <si>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</si>
  <si>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</si>
  <si>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</si>
  <si>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</si>
  <si>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</si>
  <si>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</si>
  <si>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</si>
  <si>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</si>
  <si>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</si>
  <si>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</si>
  <si>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</si>
  <si>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</si>
  <si>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</si>
  <si>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</si>
  <si>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</si>
  <si>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</si>
  <si>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</si>
  <si>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</si>
  <si>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</si>
  <si>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</si>
  <si>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</si>
  <si>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</si>
  <si>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</si>
  <si>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</si>
  <si>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</si>
  <si>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</si>
  <si>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</si>
  <si>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</si>
  <si>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</si>
  <si>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</si>
  <si>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</si>
  <si>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</si>
  <si>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</si>
  <si>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</si>
  <si>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</si>
  <si>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</si>
  <si>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</si>
  <si>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</si>
  <si>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</si>
  <si>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</si>
  <si>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</si>
  <si>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</si>
  <si>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</si>
  <si>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</si>
  <si>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</si>
  <si>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</si>
  <si>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</si>
  <si>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</si>
  <si>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</si>
  <si>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</si>
  <si>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</si>
  <si>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</si>
  <si>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</si>
  <si>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</si>
  <si>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</si>
  <si>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</si>
  <si>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</si>
  <si>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</si>
  <si>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</si>
  <si>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</si>
  <si>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</si>
  <si>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</si>
  <si>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</si>
  <si>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</si>
  <si>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</si>
  <si>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</si>
  <si>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</si>
  <si>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</si>
  <si>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</si>
  <si>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</si>
  <si>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</si>
  <si>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</si>
  <si>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</si>
  <si>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</si>
  <si>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</si>
  <si>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</si>
  <si>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</si>
  <si>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</si>
  <si>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</si>
  <si>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</si>
  <si>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</si>
  <si>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</si>
  <si>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</si>
  <si>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</si>
  <si>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</si>
  <si>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</si>
  <si>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</si>
  <si>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</si>
  <si>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</si>
  <si>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</si>
  <si>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</si>
  <si>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</si>
  <si>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</si>
  <si>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</si>
  <si>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</si>
  <si>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</si>
  <si>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</si>
  <si>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</si>
  <si>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</si>
  <si>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</si>
  <si>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</si>
  <si>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</si>
  <si>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</si>
  <si>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</si>
  <si>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</si>
  <si>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</si>
  <si>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</si>
  <si>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</si>
  <si>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</si>
  <si>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</si>
  <si>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</si>
  <si>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</si>
  <si>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</si>
  <si>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</si>
  <si>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</si>
  <si>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</si>
  <si>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</si>
  <si>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</si>
  <si>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</si>
  <si>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</si>
  <si>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</si>
  <si>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</si>
  <si>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</si>
  <si>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</si>
  <si>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</si>
  <si>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</si>
  <si>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</si>
  <si>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</si>
  <si>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</si>
  <si>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</si>
  <si>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</si>
  <si>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</si>
  <si>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</si>
  <si>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</si>
  <si>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</si>
  <si>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</si>
  <si>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</si>
  <si>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</si>
  <si>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</si>
  <si>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</si>
  <si>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</si>
  <si>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</si>
  <si>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</si>
  <si>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</si>
  <si>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</si>
  <si>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</si>
  <si>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</si>
  <si>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</si>
  <si>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</si>
  <si>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</si>
  <si>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</si>
  <si>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</si>
  <si>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</si>
  <si>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</si>
  <si>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</si>
  <si>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</si>
  <si>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</si>
  <si>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</si>
  <si>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</si>
  <si>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</si>
  <si>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</si>
  <si>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</si>
  <si>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</si>
  <si>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</si>
  <si>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</si>
  <si>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</si>
  <si>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</si>
  <si>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</si>
  <si>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</si>
  <si>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</si>
  <si>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</si>
  <si>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</si>
  <si>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</si>
  <si>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</si>
  <si>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</si>
  <si>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</si>
  <si>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</si>
  <si>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</si>
  <si>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</si>
  <si>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</si>
  <si>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</si>
  <si>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</si>
  <si>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</si>
  <si>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</si>
  <si>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</si>
  <si>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</si>
  <si>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</si>
  <si>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</si>
  <si>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</si>
  <si>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</si>
  <si>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</si>
  <si>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</si>
  <si>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</si>
  <si>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</si>
  <si>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</si>
  <si>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</si>
  <si>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</si>
  <si>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</si>
  <si>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</si>
  <si>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</si>
  <si>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</si>
  <si>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</si>
  <si>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</si>
  <si>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</si>
  <si>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</si>
  <si>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</si>
  <si>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</si>
  <si>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</si>
  <si>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</si>
  <si>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</si>
  <si>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</si>
  <si>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</si>
  <si>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</si>
  <si>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</si>
  <si>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</si>
  <si>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</si>
  <si>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</si>
  <si>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</si>
  <si>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</si>
  <si>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</si>
  <si>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</si>
  <si>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</si>
  <si>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</si>
  <si>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</si>
  <si>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</si>
  <si>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</si>
  <si>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</si>
  <si>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</si>
  <si>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</si>
  <si>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</si>
  <si>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</si>
  <si>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</si>
  <si>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</si>
  <si>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</si>
  <si>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</si>
  <si>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</si>
  <si>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</si>
  <si>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</si>
  <si>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</si>
  <si>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</si>
  <si>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</si>
  <si>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</si>
  <si>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</si>
  <si>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</si>
  <si>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</si>
  <si>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</si>
  <si>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</si>
  <si>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</si>
  <si>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</si>
  <si>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</si>
  <si>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</si>
  <si>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</si>
  <si>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</si>
  <si>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</si>
  <si>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</si>
  <si>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</si>
  <si>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</si>
  <si>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</si>
  <si>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</si>
  <si>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</si>
  <si>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</si>
  <si>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</si>
  <si>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</si>
  <si>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</si>
  <si>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</si>
  <si>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</si>
  <si>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</si>
  <si>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</si>
  <si>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</si>
  <si>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</si>
  <si>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</si>
  <si>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</si>
  <si>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</si>
  <si>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</si>
  <si>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</si>
  <si>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</si>
  <si>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</si>
  <si>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</si>
  <si>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</si>
  <si>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</si>
  <si>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</si>
  <si>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</si>
  <si>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</si>
  <si>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</si>
  <si>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</si>
  <si>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</si>
  <si>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</si>
  <si>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</si>
  <si>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</si>
  <si>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</si>
  <si>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</si>
  <si>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</si>
  <si>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</si>
  <si>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</si>
  <si>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</si>
  <si>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</si>
  <si>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</si>
  <si>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</si>
  <si>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</si>
  <si>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</si>
  <si>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</si>
  <si>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</si>
  <si>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</si>
  <si>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</si>
  <si>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</si>
  <si>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</si>
  <si>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</si>
  <si>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</si>
  <si>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</si>
  <si>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</si>
  <si>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</si>
  <si>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</si>
  <si>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</si>
  <si>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</si>
  <si>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</si>
  <si>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</si>
  <si>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</si>
  <si>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</si>
  <si>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</si>
  <si>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</si>
  <si>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</si>
  <si>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</si>
  <si>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</si>
  <si>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</si>
  <si>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</si>
  <si>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</si>
  <si>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</si>
  <si>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</si>
  <si>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</si>
  <si>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</si>
  <si>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</si>
  <si>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</si>
  <si>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</si>
  <si>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</si>
  <si>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</si>
  <si>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</si>
  <si>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</si>
  <si>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</si>
  <si>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</si>
  <si>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</si>
  <si>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</si>
  <si>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</si>
  <si>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</si>
  <si>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</si>
  <si>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</si>
  <si>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</si>
  <si>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</si>
  <si>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</si>
  <si>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</si>
  <si>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</si>
  <si>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</si>
  <si>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</si>
  <si>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</si>
  <si>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</si>
  <si>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</si>
  <si>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</si>
  <si>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</si>
  <si>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</si>
  <si>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</si>
  <si>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</si>
  <si>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</si>
  <si>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</si>
  <si>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</si>
  <si>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</si>
  <si>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</si>
  <si>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</si>
  <si>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</si>
  <si>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</si>
  <si>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</si>
  <si>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</si>
  <si>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</si>
  <si>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</si>
  <si>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</si>
  <si>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</si>
  <si>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</si>
  <si>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</si>
  <si>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</si>
  <si>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</si>
  <si>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</si>
  <si>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</si>
  <si>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</si>
  <si>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</si>
  <si>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</si>
  <si>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</si>
  <si>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</si>
  <si>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</si>
  <si>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</si>
  <si>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</si>
  <si>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</si>
  <si>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</si>
  <si>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</si>
  <si>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</si>
  <si>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</si>
  <si>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</si>
  <si>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</si>
  <si>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</si>
  <si>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</si>
  <si>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</si>
  <si>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</si>
  <si>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</si>
  <si>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</si>
  <si>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</si>
  <si>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</si>
  <si>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</si>
  <si>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</si>
  <si>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</si>
  <si>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</si>
  <si>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</si>
  <si>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</si>
  <si>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</si>
  <si>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</si>
  <si>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</si>
  <si>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</si>
  <si>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</si>
  <si>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</si>
  <si>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</si>
  <si>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</si>
  <si>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</si>
  <si>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</si>
  <si>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</si>
  <si>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</si>
  <si>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</si>
  <si>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</si>
  <si>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</si>
  <si>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</si>
  <si>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</si>
  <si>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</si>
  <si>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</si>
  <si>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</si>
  <si>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</si>
  <si>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</si>
  <si>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</si>
  <si>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</si>
  <si>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</si>
  <si>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</si>
  <si>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</si>
  <si>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</si>
  <si>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</si>
  <si>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</si>
  <si>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</si>
  <si>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</si>
  <si>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</si>
  <si>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</si>
  <si>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</si>
  <si>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</si>
  <si>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</si>
  <si>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</si>
  <si>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</si>
  <si>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</si>
  <si>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</si>
  <si>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</si>
  <si>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</si>
  <si>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</si>
  <si>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</si>
  <si>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</si>
  <si>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</si>
  <si>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</si>
  <si>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</si>
  <si>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</si>
  <si>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</si>
  <si>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</si>
  <si>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</si>
  <si>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</si>
  <si>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</si>
  <si>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</si>
  <si>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</si>
  <si>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</si>
  <si>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</si>
  <si>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</si>
  <si>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</si>
  <si>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</si>
  <si>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</si>
  <si>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</si>
  <si>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</si>
  <si>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</si>
  <si>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</si>
  <si>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</si>
  <si>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</si>
  <si>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</si>
  <si>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</si>
  <si>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</si>
  <si>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</si>
  <si>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</si>
  <si>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</si>
  <si>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</si>
  <si>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</si>
  <si>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</si>
  <si>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</si>
  <si>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</si>
  <si>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</si>
  <si>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</si>
  <si>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</si>
  <si>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</si>
  <si>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</si>
  <si>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</si>
  <si>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</si>
  <si>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</si>
  <si>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</si>
  <si>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</si>
  <si>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</si>
  <si>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</si>
  <si>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</si>
  <si>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</si>
  <si>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</si>
  <si>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</si>
  <si>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</si>
  <si>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</si>
  <si>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</si>
  <si>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</si>
  <si>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</si>
  <si>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</si>
  <si>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</si>
  <si>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</si>
  <si>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</si>
  <si>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</si>
  <si>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</si>
  <si>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</si>
  <si>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</si>
  <si>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</si>
  <si>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</si>
  <si>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</si>
  <si>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</si>
  <si>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</si>
  <si>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</si>
  <si>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</si>
  <si>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</si>
  <si>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</si>
  <si>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</si>
  <si>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</si>
  <si>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</si>
  <si>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</si>
  <si>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</si>
  <si>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</si>
  <si>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</si>
  <si>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</si>
  <si>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</si>
  <si>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</si>
  <si>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</si>
  <si>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</si>
  <si>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</si>
  <si>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</si>
  <si>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</si>
  <si>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</si>
  <si>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</si>
  <si>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</si>
  <si>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</si>
  <si>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</si>
  <si>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</si>
  <si>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</si>
  <si>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</si>
  <si>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</si>
  <si>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</si>
  <si>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</si>
  <si>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</si>
  <si>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</si>
  <si>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</si>
  <si>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</si>
  <si>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</si>
  <si>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</si>
  <si>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</si>
  <si>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</si>
  <si>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</si>
  <si>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</si>
  <si>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</si>
  <si>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</si>
  <si>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</si>
  <si>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</si>
  <si>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</si>
  <si>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</si>
  <si>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</si>
  <si>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</si>
  <si>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</si>
  <si>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</si>
  <si>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</si>
  <si>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</si>
  <si>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</si>
  <si>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</si>
  <si>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</si>
  <si>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</si>
  <si>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</si>
  <si>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</si>
  <si>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</si>
  <si>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</si>
  <si>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</si>
  <si>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</si>
  <si>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</si>
  <si>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</si>
  <si>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</si>
  <si>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</si>
  <si>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</si>
  <si>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</si>
  <si>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</si>
  <si>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</si>
  <si>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</si>
  <si>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</si>
  <si>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</si>
  <si>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</si>
  <si>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</si>
  <si>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</si>
  <si>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</si>
  <si>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</si>
  <si>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</si>
  <si>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</si>
  <si>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</si>
  <si>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</si>
  <si>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</si>
  <si>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</si>
  <si>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</si>
  <si>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</si>
  <si>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</si>
  <si>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</si>
  <si>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</si>
  <si>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</si>
  <si>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</si>
  <si>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</si>
  <si>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</si>
  <si>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</si>
  <si>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</si>
  <si>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</si>
  <si>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</si>
  <si>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</si>
  <si>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</si>
  <si>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</si>
  <si>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</si>
  <si>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</si>
  <si>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</si>
  <si>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</si>
  <si>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</si>
  <si>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</si>
  <si>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</si>
  <si>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</si>
  <si>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</si>
  <si>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</si>
  <si>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</si>
  <si>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</si>
  <si>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</si>
  <si>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</si>
  <si>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</si>
  <si>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</si>
  <si>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</si>
  <si>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</si>
  <si>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</si>
  <si>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</si>
  <si>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</si>
  <si>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</si>
  <si>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</si>
  <si>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</si>
  <si>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</si>
  <si>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</si>
  <si>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</si>
  <si>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</si>
  <si>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</si>
  <si>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</si>
  <si>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</si>
  <si>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</si>
  <si>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</si>
  <si>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</si>
  <si>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</si>
  <si>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</si>
  <si>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</si>
  <si>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</si>
  <si>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</si>
  <si>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</si>
  <si>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</si>
  <si>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</si>
  <si>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</si>
  <si>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</si>
  <si>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</si>
  <si>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</si>
  <si>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</si>
  <si>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</si>
  <si>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</si>
  <si>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</si>
  <si>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</si>
  <si>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</si>
  <si>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</si>
  <si>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</si>
  <si>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</si>
  <si>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</si>
  <si>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</si>
  <si>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</si>
  <si>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</si>
  <si>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</si>
  <si>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</si>
  <si>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</si>
  <si>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</si>
  <si>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</si>
  <si>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</si>
  <si>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</si>
  <si>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</si>
  <si>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</si>
  <si>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</si>
  <si>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</si>
  <si>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</si>
  <si>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</si>
  <si>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</si>
  <si>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</si>
  <si>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</si>
  <si>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</si>
  <si>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</si>
  <si>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</si>
  <si>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</si>
  <si>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</si>
  <si>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</si>
  <si>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</si>
  <si>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</si>
  <si>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</si>
  <si>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</si>
  <si>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</si>
  <si>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</si>
  <si>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</si>
  <si>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</si>
  <si>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</si>
  <si>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</si>
  <si>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</si>
  <si>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</si>
  <si>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</si>
  <si>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</si>
  <si>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</si>
  <si>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</si>
  <si>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</si>
  <si>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</si>
  <si>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</si>
  <si>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</si>
  <si>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</si>
  <si>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</si>
  <si>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</si>
  <si>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</si>
  <si>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</si>
  <si>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</si>
  <si>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</si>
  <si>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</si>
  <si>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</si>
  <si>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</si>
  <si>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</si>
  <si>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</si>
  <si>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</si>
  <si>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</si>
  <si>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</si>
  <si>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</si>
  <si>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</si>
  <si>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</si>
  <si>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</si>
  <si>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</si>
  <si>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</si>
  <si>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</si>
  <si>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</si>
  <si>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</si>
  <si>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</si>
  <si>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</si>
  <si>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</si>
  <si>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</si>
  <si>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</si>
  <si>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</si>
  <si>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</si>
  <si>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</si>
  <si>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</si>
  <si>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</si>
  <si>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</si>
  <si>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</si>
  <si>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</si>
  <si>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</si>
  <si>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</si>
  <si>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</si>
  <si>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</si>
  <si>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</si>
  <si>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</si>
  <si>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</si>
  <si>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</si>
  <si>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</si>
  <si>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</si>
  <si>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</si>
  <si>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</si>
  <si>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</si>
  <si>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</si>
  <si>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</si>
  <si>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</si>
  <si>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</si>
  <si>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</si>
  <si>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</si>
  <si>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</si>
  <si>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</si>
  <si>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</si>
  <si>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</si>
  <si>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</si>
  <si>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</si>
  <si>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</si>
  <si>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</si>
  <si>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</si>
  <si>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</si>
  <si>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</si>
  <si>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</si>
  <si>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</si>
  <si>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</si>
  <si>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</si>
  <si>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</si>
  <si>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</si>
  <si>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</si>
  <si>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</si>
  <si>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</si>
  <si>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</si>
  <si>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</si>
  <si>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</si>
  <si>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</si>
  <si>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</si>
  <si>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</si>
  <si>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</si>
  <si>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</si>
  <si>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</si>
  <si>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</si>
  <si>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</si>
  <si>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</si>
  <si>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</si>
  <si>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</si>
  <si>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</si>
  <si>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</si>
  <si>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</si>
  <si>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</si>
  <si>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</si>
  <si>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</si>
  <si>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</si>
  <si>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</si>
  <si>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</si>
  <si>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</si>
  <si>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</si>
  <si>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</si>
  <si>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</si>
  <si>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</si>
  <si>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</si>
  <si>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</si>
  <si>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</si>
  <si>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</si>
  <si>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</si>
  <si>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</si>
  <si>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</si>
  <si>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</si>
  <si>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</si>
  <si>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</si>
  <si>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</si>
  <si>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</si>
  <si>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</si>
  <si>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</si>
  <si>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</si>
  <si>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</si>
  <si>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</si>
  <si>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</si>
  <si>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</si>
  <si>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</si>
  <si>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</si>
  <si>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</si>
  <si>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</si>
  <si>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</si>
  <si>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</si>
  <si>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</si>
  <si>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</si>
  <si>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</si>
  <si>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</si>
  <si>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</si>
  <si>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</si>
  <si>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</si>
  <si>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</si>
  <si>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</si>
  <si>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</si>
  <si>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</si>
  <si>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</si>
  <si>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</si>
  <si>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</si>
  <si>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</si>
  <si>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</si>
  <si>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</si>
  <si>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</si>
  <si>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</si>
  <si>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</si>
  <si>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</si>
  <si>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</si>
  <si>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</si>
  <si>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</si>
  <si>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</si>
  <si>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</si>
  <si>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</si>
  <si>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</si>
  <si>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</si>
  <si>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</si>
  <si>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</si>
  <si>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</si>
  <si>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</si>
  <si>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</si>
  <si>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</si>
  <si>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</si>
  <si>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</si>
  <si>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</si>
  <si>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</si>
  <si>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</si>
  <si>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</si>
  <si>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</si>
  <si>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</si>
  <si>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</si>
  <si>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</si>
  <si>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</si>
  <si>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</si>
  <si>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</si>
  <si>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</si>
  <si>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</si>
  <si>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</si>
  <si>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</si>
  <si>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</si>
  <si>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</si>
  <si>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</si>
  <si>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</si>
  <si>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</si>
  <si>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</si>
  <si>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</si>
  <si>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</si>
  <si>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</si>
  <si>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</si>
  <si>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</si>
  <si>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</si>
  <si>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</si>
  <si>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</si>
  <si>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</si>
  <si>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</si>
  <si>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</si>
  <si>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</si>
  <si>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</si>
  <si>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</si>
  <si>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</si>
  <si>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</si>
  <si>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</si>
  <si>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</si>
  <si>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</si>
  <si>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</si>
  <si>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</si>
  <si>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</si>
  <si>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</si>
  <si>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</si>
  <si>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</si>
  <si>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</si>
  <si>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</si>
  <si>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</si>
  <si>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</si>
  <si>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</si>
  <si>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</si>
  <si>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</si>
  <si>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</si>
  <si>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</si>
  <si>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</si>
  <si>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</si>
  <si>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</si>
  <si>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</si>
  <si>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</si>
  <si>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</si>
  <si>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</si>
  <si>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</si>
  <si>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</si>
  <si>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</si>
  <si>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</si>
  <si>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</si>
  <si>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</si>
  <si>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</si>
  <si>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</si>
  <si>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</si>
  <si>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</si>
  <si>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</si>
  <si>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</si>
  <si>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</si>
  <si>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</si>
  <si>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</si>
  <si>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</si>
  <si>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</si>
  <si>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</si>
  <si>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</si>
  <si>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</si>
  <si>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</si>
  <si>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</si>
  <si>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</si>
  <si>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</si>
  <si>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</si>
  <si>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</si>
  <si>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</si>
  <si>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</si>
  <si>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</si>
  <si>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</si>
  <si>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</si>
  <si>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</si>
  <si>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</si>
  <si>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</si>
  <si>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</si>
  <si>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</si>
  <si>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</si>
  <si>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</si>
  <si>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</si>
  <si>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</si>
  <si>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</si>
  <si>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</si>
  <si>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</si>
  <si>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</si>
  <si>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</si>
  <si>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</si>
  <si>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</si>
  <si>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</si>
  <si>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</si>
  <si>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</si>
  <si>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</si>
  <si>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</si>
  <si>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</si>
  <si>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</si>
  <si>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</si>
  <si>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</si>
  <si>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</si>
  <si>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</si>
  <si>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</si>
  <si>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</si>
  <si>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</si>
  <si>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</si>
  <si>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</si>
  <si>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</si>
  <si>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</si>
  <si>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</si>
  <si>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</si>
  <si>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</si>
  <si>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</si>
  <si>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</si>
  <si>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</si>
  <si>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</si>
  <si>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</si>
  <si>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</si>
  <si>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</si>
  <si>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</si>
  <si>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</si>
  <si>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</si>
  <si>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</si>
  <si>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</si>
  <si>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</si>
  <si>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</si>
  <si>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</si>
  <si>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</si>
  <si>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</si>
  <si>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</si>
  <si>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</si>
  <si>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</si>
  <si>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</si>
  <si>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</si>
  <si>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</si>
  <si>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</si>
  <si>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</si>
  <si>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</si>
  <si>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</si>
  <si>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</si>
  <si>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</si>
  <si>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</si>
  <si>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</si>
  <si>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</si>
  <si>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</si>
  <si>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</si>
  <si>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</si>
  <si>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</si>
  <si>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</si>
  <si>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</si>
  <si>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</si>
  <si>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</si>
  <si>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</si>
  <si>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</si>
  <si>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</si>
  <si>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</si>
  <si>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</si>
  <si>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</si>
  <si>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</si>
  <si>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</si>
  <si>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</si>
  <si>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</si>
  <si>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</si>
  <si>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</si>
  <si>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</si>
  <si>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</si>
  <si>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</si>
  <si>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</si>
  <si>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</si>
  <si>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</si>
  <si>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</si>
  <si>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</si>
  <si>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</si>
  <si>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</si>
  <si>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</si>
  <si>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</si>
  <si>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</si>
  <si>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</si>
  <si>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</si>
  <si>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</si>
  <si>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</si>
  <si>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</si>
  <si>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</si>
  <si>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</si>
  <si>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</si>
  <si>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</si>
  <si>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</si>
  <si>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</si>
  <si>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</si>
  <si>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</si>
  <si>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</si>
  <si>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</si>
  <si>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</si>
  <si>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</si>
  <si>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</si>
  <si>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</si>
  <si>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</si>
  <si>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</si>
  <si>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</si>
  <si>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</si>
  <si>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</si>
  <si>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</si>
  <si>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</si>
  <si>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</si>
  <si>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</si>
  <si>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</si>
  <si>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</si>
  <si>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</si>
  <si>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</si>
  <si>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</si>
  <si>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</si>
  <si>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</si>
  <si>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</si>
  <si>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</si>
  <si>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</si>
  <si>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</si>
  <si>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</si>
  <si>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</si>
  <si>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</si>
  <si>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</si>
  <si>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</si>
  <si>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</si>
  <si>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</si>
  <si>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</si>
  <si>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</si>
  <si>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</si>
  <si>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</si>
  <si>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</si>
  <si>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</si>
  <si>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</si>
  <si>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</si>
  <si>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</si>
  <si>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</si>
  <si>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</si>
  <si>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</si>
  <si>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</si>
  <si>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</si>
  <si>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</si>
  <si>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</si>
  <si>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</si>
  <si>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</si>
  <si>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</si>
  <si>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</si>
  <si>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</si>
  <si>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</si>
  <si>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</si>
  <si>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</si>
  <si>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</si>
  <si>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</si>
  <si>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</si>
  <si>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</si>
  <si>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</si>
  <si>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</si>
  <si>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</si>
  <si>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</si>
  <si>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</si>
  <si>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</si>
  <si>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</si>
  <si>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</si>
  <si>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</si>
  <si>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</si>
  <si>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</si>
  <si>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</si>
  <si>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</si>
  <si>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</si>
  <si>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</si>
  <si>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</si>
  <si>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</si>
  <si>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</si>
  <si>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</si>
  <si>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</si>
  <si>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</si>
  <si>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</si>
  <si>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</si>
  <si>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</si>
  <si>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</si>
  <si>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</si>
  <si>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</si>
  <si>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</si>
  <si>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</si>
  <si>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</si>
  <si>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</si>
  <si>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</si>
  <si>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</si>
  <si>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</si>
  <si>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</si>
  <si>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</si>
  <si>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</si>
  <si>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</si>
  <si>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</si>
  <si>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</si>
  <si>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</si>
  <si>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</si>
  <si>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</si>
  <si>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</si>
  <si>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</si>
  <si>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</si>
  <si>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</si>
  <si>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</si>
  <si>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</si>
  <si>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</si>
  <si>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</si>
  <si>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</si>
  <si>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</si>
  <si>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</si>
  <si>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</si>
  <si>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</si>
  <si>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</si>
  <si>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</si>
  <si>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</si>
  <si>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</si>
  <si>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</si>
  <si>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</si>
  <si>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</si>
  <si>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</si>
  <si>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</si>
  <si>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</si>
  <si>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</si>
  <si>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2024-4</t>
    <phoneticPr fontId="5" type="noConversion"/>
  </si>
  <si>
    <t>2024-2</t>
    <phoneticPr fontId="5" type="noConversion"/>
  </si>
  <si>
    <t>2024-4</t>
    <phoneticPr fontId="5" type="noConversion"/>
  </si>
  <si>
    <t>2024-2</t>
    <phoneticPr fontId="5" type="noConversion"/>
  </si>
  <si>
    <t>房地产抵押价值</t>
  </si>
  <si>
    <t>抵押</t>
  </si>
  <si>
    <t>北京市</t>
  </si>
  <si>
    <t>企业</t>
  </si>
  <si>
    <t>京(2023)昌不动产权第0051717号</t>
    <phoneticPr fontId="136" type="noConversion"/>
  </si>
  <si>
    <t>房号</t>
    <phoneticPr fontId="136" type="noConversion"/>
  </si>
  <si>
    <t>面积</t>
    <phoneticPr fontId="136" type="noConversion"/>
  </si>
  <si>
    <t>序号</t>
    <phoneticPr fontId="136" type="noConversion"/>
  </si>
  <si>
    <r>
      <t>京(2023)昌不动产权第005171</t>
    </r>
    <r>
      <rPr>
        <sz val="11"/>
        <color theme="1"/>
        <rFont val="宋体"/>
        <family val="3"/>
        <charset val="134"/>
        <scheme val="minor"/>
      </rPr>
      <t>8</t>
    </r>
    <r>
      <rPr>
        <sz val="11"/>
        <color theme="1"/>
        <rFont val="宋体"/>
        <family val="3"/>
        <charset val="134"/>
        <scheme val="minor"/>
      </rPr>
      <t>号</t>
    </r>
    <phoneticPr fontId="136" type="noConversion"/>
  </si>
  <si>
    <r>
      <t>京(2023)昌不动产权第0051721</t>
    </r>
    <r>
      <rPr>
        <sz val="11"/>
        <color theme="1"/>
        <rFont val="宋体"/>
        <family val="3"/>
        <charset val="134"/>
        <scheme val="minor"/>
      </rPr>
      <t>号</t>
    </r>
    <phoneticPr fontId="136" type="noConversion"/>
  </si>
  <si>
    <t>京(2023)昌不动产权第0051725号</t>
    <phoneticPr fontId="136" type="noConversion"/>
  </si>
  <si>
    <r>
      <t>京(2023)昌不动产权第00517</t>
    </r>
    <r>
      <rPr>
        <sz val="11"/>
        <color theme="1"/>
        <rFont val="宋体"/>
        <family val="3"/>
        <charset val="134"/>
        <scheme val="minor"/>
      </rPr>
      <t>30</t>
    </r>
    <r>
      <rPr>
        <sz val="11"/>
        <color theme="1"/>
        <rFont val="宋体"/>
        <family val="3"/>
        <charset val="134"/>
        <scheme val="minor"/>
      </rPr>
      <t>号</t>
    </r>
    <phoneticPr fontId="136" type="noConversion"/>
  </si>
  <si>
    <r>
      <t>B</t>
    </r>
    <r>
      <rPr>
        <sz val="11"/>
        <color theme="1"/>
        <rFont val="宋体"/>
        <family val="3"/>
        <charset val="134"/>
        <scheme val="minor"/>
      </rPr>
      <t>4001</t>
    </r>
    <phoneticPr fontId="136" type="noConversion"/>
  </si>
  <si>
    <r>
      <t>B</t>
    </r>
    <r>
      <rPr>
        <sz val="11"/>
        <color theme="1"/>
        <rFont val="宋体"/>
        <family val="3"/>
        <charset val="134"/>
        <scheme val="minor"/>
      </rPr>
      <t>4002</t>
    </r>
    <r>
      <rPr>
        <sz val="11"/>
        <color theme="1"/>
        <rFont val="宋体"/>
        <family val="2"/>
        <scheme val="minor"/>
      </rPr>
      <t/>
    </r>
  </si>
  <si>
    <r>
      <t>B</t>
    </r>
    <r>
      <rPr>
        <sz val="11"/>
        <color theme="1"/>
        <rFont val="宋体"/>
        <family val="3"/>
        <charset val="134"/>
        <scheme val="minor"/>
      </rPr>
      <t>4003</t>
    </r>
    <r>
      <rPr>
        <sz val="11"/>
        <color theme="1"/>
        <rFont val="宋体"/>
        <family val="2"/>
        <scheme val="minor"/>
      </rPr>
      <t/>
    </r>
  </si>
  <si>
    <r>
      <t>B</t>
    </r>
    <r>
      <rPr>
        <sz val="11"/>
        <color theme="1"/>
        <rFont val="宋体"/>
        <family val="3"/>
        <charset val="134"/>
        <scheme val="minor"/>
      </rPr>
      <t>4004</t>
    </r>
    <r>
      <rPr>
        <sz val="11"/>
        <color theme="1"/>
        <rFont val="宋体"/>
        <family val="2"/>
        <scheme val="minor"/>
      </rPr>
      <t/>
    </r>
  </si>
  <si>
    <r>
      <t>B</t>
    </r>
    <r>
      <rPr>
        <sz val="11"/>
        <color theme="1"/>
        <rFont val="宋体"/>
        <family val="3"/>
        <charset val="134"/>
        <scheme val="minor"/>
      </rPr>
      <t>4005</t>
    </r>
    <r>
      <rPr>
        <sz val="11"/>
        <color theme="1"/>
        <rFont val="宋体"/>
        <family val="2"/>
        <scheme val="minor"/>
      </rPr>
      <t/>
    </r>
  </si>
  <si>
    <r>
      <t>B</t>
    </r>
    <r>
      <rPr>
        <sz val="11"/>
        <color theme="1"/>
        <rFont val="宋体"/>
        <family val="3"/>
        <charset val="134"/>
        <scheme val="minor"/>
      </rPr>
      <t>4006</t>
    </r>
    <r>
      <rPr>
        <sz val="11"/>
        <color theme="1"/>
        <rFont val="宋体"/>
        <family val="2"/>
        <scheme val="minor"/>
      </rPr>
      <t/>
    </r>
  </si>
  <si>
    <r>
      <t>B</t>
    </r>
    <r>
      <rPr>
        <sz val="11"/>
        <color theme="1"/>
        <rFont val="宋体"/>
        <family val="3"/>
        <charset val="134"/>
        <scheme val="minor"/>
      </rPr>
      <t>4007</t>
    </r>
    <r>
      <rPr>
        <sz val="11"/>
        <color theme="1"/>
        <rFont val="宋体"/>
        <family val="2"/>
        <scheme val="minor"/>
      </rPr>
      <t/>
    </r>
  </si>
  <si>
    <r>
      <t>B</t>
    </r>
    <r>
      <rPr>
        <sz val="11"/>
        <color theme="1"/>
        <rFont val="宋体"/>
        <family val="3"/>
        <charset val="134"/>
        <scheme val="minor"/>
      </rPr>
      <t>4008</t>
    </r>
    <r>
      <rPr>
        <sz val="11"/>
        <color theme="1"/>
        <rFont val="宋体"/>
        <family val="2"/>
        <scheme val="minor"/>
      </rPr>
      <t/>
    </r>
  </si>
  <si>
    <r>
      <t>B</t>
    </r>
    <r>
      <rPr>
        <sz val="11"/>
        <color theme="1"/>
        <rFont val="宋体"/>
        <family val="3"/>
        <charset val="134"/>
        <scheme val="minor"/>
      </rPr>
      <t>4009</t>
    </r>
    <r>
      <rPr>
        <sz val="11"/>
        <color theme="1"/>
        <rFont val="宋体"/>
        <family val="2"/>
        <scheme val="minor"/>
      </rPr>
      <t/>
    </r>
  </si>
  <si>
    <r>
      <t>B</t>
    </r>
    <r>
      <rPr>
        <sz val="11"/>
        <color theme="1"/>
        <rFont val="宋体"/>
        <family val="3"/>
        <charset val="134"/>
        <scheme val="minor"/>
      </rPr>
      <t>4010</t>
    </r>
    <r>
      <rPr>
        <sz val="11"/>
        <color theme="1"/>
        <rFont val="宋体"/>
        <family val="2"/>
        <scheme val="minor"/>
      </rPr>
      <t/>
    </r>
  </si>
  <si>
    <r>
      <t>B</t>
    </r>
    <r>
      <rPr>
        <sz val="11"/>
        <color theme="1"/>
        <rFont val="宋体"/>
        <family val="3"/>
        <charset val="134"/>
        <scheme val="minor"/>
      </rPr>
      <t>4011</t>
    </r>
    <r>
      <rPr>
        <sz val="11"/>
        <color theme="1"/>
        <rFont val="宋体"/>
        <family val="2"/>
        <scheme val="minor"/>
      </rPr>
      <t/>
    </r>
  </si>
  <si>
    <r>
      <t>B</t>
    </r>
    <r>
      <rPr>
        <sz val="11"/>
        <color theme="1"/>
        <rFont val="宋体"/>
        <family val="3"/>
        <charset val="134"/>
        <scheme val="minor"/>
      </rPr>
      <t>4012</t>
    </r>
    <r>
      <rPr>
        <sz val="11"/>
        <color theme="1"/>
        <rFont val="宋体"/>
        <family val="2"/>
        <scheme val="minor"/>
      </rPr>
      <t/>
    </r>
  </si>
  <si>
    <r>
      <t>B</t>
    </r>
    <r>
      <rPr>
        <sz val="11"/>
        <color theme="1"/>
        <rFont val="宋体"/>
        <family val="3"/>
        <charset val="134"/>
        <scheme val="minor"/>
      </rPr>
      <t>4013</t>
    </r>
    <r>
      <rPr>
        <sz val="11"/>
        <color theme="1"/>
        <rFont val="宋体"/>
        <family val="2"/>
        <scheme val="minor"/>
      </rPr>
      <t/>
    </r>
  </si>
  <si>
    <r>
      <t>B</t>
    </r>
    <r>
      <rPr>
        <sz val="11"/>
        <color theme="1"/>
        <rFont val="宋体"/>
        <family val="3"/>
        <charset val="134"/>
        <scheme val="minor"/>
      </rPr>
      <t>4014</t>
    </r>
    <r>
      <rPr>
        <sz val="11"/>
        <color theme="1"/>
        <rFont val="宋体"/>
        <family val="2"/>
        <scheme val="minor"/>
      </rPr>
      <t/>
    </r>
  </si>
  <si>
    <r>
      <t>B</t>
    </r>
    <r>
      <rPr>
        <sz val="11"/>
        <color theme="1"/>
        <rFont val="宋体"/>
        <family val="3"/>
        <charset val="134"/>
        <scheme val="minor"/>
      </rPr>
      <t>4015</t>
    </r>
    <r>
      <rPr>
        <sz val="11"/>
        <color theme="1"/>
        <rFont val="宋体"/>
        <family val="2"/>
        <scheme val="minor"/>
      </rPr>
      <t/>
    </r>
  </si>
  <si>
    <r>
      <t>B</t>
    </r>
    <r>
      <rPr>
        <sz val="11"/>
        <color theme="1"/>
        <rFont val="宋体"/>
        <family val="3"/>
        <charset val="134"/>
        <scheme val="minor"/>
      </rPr>
      <t>4016</t>
    </r>
    <r>
      <rPr>
        <sz val="11"/>
        <color theme="1"/>
        <rFont val="宋体"/>
        <family val="2"/>
        <scheme val="minor"/>
      </rPr>
      <t/>
    </r>
  </si>
  <si>
    <r>
      <t>B</t>
    </r>
    <r>
      <rPr>
        <sz val="11"/>
        <color theme="1"/>
        <rFont val="宋体"/>
        <family val="3"/>
        <charset val="134"/>
        <scheme val="minor"/>
      </rPr>
      <t>4017</t>
    </r>
    <r>
      <rPr>
        <sz val="11"/>
        <color theme="1"/>
        <rFont val="宋体"/>
        <family val="2"/>
        <scheme val="minor"/>
      </rPr>
      <t/>
    </r>
  </si>
  <si>
    <r>
      <t>B</t>
    </r>
    <r>
      <rPr>
        <sz val="11"/>
        <color theme="1"/>
        <rFont val="宋体"/>
        <family val="3"/>
        <charset val="134"/>
        <scheme val="minor"/>
      </rPr>
      <t>4018</t>
    </r>
    <r>
      <rPr>
        <sz val="11"/>
        <color theme="1"/>
        <rFont val="宋体"/>
        <family val="2"/>
        <scheme val="minor"/>
      </rPr>
      <t/>
    </r>
  </si>
  <si>
    <r>
      <t>B</t>
    </r>
    <r>
      <rPr>
        <sz val="11"/>
        <color theme="1"/>
        <rFont val="宋体"/>
        <family val="3"/>
        <charset val="134"/>
        <scheme val="minor"/>
      </rPr>
      <t>4019</t>
    </r>
    <r>
      <rPr>
        <sz val="11"/>
        <color theme="1"/>
        <rFont val="宋体"/>
        <family val="2"/>
        <scheme val="minor"/>
      </rPr>
      <t/>
    </r>
  </si>
  <si>
    <r>
      <t>B</t>
    </r>
    <r>
      <rPr>
        <sz val="11"/>
        <color theme="1"/>
        <rFont val="宋体"/>
        <family val="3"/>
        <charset val="134"/>
        <scheme val="minor"/>
      </rPr>
      <t>4020</t>
    </r>
    <r>
      <rPr>
        <sz val="11"/>
        <color theme="1"/>
        <rFont val="宋体"/>
        <family val="2"/>
        <scheme val="minor"/>
      </rPr>
      <t/>
    </r>
  </si>
  <si>
    <r>
      <t>B</t>
    </r>
    <r>
      <rPr>
        <sz val="11"/>
        <color theme="1"/>
        <rFont val="宋体"/>
        <family val="3"/>
        <charset val="134"/>
        <scheme val="minor"/>
      </rPr>
      <t>4021</t>
    </r>
    <r>
      <rPr>
        <sz val="11"/>
        <color theme="1"/>
        <rFont val="宋体"/>
        <family val="2"/>
        <scheme val="minor"/>
      </rPr>
      <t/>
    </r>
  </si>
  <si>
    <r>
      <t>B</t>
    </r>
    <r>
      <rPr>
        <sz val="11"/>
        <color theme="1"/>
        <rFont val="宋体"/>
        <family val="3"/>
        <charset val="134"/>
        <scheme val="minor"/>
      </rPr>
      <t>4022</t>
    </r>
    <r>
      <rPr>
        <sz val="11"/>
        <color theme="1"/>
        <rFont val="宋体"/>
        <family val="2"/>
        <scheme val="minor"/>
      </rPr>
      <t/>
    </r>
  </si>
  <si>
    <r>
      <t>B</t>
    </r>
    <r>
      <rPr>
        <sz val="11"/>
        <color theme="1"/>
        <rFont val="宋体"/>
        <family val="3"/>
        <charset val="134"/>
        <scheme val="minor"/>
      </rPr>
      <t>4023</t>
    </r>
    <r>
      <rPr>
        <sz val="11"/>
        <color theme="1"/>
        <rFont val="宋体"/>
        <family val="2"/>
        <scheme val="minor"/>
      </rPr>
      <t/>
    </r>
  </si>
  <si>
    <r>
      <t>B</t>
    </r>
    <r>
      <rPr>
        <sz val="11"/>
        <color theme="1"/>
        <rFont val="宋体"/>
        <family val="3"/>
        <charset val="134"/>
        <scheme val="minor"/>
      </rPr>
      <t>4024</t>
    </r>
    <r>
      <rPr>
        <sz val="11"/>
        <color theme="1"/>
        <rFont val="宋体"/>
        <family val="2"/>
        <scheme val="minor"/>
      </rPr>
      <t/>
    </r>
  </si>
  <si>
    <r>
      <t>B</t>
    </r>
    <r>
      <rPr>
        <sz val="11"/>
        <color theme="1"/>
        <rFont val="宋体"/>
        <family val="3"/>
        <charset val="134"/>
        <scheme val="minor"/>
      </rPr>
      <t>4025</t>
    </r>
    <r>
      <rPr>
        <sz val="11"/>
        <color theme="1"/>
        <rFont val="宋体"/>
        <family val="2"/>
        <scheme val="minor"/>
      </rPr>
      <t/>
    </r>
  </si>
  <si>
    <r>
      <t>B</t>
    </r>
    <r>
      <rPr>
        <sz val="11"/>
        <color theme="1"/>
        <rFont val="宋体"/>
        <family val="3"/>
        <charset val="134"/>
        <scheme val="minor"/>
      </rPr>
      <t>4026</t>
    </r>
    <r>
      <rPr>
        <sz val="11"/>
        <color theme="1"/>
        <rFont val="宋体"/>
        <family val="2"/>
        <scheme val="minor"/>
      </rPr>
      <t/>
    </r>
  </si>
  <si>
    <r>
      <t>B</t>
    </r>
    <r>
      <rPr>
        <sz val="11"/>
        <color theme="1"/>
        <rFont val="宋体"/>
        <family val="3"/>
        <charset val="134"/>
        <scheme val="minor"/>
      </rPr>
      <t>4027</t>
    </r>
    <r>
      <rPr>
        <sz val="11"/>
        <color theme="1"/>
        <rFont val="宋体"/>
        <family val="2"/>
        <scheme val="minor"/>
      </rPr>
      <t/>
    </r>
  </si>
  <si>
    <r>
      <t>B</t>
    </r>
    <r>
      <rPr>
        <sz val="11"/>
        <color theme="1"/>
        <rFont val="宋体"/>
        <family val="3"/>
        <charset val="134"/>
        <scheme val="minor"/>
      </rPr>
      <t>4028</t>
    </r>
    <r>
      <rPr>
        <sz val="11"/>
        <color theme="1"/>
        <rFont val="宋体"/>
        <family val="2"/>
        <scheme val="minor"/>
      </rPr>
      <t/>
    </r>
  </si>
  <si>
    <r>
      <t>B</t>
    </r>
    <r>
      <rPr>
        <sz val="11"/>
        <color theme="1"/>
        <rFont val="宋体"/>
        <family val="3"/>
        <charset val="134"/>
        <scheme val="minor"/>
      </rPr>
      <t>4029</t>
    </r>
    <r>
      <rPr>
        <sz val="11"/>
        <color theme="1"/>
        <rFont val="宋体"/>
        <family val="2"/>
        <scheme val="minor"/>
      </rPr>
      <t/>
    </r>
  </si>
  <si>
    <r>
      <t>B</t>
    </r>
    <r>
      <rPr>
        <sz val="11"/>
        <color theme="1"/>
        <rFont val="宋体"/>
        <family val="3"/>
        <charset val="134"/>
        <scheme val="minor"/>
      </rPr>
      <t>4030</t>
    </r>
    <r>
      <rPr>
        <sz val="11"/>
        <color theme="1"/>
        <rFont val="宋体"/>
        <family val="2"/>
        <scheme val="minor"/>
      </rPr>
      <t/>
    </r>
  </si>
  <si>
    <r>
      <t>B</t>
    </r>
    <r>
      <rPr>
        <sz val="11"/>
        <color theme="1"/>
        <rFont val="宋体"/>
        <family val="3"/>
        <charset val="134"/>
        <scheme val="minor"/>
      </rPr>
      <t>4031</t>
    </r>
    <r>
      <rPr>
        <sz val="11"/>
        <color theme="1"/>
        <rFont val="宋体"/>
        <family val="2"/>
        <scheme val="minor"/>
      </rPr>
      <t/>
    </r>
  </si>
  <si>
    <r>
      <t>B</t>
    </r>
    <r>
      <rPr>
        <sz val="11"/>
        <color theme="1"/>
        <rFont val="宋体"/>
        <family val="3"/>
        <charset val="134"/>
        <scheme val="minor"/>
      </rPr>
      <t>4032</t>
    </r>
    <r>
      <rPr>
        <sz val="11"/>
        <color theme="1"/>
        <rFont val="宋体"/>
        <family val="2"/>
        <scheme val="minor"/>
      </rPr>
      <t/>
    </r>
  </si>
  <si>
    <r>
      <t>B</t>
    </r>
    <r>
      <rPr>
        <sz val="11"/>
        <color theme="1"/>
        <rFont val="宋体"/>
        <family val="3"/>
        <charset val="134"/>
        <scheme val="minor"/>
      </rPr>
      <t>4033</t>
    </r>
    <r>
      <rPr>
        <sz val="11"/>
        <color theme="1"/>
        <rFont val="宋体"/>
        <family val="2"/>
        <scheme val="minor"/>
      </rPr>
      <t/>
    </r>
  </si>
  <si>
    <r>
      <t>B</t>
    </r>
    <r>
      <rPr>
        <sz val="11"/>
        <color theme="1"/>
        <rFont val="宋体"/>
        <family val="3"/>
        <charset val="134"/>
        <scheme val="minor"/>
      </rPr>
      <t>4034</t>
    </r>
    <r>
      <rPr>
        <sz val="11"/>
        <color theme="1"/>
        <rFont val="宋体"/>
        <family val="2"/>
        <scheme val="minor"/>
      </rPr>
      <t/>
    </r>
  </si>
  <si>
    <r>
      <t>B</t>
    </r>
    <r>
      <rPr>
        <sz val="11"/>
        <color theme="1"/>
        <rFont val="宋体"/>
        <family val="3"/>
        <charset val="134"/>
        <scheme val="minor"/>
      </rPr>
      <t>4035</t>
    </r>
    <r>
      <rPr>
        <sz val="11"/>
        <color theme="1"/>
        <rFont val="宋体"/>
        <family val="2"/>
        <scheme val="minor"/>
      </rPr>
      <t/>
    </r>
  </si>
  <si>
    <r>
      <t>B</t>
    </r>
    <r>
      <rPr>
        <sz val="11"/>
        <color theme="1"/>
        <rFont val="宋体"/>
        <family val="3"/>
        <charset val="134"/>
        <scheme val="minor"/>
      </rPr>
      <t>4036</t>
    </r>
    <r>
      <rPr>
        <sz val="11"/>
        <color theme="1"/>
        <rFont val="宋体"/>
        <family val="2"/>
        <scheme val="minor"/>
      </rPr>
      <t/>
    </r>
  </si>
  <si>
    <r>
      <t>B</t>
    </r>
    <r>
      <rPr>
        <sz val="11"/>
        <color theme="1"/>
        <rFont val="宋体"/>
        <family val="3"/>
        <charset val="134"/>
        <scheme val="minor"/>
      </rPr>
      <t>4037</t>
    </r>
    <r>
      <rPr>
        <sz val="11"/>
        <color theme="1"/>
        <rFont val="宋体"/>
        <family val="2"/>
        <scheme val="minor"/>
      </rPr>
      <t/>
    </r>
  </si>
  <si>
    <r>
      <t>B</t>
    </r>
    <r>
      <rPr>
        <sz val="11"/>
        <color theme="1"/>
        <rFont val="宋体"/>
        <family val="3"/>
        <charset val="134"/>
        <scheme val="minor"/>
      </rPr>
      <t>4038</t>
    </r>
    <r>
      <rPr>
        <sz val="11"/>
        <color theme="1"/>
        <rFont val="宋体"/>
        <family val="2"/>
        <scheme val="minor"/>
      </rPr>
      <t/>
    </r>
  </si>
  <si>
    <r>
      <t>B</t>
    </r>
    <r>
      <rPr>
        <sz val="11"/>
        <color theme="1"/>
        <rFont val="宋体"/>
        <family val="3"/>
        <charset val="134"/>
        <scheme val="minor"/>
      </rPr>
      <t>4039</t>
    </r>
    <r>
      <rPr>
        <sz val="11"/>
        <color theme="1"/>
        <rFont val="宋体"/>
        <family val="2"/>
        <scheme val="minor"/>
      </rPr>
      <t/>
    </r>
  </si>
  <si>
    <r>
      <t>B</t>
    </r>
    <r>
      <rPr>
        <sz val="11"/>
        <color theme="1"/>
        <rFont val="宋体"/>
        <family val="3"/>
        <charset val="134"/>
        <scheme val="minor"/>
      </rPr>
      <t>4040</t>
    </r>
    <r>
      <rPr>
        <sz val="11"/>
        <color theme="1"/>
        <rFont val="宋体"/>
        <family val="2"/>
        <scheme val="minor"/>
      </rPr>
      <t/>
    </r>
  </si>
  <si>
    <r>
      <t>B</t>
    </r>
    <r>
      <rPr>
        <sz val="11"/>
        <color theme="1"/>
        <rFont val="宋体"/>
        <family val="3"/>
        <charset val="134"/>
        <scheme val="minor"/>
      </rPr>
      <t>4041</t>
    </r>
    <r>
      <rPr>
        <sz val="11"/>
        <color theme="1"/>
        <rFont val="宋体"/>
        <family val="2"/>
        <scheme val="minor"/>
      </rPr>
      <t/>
    </r>
  </si>
  <si>
    <r>
      <t>B</t>
    </r>
    <r>
      <rPr>
        <sz val="11"/>
        <color theme="1"/>
        <rFont val="宋体"/>
        <family val="3"/>
        <charset val="134"/>
        <scheme val="minor"/>
      </rPr>
      <t>4042</t>
    </r>
    <r>
      <rPr>
        <sz val="11"/>
        <color theme="1"/>
        <rFont val="宋体"/>
        <family val="2"/>
        <scheme val="minor"/>
      </rPr>
      <t/>
    </r>
  </si>
  <si>
    <r>
      <t>B</t>
    </r>
    <r>
      <rPr>
        <sz val="11"/>
        <color theme="1"/>
        <rFont val="宋体"/>
        <family val="3"/>
        <charset val="134"/>
        <scheme val="minor"/>
      </rPr>
      <t>4043</t>
    </r>
    <r>
      <rPr>
        <sz val="11"/>
        <color theme="1"/>
        <rFont val="宋体"/>
        <family val="2"/>
        <scheme val="minor"/>
      </rPr>
      <t/>
    </r>
  </si>
  <si>
    <r>
      <t>B</t>
    </r>
    <r>
      <rPr>
        <sz val="11"/>
        <color theme="1"/>
        <rFont val="宋体"/>
        <family val="3"/>
        <charset val="134"/>
        <scheme val="minor"/>
      </rPr>
      <t>4044</t>
    </r>
    <r>
      <rPr>
        <sz val="11"/>
        <color theme="1"/>
        <rFont val="宋体"/>
        <family val="2"/>
        <scheme val="minor"/>
      </rPr>
      <t/>
    </r>
  </si>
  <si>
    <r>
      <t>B</t>
    </r>
    <r>
      <rPr>
        <sz val="11"/>
        <color theme="1"/>
        <rFont val="宋体"/>
        <family val="3"/>
        <charset val="134"/>
        <scheme val="minor"/>
      </rPr>
      <t>4045</t>
    </r>
    <r>
      <rPr>
        <sz val="11"/>
        <color theme="1"/>
        <rFont val="宋体"/>
        <family val="2"/>
        <scheme val="minor"/>
      </rPr>
      <t/>
    </r>
  </si>
  <si>
    <r>
      <t>B</t>
    </r>
    <r>
      <rPr>
        <sz val="11"/>
        <color theme="1"/>
        <rFont val="宋体"/>
        <family val="3"/>
        <charset val="134"/>
        <scheme val="minor"/>
      </rPr>
      <t>4046</t>
    </r>
    <r>
      <rPr>
        <sz val="11"/>
        <color theme="1"/>
        <rFont val="宋体"/>
        <family val="2"/>
        <scheme val="minor"/>
      </rPr>
      <t/>
    </r>
  </si>
  <si>
    <r>
      <t>B</t>
    </r>
    <r>
      <rPr>
        <sz val="11"/>
        <color theme="1"/>
        <rFont val="宋体"/>
        <family val="3"/>
        <charset val="134"/>
        <scheme val="minor"/>
      </rPr>
      <t>4047</t>
    </r>
    <r>
      <rPr>
        <sz val="11"/>
        <color theme="1"/>
        <rFont val="宋体"/>
        <family val="2"/>
        <scheme val="minor"/>
      </rPr>
      <t/>
    </r>
  </si>
  <si>
    <r>
      <t>B</t>
    </r>
    <r>
      <rPr>
        <sz val="11"/>
        <color theme="1"/>
        <rFont val="宋体"/>
        <family val="3"/>
        <charset val="134"/>
        <scheme val="minor"/>
      </rPr>
      <t>4048</t>
    </r>
    <r>
      <rPr>
        <sz val="11"/>
        <color theme="1"/>
        <rFont val="宋体"/>
        <family val="2"/>
        <scheme val="minor"/>
      </rPr>
      <t/>
    </r>
  </si>
  <si>
    <r>
      <t>B</t>
    </r>
    <r>
      <rPr>
        <sz val="11"/>
        <color theme="1"/>
        <rFont val="宋体"/>
        <family val="3"/>
        <charset val="134"/>
        <scheme val="minor"/>
      </rPr>
      <t>4049</t>
    </r>
    <r>
      <rPr>
        <sz val="11"/>
        <color theme="1"/>
        <rFont val="宋体"/>
        <family val="2"/>
        <scheme val="minor"/>
      </rPr>
      <t/>
    </r>
  </si>
  <si>
    <r>
      <t>B</t>
    </r>
    <r>
      <rPr>
        <sz val="11"/>
        <color theme="1"/>
        <rFont val="宋体"/>
        <family val="3"/>
        <charset val="134"/>
        <scheme val="minor"/>
      </rPr>
      <t>4050</t>
    </r>
    <r>
      <rPr>
        <sz val="11"/>
        <color theme="1"/>
        <rFont val="宋体"/>
        <family val="2"/>
        <scheme val="minor"/>
      </rPr>
      <t/>
    </r>
  </si>
  <si>
    <r>
      <t>B</t>
    </r>
    <r>
      <rPr>
        <sz val="11"/>
        <color theme="1"/>
        <rFont val="宋体"/>
        <family val="3"/>
        <charset val="134"/>
        <scheme val="minor"/>
      </rPr>
      <t>4051</t>
    </r>
    <r>
      <rPr>
        <sz val="11"/>
        <color theme="1"/>
        <rFont val="宋体"/>
        <family val="2"/>
        <scheme val="minor"/>
      </rPr>
      <t/>
    </r>
  </si>
  <si>
    <r>
      <t>B</t>
    </r>
    <r>
      <rPr>
        <sz val="11"/>
        <color theme="1"/>
        <rFont val="宋体"/>
        <family val="3"/>
        <charset val="134"/>
        <scheme val="minor"/>
      </rPr>
      <t>4052</t>
    </r>
    <r>
      <rPr>
        <sz val="11"/>
        <color theme="1"/>
        <rFont val="宋体"/>
        <family val="2"/>
        <scheme val="minor"/>
      </rPr>
      <t/>
    </r>
  </si>
  <si>
    <r>
      <t>B</t>
    </r>
    <r>
      <rPr>
        <sz val="11"/>
        <color theme="1"/>
        <rFont val="宋体"/>
        <family val="3"/>
        <charset val="134"/>
        <scheme val="minor"/>
      </rPr>
      <t>4053</t>
    </r>
    <r>
      <rPr>
        <sz val="11"/>
        <color theme="1"/>
        <rFont val="宋体"/>
        <family val="2"/>
        <scheme val="minor"/>
      </rPr>
      <t/>
    </r>
  </si>
  <si>
    <r>
      <t>B</t>
    </r>
    <r>
      <rPr>
        <sz val="11"/>
        <color theme="1"/>
        <rFont val="宋体"/>
        <family val="3"/>
        <charset val="134"/>
        <scheme val="minor"/>
      </rPr>
      <t>4054</t>
    </r>
    <r>
      <rPr>
        <sz val="11"/>
        <color theme="1"/>
        <rFont val="宋体"/>
        <family val="2"/>
        <scheme val="minor"/>
      </rPr>
      <t/>
    </r>
  </si>
  <si>
    <r>
      <t>B</t>
    </r>
    <r>
      <rPr>
        <sz val="11"/>
        <color theme="1"/>
        <rFont val="宋体"/>
        <family val="3"/>
        <charset val="134"/>
        <scheme val="minor"/>
      </rPr>
      <t>4055</t>
    </r>
    <r>
      <rPr>
        <sz val="11"/>
        <color theme="1"/>
        <rFont val="宋体"/>
        <family val="2"/>
        <scheme val="minor"/>
      </rPr>
      <t/>
    </r>
  </si>
  <si>
    <r>
      <t>B</t>
    </r>
    <r>
      <rPr>
        <sz val="11"/>
        <color theme="1"/>
        <rFont val="宋体"/>
        <family val="3"/>
        <charset val="134"/>
        <scheme val="minor"/>
      </rPr>
      <t>4056</t>
    </r>
    <r>
      <rPr>
        <sz val="11"/>
        <color theme="1"/>
        <rFont val="宋体"/>
        <family val="2"/>
        <scheme val="minor"/>
      </rPr>
      <t/>
    </r>
  </si>
  <si>
    <r>
      <t>B</t>
    </r>
    <r>
      <rPr>
        <sz val="11"/>
        <color theme="1"/>
        <rFont val="宋体"/>
        <family val="3"/>
        <charset val="134"/>
        <scheme val="minor"/>
      </rPr>
      <t>4057</t>
    </r>
    <r>
      <rPr>
        <sz val="11"/>
        <color theme="1"/>
        <rFont val="宋体"/>
        <family val="2"/>
        <scheme val="minor"/>
      </rPr>
      <t/>
    </r>
  </si>
  <si>
    <r>
      <t>B</t>
    </r>
    <r>
      <rPr>
        <sz val="11"/>
        <color theme="1"/>
        <rFont val="宋体"/>
        <family val="3"/>
        <charset val="134"/>
        <scheme val="minor"/>
      </rPr>
      <t>4058</t>
    </r>
    <r>
      <rPr>
        <sz val="11"/>
        <color theme="1"/>
        <rFont val="宋体"/>
        <family val="2"/>
        <scheme val="minor"/>
      </rPr>
      <t/>
    </r>
  </si>
  <si>
    <r>
      <t>B</t>
    </r>
    <r>
      <rPr>
        <sz val="11"/>
        <color theme="1"/>
        <rFont val="宋体"/>
        <family val="3"/>
        <charset val="134"/>
        <scheme val="minor"/>
      </rPr>
      <t>4059</t>
    </r>
    <r>
      <rPr>
        <sz val="11"/>
        <color theme="1"/>
        <rFont val="宋体"/>
        <family val="2"/>
        <scheme val="minor"/>
      </rPr>
      <t/>
    </r>
  </si>
  <si>
    <r>
      <t>B</t>
    </r>
    <r>
      <rPr>
        <sz val="11"/>
        <color theme="1"/>
        <rFont val="宋体"/>
        <family val="3"/>
        <charset val="134"/>
        <scheme val="minor"/>
      </rPr>
      <t>4060</t>
    </r>
    <r>
      <rPr>
        <sz val="11"/>
        <color theme="1"/>
        <rFont val="宋体"/>
        <family val="2"/>
        <scheme val="minor"/>
      </rPr>
      <t/>
    </r>
  </si>
  <si>
    <r>
      <t>B</t>
    </r>
    <r>
      <rPr>
        <sz val="11"/>
        <color theme="1"/>
        <rFont val="宋体"/>
        <family val="3"/>
        <charset val="134"/>
        <scheme val="minor"/>
      </rPr>
      <t>4061</t>
    </r>
    <r>
      <rPr>
        <sz val="11"/>
        <color theme="1"/>
        <rFont val="宋体"/>
        <family val="2"/>
        <scheme val="minor"/>
      </rPr>
      <t/>
    </r>
  </si>
  <si>
    <r>
      <t>B</t>
    </r>
    <r>
      <rPr>
        <sz val="11"/>
        <color theme="1"/>
        <rFont val="宋体"/>
        <family val="3"/>
        <charset val="134"/>
        <scheme val="minor"/>
      </rPr>
      <t>4062</t>
    </r>
    <r>
      <rPr>
        <sz val="11"/>
        <color theme="1"/>
        <rFont val="宋体"/>
        <family val="2"/>
        <scheme val="minor"/>
      </rPr>
      <t/>
    </r>
  </si>
  <si>
    <r>
      <t>B</t>
    </r>
    <r>
      <rPr>
        <sz val="11"/>
        <color theme="1"/>
        <rFont val="宋体"/>
        <family val="3"/>
        <charset val="134"/>
        <scheme val="minor"/>
      </rPr>
      <t>4063</t>
    </r>
    <r>
      <rPr>
        <sz val="11"/>
        <color theme="1"/>
        <rFont val="宋体"/>
        <family val="2"/>
        <scheme val="minor"/>
      </rPr>
      <t/>
    </r>
  </si>
  <si>
    <r>
      <t>B</t>
    </r>
    <r>
      <rPr>
        <sz val="11"/>
        <color theme="1"/>
        <rFont val="宋体"/>
        <family val="3"/>
        <charset val="134"/>
        <scheme val="minor"/>
      </rPr>
      <t>4064</t>
    </r>
    <r>
      <rPr>
        <sz val="11"/>
        <color theme="1"/>
        <rFont val="宋体"/>
        <family val="2"/>
        <scheme val="minor"/>
      </rPr>
      <t/>
    </r>
  </si>
  <si>
    <r>
      <t>B</t>
    </r>
    <r>
      <rPr>
        <sz val="11"/>
        <color theme="1"/>
        <rFont val="宋体"/>
        <family val="3"/>
        <charset val="134"/>
        <scheme val="minor"/>
      </rPr>
      <t>4065</t>
    </r>
    <r>
      <rPr>
        <sz val="11"/>
        <color theme="1"/>
        <rFont val="宋体"/>
        <family val="2"/>
        <scheme val="minor"/>
      </rPr>
      <t/>
    </r>
  </si>
  <si>
    <r>
      <t>B</t>
    </r>
    <r>
      <rPr>
        <sz val="11"/>
        <color theme="1"/>
        <rFont val="宋体"/>
        <family val="3"/>
        <charset val="134"/>
        <scheme val="minor"/>
      </rPr>
      <t>4066</t>
    </r>
    <r>
      <rPr>
        <sz val="11"/>
        <color theme="1"/>
        <rFont val="宋体"/>
        <family val="2"/>
        <scheme val="minor"/>
      </rPr>
      <t/>
    </r>
  </si>
  <si>
    <r>
      <t>B</t>
    </r>
    <r>
      <rPr>
        <sz val="11"/>
        <color theme="1"/>
        <rFont val="宋体"/>
        <family val="3"/>
        <charset val="134"/>
        <scheme val="minor"/>
      </rPr>
      <t>4067</t>
    </r>
    <r>
      <rPr>
        <sz val="11"/>
        <color theme="1"/>
        <rFont val="宋体"/>
        <family val="2"/>
        <scheme val="minor"/>
      </rPr>
      <t/>
    </r>
  </si>
  <si>
    <r>
      <t>B</t>
    </r>
    <r>
      <rPr>
        <sz val="11"/>
        <color theme="1"/>
        <rFont val="宋体"/>
        <family val="3"/>
        <charset val="134"/>
        <scheme val="minor"/>
      </rPr>
      <t>4068</t>
    </r>
    <r>
      <rPr>
        <sz val="11"/>
        <color theme="1"/>
        <rFont val="宋体"/>
        <family val="2"/>
        <scheme val="minor"/>
      </rPr>
      <t/>
    </r>
  </si>
  <si>
    <r>
      <t>B</t>
    </r>
    <r>
      <rPr>
        <sz val="11"/>
        <color theme="1"/>
        <rFont val="宋体"/>
        <family val="3"/>
        <charset val="134"/>
        <scheme val="minor"/>
      </rPr>
      <t>4069</t>
    </r>
    <r>
      <rPr>
        <sz val="11"/>
        <color theme="1"/>
        <rFont val="宋体"/>
        <family val="2"/>
        <scheme val="minor"/>
      </rPr>
      <t/>
    </r>
  </si>
  <si>
    <r>
      <t>B</t>
    </r>
    <r>
      <rPr>
        <sz val="11"/>
        <color theme="1"/>
        <rFont val="宋体"/>
        <family val="3"/>
        <charset val="134"/>
        <scheme val="minor"/>
      </rPr>
      <t>4070</t>
    </r>
    <r>
      <rPr>
        <sz val="11"/>
        <color theme="1"/>
        <rFont val="宋体"/>
        <family val="2"/>
        <scheme val="minor"/>
      </rPr>
      <t/>
    </r>
  </si>
  <si>
    <r>
      <t>B</t>
    </r>
    <r>
      <rPr>
        <sz val="11"/>
        <color theme="1"/>
        <rFont val="宋体"/>
        <family val="3"/>
        <charset val="134"/>
        <scheme val="minor"/>
      </rPr>
      <t>4071</t>
    </r>
    <r>
      <rPr>
        <sz val="11"/>
        <color theme="1"/>
        <rFont val="宋体"/>
        <family val="2"/>
        <scheme val="minor"/>
      </rPr>
      <t/>
    </r>
  </si>
  <si>
    <r>
      <t>B</t>
    </r>
    <r>
      <rPr>
        <sz val="11"/>
        <color theme="1"/>
        <rFont val="宋体"/>
        <family val="3"/>
        <charset val="134"/>
        <scheme val="minor"/>
      </rPr>
      <t>4072</t>
    </r>
    <r>
      <rPr>
        <sz val="11"/>
        <color theme="1"/>
        <rFont val="宋体"/>
        <family val="2"/>
        <scheme val="minor"/>
      </rPr>
      <t/>
    </r>
  </si>
  <si>
    <r>
      <t>B</t>
    </r>
    <r>
      <rPr>
        <sz val="11"/>
        <color theme="1"/>
        <rFont val="宋体"/>
        <family val="3"/>
        <charset val="134"/>
        <scheme val="minor"/>
      </rPr>
      <t>4073</t>
    </r>
    <r>
      <rPr>
        <sz val="11"/>
        <color theme="1"/>
        <rFont val="宋体"/>
        <family val="2"/>
        <scheme val="minor"/>
      </rPr>
      <t/>
    </r>
  </si>
  <si>
    <r>
      <t>B</t>
    </r>
    <r>
      <rPr>
        <sz val="11"/>
        <color theme="1"/>
        <rFont val="宋体"/>
        <family val="3"/>
        <charset val="134"/>
        <scheme val="minor"/>
      </rPr>
      <t>4074</t>
    </r>
    <r>
      <rPr>
        <sz val="11"/>
        <color theme="1"/>
        <rFont val="宋体"/>
        <family val="2"/>
        <scheme val="minor"/>
      </rPr>
      <t/>
    </r>
  </si>
  <si>
    <r>
      <t>B</t>
    </r>
    <r>
      <rPr>
        <sz val="11"/>
        <color theme="1"/>
        <rFont val="宋体"/>
        <family val="3"/>
        <charset val="134"/>
        <scheme val="minor"/>
      </rPr>
      <t>4075</t>
    </r>
    <r>
      <rPr>
        <sz val="11"/>
        <color theme="1"/>
        <rFont val="宋体"/>
        <family val="2"/>
        <scheme val="minor"/>
      </rPr>
      <t/>
    </r>
  </si>
  <si>
    <r>
      <t>B</t>
    </r>
    <r>
      <rPr>
        <sz val="11"/>
        <color theme="1"/>
        <rFont val="宋体"/>
        <family val="3"/>
        <charset val="134"/>
        <scheme val="minor"/>
      </rPr>
      <t>4076</t>
    </r>
    <r>
      <rPr>
        <sz val="11"/>
        <color theme="1"/>
        <rFont val="宋体"/>
        <family val="2"/>
        <scheme val="minor"/>
      </rPr>
      <t/>
    </r>
  </si>
  <si>
    <r>
      <t>B</t>
    </r>
    <r>
      <rPr>
        <sz val="11"/>
        <color theme="1"/>
        <rFont val="宋体"/>
        <family val="3"/>
        <charset val="134"/>
        <scheme val="minor"/>
      </rPr>
      <t>4077</t>
    </r>
    <r>
      <rPr>
        <sz val="11"/>
        <color theme="1"/>
        <rFont val="宋体"/>
        <family val="2"/>
        <scheme val="minor"/>
      </rPr>
      <t/>
    </r>
  </si>
  <si>
    <r>
      <t>B</t>
    </r>
    <r>
      <rPr>
        <sz val="11"/>
        <color theme="1"/>
        <rFont val="宋体"/>
        <family val="3"/>
        <charset val="134"/>
        <scheme val="minor"/>
      </rPr>
      <t>4078</t>
    </r>
    <r>
      <rPr>
        <sz val="11"/>
        <color theme="1"/>
        <rFont val="宋体"/>
        <family val="2"/>
        <scheme val="minor"/>
      </rPr>
      <t/>
    </r>
  </si>
  <si>
    <r>
      <t>B</t>
    </r>
    <r>
      <rPr>
        <sz val="11"/>
        <color theme="1"/>
        <rFont val="宋体"/>
        <family val="3"/>
        <charset val="134"/>
        <scheme val="minor"/>
      </rPr>
      <t>4079</t>
    </r>
    <r>
      <rPr>
        <sz val="11"/>
        <color theme="1"/>
        <rFont val="宋体"/>
        <family val="2"/>
        <scheme val="minor"/>
      </rPr>
      <t/>
    </r>
  </si>
  <si>
    <r>
      <t>B</t>
    </r>
    <r>
      <rPr>
        <sz val="11"/>
        <color theme="1"/>
        <rFont val="宋体"/>
        <family val="3"/>
        <charset val="134"/>
        <scheme val="minor"/>
      </rPr>
      <t>4080</t>
    </r>
    <r>
      <rPr>
        <sz val="11"/>
        <color theme="1"/>
        <rFont val="宋体"/>
        <family val="2"/>
        <scheme val="minor"/>
      </rPr>
      <t/>
    </r>
  </si>
  <si>
    <r>
      <t>B</t>
    </r>
    <r>
      <rPr>
        <sz val="11"/>
        <color theme="1"/>
        <rFont val="宋体"/>
        <family val="3"/>
        <charset val="134"/>
        <scheme val="minor"/>
      </rPr>
      <t>4081</t>
    </r>
    <r>
      <rPr>
        <sz val="11"/>
        <color theme="1"/>
        <rFont val="宋体"/>
        <family val="2"/>
        <scheme val="minor"/>
      </rPr>
      <t/>
    </r>
  </si>
  <si>
    <r>
      <t>B</t>
    </r>
    <r>
      <rPr>
        <sz val="11"/>
        <color theme="1"/>
        <rFont val="宋体"/>
        <family val="3"/>
        <charset val="134"/>
        <scheme val="minor"/>
      </rPr>
      <t>4082</t>
    </r>
    <r>
      <rPr>
        <sz val="11"/>
        <color theme="1"/>
        <rFont val="宋体"/>
        <family val="2"/>
        <scheme val="minor"/>
      </rPr>
      <t/>
    </r>
  </si>
  <si>
    <r>
      <t>B</t>
    </r>
    <r>
      <rPr>
        <sz val="11"/>
        <color theme="1"/>
        <rFont val="宋体"/>
        <family val="3"/>
        <charset val="134"/>
        <scheme val="minor"/>
      </rPr>
      <t>4083</t>
    </r>
    <r>
      <rPr>
        <sz val="11"/>
        <color theme="1"/>
        <rFont val="宋体"/>
        <family val="2"/>
        <scheme val="minor"/>
      </rPr>
      <t/>
    </r>
  </si>
  <si>
    <r>
      <t>B</t>
    </r>
    <r>
      <rPr>
        <sz val="11"/>
        <color theme="1"/>
        <rFont val="宋体"/>
        <family val="3"/>
        <charset val="134"/>
        <scheme val="minor"/>
      </rPr>
      <t>4084</t>
    </r>
    <r>
      <rPr>
        <sz val="11"/>
        <color theme="1"/>
        <rFont val="宋体"/>
        <family val="2"/>
        <scheme val="minor"/>
      </rPr>
      <t/>
    </r>
  </si>
  <si>
    <r>
      <t>B</t>
    </r>
    <r>
      <rPr>
        <sz val="11"/>
        <color theme="1"/>
        <rFont val="宋体"/>
        <family val="3"/>
        <charset val="134"/>
        <scheme val="minor"/>
      </rPr>
      <t>4085</t>
    </r>
    <r>
      <rPr>
        <sz val="11"/>
        <color theme="1"/>
        <rFont val="宋体"/>
        <family val="2"/>
        <scheme val="minor"/>
      </rPr>
      <t/>
    </r>
  </si>
  <si>
    <r>
      <t>B</t>
    </r>
    <r>
      <rPr>
        <sz val="11"/>
        <color theme="1"/>
        <rFont val="宋体"/>
        <family val="3"/>
        <charset val="134"/>
        <scheme val="minor"/>
      </rPr>
      <t>4086</t>
    </r>
    <r>
      <rPr>
        <sz val="11"/>
        <color theme="1"/>
        <rFont val="宋体"/>
        <family val="2"/>
        <scheme val="minor"/>
      </rPr>
      <t/>
    </r>
  </si>
  <si>
    <r>
      <t>B</t>
    </r>
    <r>
      <rPr>
        <sz val="11"/>
        <color theme="1"/>
        <rFont val="宋体"/>
        <family val="3"/>
        <charset val="134"/>
        <scheme val="minor"/>
      </rPr>
      <t>4087</t>
    </r>
    <r>
      <rPr>
        <sz val="11"/>
        <color theme="1"/>
        <rFont val="宋体"/>
        <family val="2"/>
        <scheme val="minor"/>
      </rPr>
      <t/>
    </r>
  </si>
  <si>
    <r>
      <t>B</t>
    </r>
    <r>
      <rPr>
        <sz val="11"/>
        <color theme="1"/>
        <rFont val="宋体"/>
        <family val="3"/>
        <charset val="134"/>
        <scheme val="minor"/>
      </rPr>
      <t>4088</t>
    </r>
    <r>
      <rPr>
        <sz val="11"/>
        <color theme="1"/>
        <rFont val="宋体"/>
        <family val="2"/>
        <scheme val="minor"/>
      </rPr>
      <t/>
    </r>
  </si>
  <si>
    <r>
      <t>B</t>
    </r>
    <r>
      <rPr>
        <sz val="11"/>
        <color theme="1"/>
        <rFont val="宋体"/>
        <family val="3"/>
        <charset val="134"/>
        <scheme val="minor"/>
      </rPr>
      <t>4089</t>
    </r>
    <r>
      <rPr>
        <sz val="11"/>
        <color theme="1"/>
        <rFont val="宋体"/>
        <family val="2"/>
        <scheme val="minor"/>
      </rPr>
      <t/>
    </r>
  </si>
  <si>
    <r>
      <t>B</t>
    </r>
    <r>
      <rPr>
        <sz val="11"/>
        <color theme="1"/>
        <rFont val="宋体"/>
        <family val="3"/>
        <charset val="134"/>
        <scheme val="minor"/>
      </rPr>
      <t>4090</t>
    </r>
    <r>
      <rPr>
        <sz val="11"/>
        <color theme="1"/>
        <rFont val="宋体"/>
        <family val="2"/>
        <scheme val="minor"/>
      </rPr>
      <t/>
    </r>
  </si>
  <si>
    <r>
      <t>B</t>
    </r>
    <r>
      <rPr>
        <sz val="11"/>
        <color theme="1"/>
        <rFont val="宋体"/>
        <family val="3"/>
        <charset val="134"/>
        <scheme val="minor"/>
      </rPr>
      <t>4091</t>
    </r>
    <r>
      <rPr>
        <sz val="11"/>
        <color theme="1"/>
        <rFont val="宋体"/>
        <family val="2"/>
        <scheme val="minor"/>
      </rPr>
      <t/>
    </r>
  </si>
  <si>
    <r>
      <t>B</t>
    </r>
    <r>
      <rPr>
        <sz val="11"/>
        <color theme="1"/>
        <rFont val="宋体"/>
        <family val="3"/>
        <charset val="134"/>
        <scheme val="minor"/>
      </rPr>
      <t>4092</t>
    </r>
    <r>
      <rPr>
        <sz val="11"/>
        <color theme="1"/>
        <rFont val="宋体"/>
        <family val="2"/>
        <scheme val="minor"/>
      </rPr>
      <t/>
    </r>
  </si>
  <si>
    <r>
      <t>B</t>
    </r>
    <r>
      <rPr>
        <sz val="11"/>
        <color theme="1"/>
        <rFont val="宋体"/>
        <family val="3"/>
        <charset val="134"/>
        <scheme val="minor"/>
      </rPr>
      <t>4093</t>
    </r>
    <r>
      <rPr>
        <sz val="11"/>
        <color theme="1"/>
        <rFont val="宋体"/>
        <family val="2"/>
        <scheme val="minor"/>
      </rPr>
      <t/>
    </r>
  </si>
  <si>
    <r>
      <t>B</t>
    </r>
    <r>
      <rPr>
        <sz val="11"/>
        <color theme="1"/>
        <rFont val="宋体"/>
        <family val="3"/>
        <charset val="134"/>
        <scheme val="minor"/>
      </rPr>
      <t>4094</t>
    </r>
    <r>
      <rPr>
        <sz val="11"/>
        <color theme="1"/>
        <rFont val="宋体"/>
        <family val="2"/>
        <scheme val="minor"/>
      </rPr>
      <t/>
    </r>
  </si>
  <si>
    <r>
      <t>B</t>
    </r>
    <r>
      <rPr>
        <sz val="11"/>
        <color theme="1"/>
        <rFont val="宋体"/>
        <family val="3"/>
        <charset val="134"/>
        <scheme val="minor"/>
      </rPr>
      <t>4095</t>
    </r>
    <r>
      <rPr>
        <sz val="11"/>
        <color theme="1"/>
        <rFont val="宋体"/>
        <family val="2"/>
        <scheme val="minor"/>
      </rPr>
      <t/>
    </r>
  </si>
  <si>
    <r>
      <t>B</t>
    </r>
    <r>
      <rPr>
        <sz val="11"/>
        <color theme="1"/>
        <rFont val="宋体"/>
        <family val="3"/>
        <charset val="134"/>
        <scheme val="minor"/>
      </rPr>
      <t>4096</t>
    </r>
    <r>
      <rPr>
        <sz val="11"/>
        <color theme="1"/>
        <rFont val="宋体"/>
        <family val="2"/>
        <scheme val="minor"/>
      </rPr>
      <t/>
    </r>
  </si>
  <si>
    <r>
      <t>B</t>
    </r>
    <r>
      <rPr>
        <sz val="11"/>
        <color theme="1"/>
        <rFont val="宋体"/>
        <family val="3"/>
        <charset val="134"/>
        <scheme val="minor"/>
      </rPr>
      <t>4097</t>
    </r>
    <r>
      <rPr>
        <sz val="11"/>
        <color theme="1"/>
        <rFont val="宋体"/>
        <family val="2"/>
        <scheme val="minor"/>
      </rPr>
      <t/>
    </r>
  </si>
  <si>
    <r>
      <t>B</t>
    </r>
    <r>
      <rPr>
        <sz val="11"/>
        <color theme="1"/>
        <rFont val="宋体"/>
        <family val="3"/>
        <charset val="134"/>
        <scheme val="minor"/>
      </rPr>
      <t>4098</t>
    </r>
    <r>
      <rPr>
        <sz val="11"/>
        <color theme="1"/>
        <rFont val="宋体"/>
        <family val="2"/>
        <scheme val="minor"/>
      </rPr>
      <t/>
    </r>
  </si>
  <si>
    <r>
      <t>B</t>
    </r>
    <r>
      <rPr>
        <sz val="11"/>
        <color theme="1"/>
        <rFont val="宋体"/>
        <family val="3"/>
        <charset val="134"/>
        <scheme val="minor"/>
      </rPr>
      <t>4099</t>
    </r>
    <r>
      <rPr>
        <sz val="11"/>
        <color theme="1"/>
        <rFont val="宋体"/>
        <family val="2"/>
        <scheme val="minor"/>
      </rPr>
      <t/>
    </r>
  </si>
  <si>
    <r>
      <t>B</t>
    </r>
    <r>
      <rPr>
        <sz val="11"/>
        <color theme="1"/>
        <rFont val="宋体"/>
        <family val="3"/>
        <charset val="134"/>
        <scheme val="minor"/>
      </rPr>
      <t>4100</t>
    </r>
    <r>
      <rPr>
        <sz val="11"/>
        <color theme="1"/>
        <rFont val="宋体"/>
        <family val="2"/>
        <scheme val="minor"/>
      </rPr>
      <t/>
    </r>
  </si>
  <si>
    <r>
      <t>B</t>
    </r>
    <r>
      <rPr>
        <sz val="11"/>
        <color theme="1"/>
        <rFont val="宋体"/>
        <family val="3"/>
        <charset val="134"/>
        <scheme val="minor"/>
      </rPr>
      <t>4101</t>
    </r>
    <r>
      <rPr>
        <sz val="11"/>
        <color theme="1"/>
        <rFont val="宋体"/>
        <family val="2"/>
        <scheme val="minor"/>
      </rPr>
      <t/>
    </r>
  </si>
  <si>
    <r>
      <t>B</t>
    </r>
    <r>
      <rPr>
        <sz val="11"/>
        <color theme="1"/>
        <rFont val="宋体"/>
        <family val="3"/>
        <charset val="134"/>
        <scheme val="minor"/>
      </rPr>
      <t>4102</t>
    </r>
    <r>
      <rPr>
        <sz val="11"/>
        <color theme="1"/>
        <rFont val="宋体"/>
        <family val="2"/>
        <scheme val="minor"/>
      </rPr>
      <t/>
    </r>
  </si>
  <si>
    <r>
      <t>B</t>
    </r>
    <r>
      <rPr>
        <sz val="11"/>
        <color theme="1"/>
        <rFont val="宋体"/>
        <family val="3"/>
        <charset val="134"/>
        <scheme val="minor"/>
      </rPr>
      <t>4103</t>
    </r>
    <r>
      <rPr>
        <sz val="11"/>
        <color theme="1"/>
        <rFont val="宋体"/>
        <family val="2"/>
        <scheme val="minor"/>
      </rPr>
      <t/>
    </r>
  </si>
  <si>
    <r>
      <t>B</t>
    </r>
    <r>
      <rPr>
        <sz val="11"/>
        <color theme="1"/>
        <rFont val="宋体"/>
        <family val="3"/>
        <charset val="134"/>
        <scheme val="minor"/>
      </rPr>
      <t>4104</t>
    </r>
    <r>
      <rPr>
        <sz val="11"/>
        <color theme="1"/>
        <rFont val="宋体"/>
        <family val="2"/>
        <scheme val="minor"/>
      </rPr>
      <t/>
    </r>
  </si>
  <si>
    <r>
      <t>B</t>
    </r>
    <r>
      <rPr>
        <sz val="11"/>
        <color theme="1"/>
        <rFont val="宋体"/>
        <family val="3"/>
        <charset val="134"/>
        <scheme val="minor"/>
      </rPr>
      <t>4105</t>
    </r>
    <r>
      <rPr>
        <sz val="11"/>
        <color theme="1"/>
        <rFont val="宋体"/>
        <family val="2"/>
        <scheme val="minor"/>
      </rPr>
      <t/>
    </r>
  </si>
  <si>
    <r>
      <t>B</t>
    </r>
    <r>
      <rPr>
        <sz val="11"/>
        <color theme="1"/>
        <rFont val="宋体"/>
        <family val="3"/>
        <charset val="134"/>
        <scheme val="minor"/>
      </rPr>
      <t>4106</t>
    </r>
    <r>
      <rPr>
        <sz val="11"/>
        <color theme="1"/>
        <rFont val="宋体"/>
        <family val="2"/>
        <scheme val="minor"/>
      </rPr>
      <t/>
    </r>
  </si>
  <si>
    <r>
      <t>B</t>
    </r>
    <r>
      <rPr>
        <sz val="11"/>
        <color theme="1"/>
        <rFont val="宋体"/>
        <family val="3"/>
        <charset val="134"/>
        <scheme val="minor"/>
      </rPr>
      <t>4107</t>
    </r>
    <r>
      <rPr>
        <sz val="11"/>
        <color theme="1"/>
        <rFont val="宋体"/>
        <family val="2"/>
        <scheme val="minor"/>
      </rPr>
      <t/>
    </r>
  </si>
  <si>
    <r>
      <t>B</t>
    </r>
    <r>
      <rPr>
        <sz val="11"/>
        <color theme="1"/>
        <rFont val="宋体"/>
        <family val="3"/>
        <charset val="134"/>
        <scheme val="minor"/>
      </rPr>
      <t>4108</t>
    </r>
    <r>
      <rPr>
        <sz val="11"/>
        <color theme="1"/>
        <rFont val="宋体"/>
        <family val="2"/>
        <scheme val="minor"/>
      </rPr>
      <t/>
    </r>
  </si>
  <si>
    <r>
      <t>B</t>
    </r>
    <r>
      <rPr>
        <sz val="11"/>
        <color theme="1"/>
        <rFont val="宋体"/>
        <family val="3"/>
        <charset val="134"/>
        <scheme val="minor"/>
      </rPr>
      <t>4109</t>
    </r>
    <r>
      <rPr>
        <sz val="11"/>
        <color theme="1"/>
        <rFont val="宋体"/>
        <family val="2"/>
        <scheme val="minor"/>
      </rPr>
      <t/>
    </r>
  </si>
  <si>
    <r>
      <t>B</t>
    </r>
    <r>
      <rPr>
        <sz val="11"/>
        <color theme="1"/>
        <rFont val="宋体"/>
        <family val="3"/>
        <charset val="134"/>
        <scheme val="minor"/>
      </rPr>
      <t>4110</t>
    </r>
    <r>
      <rPr>
        <sz val="11"/>
        <color theme="1"/>
        <rFont val="宋体"/>
        <family val="2"/>
        <scheme val="minor"/>
      </rPr>
      <t/>
    </r>
  </si>
  <si>
    <r>
      <t>B</t>
    </r>
    <r>
      <rPr>
        <sz val="11"/>
        <color theme="1"/>
        <rFont val="宋体"/>
        <family val="3"/>
        <charset val="134"/>
        <scheme val="minor"/>
      </rPr>
      <t>4111</t>
    </r>
    <r>
      <rPr>
        <sz val="11"/>
        <color theme="1"/>
        <rFont val="宋体"/>
        <family val="2"/>
        <scheme val="minor"/>
      </rPr>
      <t/>
    </r>
  </si>
  <si>
    <r>
      <t>B</t>
    </r>
    <r>
      <rPr>
        <sz val="11"/>
        <color theme="1"/>
        <rFont val="宋体"/>
        <family val="3"/>
        <charset val="134"/>
        <scheme val="minor"/>
      </rPr>
      <t>4112</t>
    </r>
    <r>
      <rPr>
        <sz val="11"/>
        <color theme="1"/>
        <rFont val="宋体"/>
        <family val="2"/>
        <scheme val="minor"/>
      </rPr>
      <t/>
    </r>
  </si>
  <si>
    <r>
      <t>B</t>
    </r>
    <r>
      <rPr>
        <sz val="11"/>
        <color theme="1"/>
        <rFont val="宋体"/>
        <family val="3"/>
        <charset val="134"/>
        <scheme val="minor"/>
      </rPr>
      <t>4113</t>
    </r>
    <r>
      <rPr>
        <sz val="11"/>
        <color theme="1"/>
        <rFont val="宋体"/>
        <family val="2"/>
        <scheme val="minor"/>
      </rPr>
      <t/>
    </r>
  </si>
  <si>
    <r>
      <t>B</t>
    </r>
    <r>
      <rPr>
        <sz val="11"/>
        <color theme="1"/>
        <rFont val="宋体"/>
        <family val="3"/>
        <charset val="134"/>
        <scheme val="minor"/>
      </rPr>
      <t>4114</t>
    </r>
    <r>
      <rPr>
        <sz val="11"/>
        <color theme="1"/>
        <rFont val="宋体"/>
        <family val="2"/>
        <scheme val="minor"/>
      </rPr>
      <t/>
    </r>
  </si>
  <si>
    <r>
      <t>B</t>
    </r>
    <r>
      <rPr>
        <sz val="11"/>
        <color theme="1"/>
        <rFont val="宋体"/>
        <family val="3"/>
        <charset val="134"/>
        <scheme val="minor"/>
      </rPr>
      <t>4115</t>
    </r>
    <r>
      <rPr>
        <sz val="11"/>
        <color theme="1"/>
        <rFont val="宋体"/>
        <family val="2"/>
        <scheme val="minor"/>
      </rPr>
      <t/>
    </r>
  </si>
  <si>
    <r>
      <t>B</t>
    </r>
    <r>
      <rPr>
        <sz val="11"/>
        <color theme="1"/>
        <rFont val="宋体"/>
        <family val="3"/>
        <charset val="134"/>
        <scheme val="minor"/>
      </rPr>
      <t>4116</t>
    </r>
    <r>
      <rPr>
        <sz val="11"/>
        <color theme="1"/>
        <rFont val="宋体"/>
        <family val="2"/>
        <scheme val="minor"/>
      </rPr>
      <t/>
    </r>
  </si>
  <si>
    <r>
      <t>B</t>
    </r>
    <r>
      <rPr>
        <sz val="11"/>
        <color theme="1"/>
        <rFont val="宋体"/>
        <family val="3"/>
        <charset val="134"/>
        <scheme val="minor"/>
      </rPr>
      <t>4117</t>
    </r>
    <r>
      <rPr>
        <sz val="11"/>
        <color theme="1"/>
        <rFont val="宋体"/>
        <family val="2"/>
        <scheme val="minor"/>
      </rPr>
      <t/>
    </r>
  </si>
  <si>
    <r>
      <t>B</t>
    </r>
    <r>
      <rPr>
        <sz val="11"/>
        <color theme="1"/>
        <rFont val="宋体"/>
        <family val="3"/>
        <charset val="134"/>
        <scheme val="minor"/>
      </rPr>
      <t>4118</t>
    </r>
    <r>
      <rPr>
        <sz val="11"/>
        <color theme="1"/>
        <rFont val="宋体"/>
        <family val="2"/>
        <scheme val="minor"/>
      </rPr>
      <t/>
    </r>
  </si>
  <si>
    <r>
      <t>B</t>
    </r>
    <r>
      <rPr>
        <sz val="11"/>
        <color theme="1"/>
        <rFont val="宋体"/>
        <family val="3"/>
        <charset val="134"/>
        <scheme val="minor"/>
      </rPr>
      <t>4119</t>
    </r>
    <r>
      <rPr>
        <sz val="11"/>
        <color theme="1"/>
        <rFont val="宋体"/>
        <family val="2"/>
        <scheme val="minor"/>
      </rPr>
      <t/>
    </r>
  </si>
  <si>
    <r>
      <t>B</t>
    </r>
    <r>
      <rPr>
        <sz val="11"/>
        <color theme="1"/>
        <rFont val="宋体"/>
        <family val="3"/>
        <charset val="134"/>
        <scheme val="minor"/>
      </rPr>
      <t>4120</t>
    </r>
    <r>
      <rPr>
        <sz val="11"/>
        <color theme="1"/>
        <rFont val="宋体"/>
        <family val="2"/>
        <scheme val="minor"/>
      </rPr>
      <t/>
    </r>
  </si>
  <si>
    <r>
      <t>B</t>
    </r>
    <r>
      <rPr>
        <sz val="11"/>
        <color theme="1"/>
        <rFont val="宋体"/>
        <family val="3"/>
        <charset val="134"/>
        <scheme val="minor"/>
      </rPr>
      <t>4121</t>
    </r>
    <r>
      <rPr>
        <sz val="11"/>
        <color theme="1"/>
        <rFont val="宋体"/>
        <family val="2"/>
        <scheme val="minor"/>
      </rPr>
      <t/>
    </r>
  </si>
  <si>
    <r>
      <t>B</t>
    </r>
    <r>
      <rPr>
        <sz val="11"/>
        <color theme="1"/>
        <rFont val="宋体"/>
        <family val="3"/>
        <charset val="134"/>
        <scheme val="minor"/>
      </rPr>
      <t>4122</t>
    </r>
    <r>
      <rPr>
        <sz val="11"/>
        <color theme="1"/>
        <rFont val="宋体"/>
        <family val="2"/>
        <scheme val="minor"/>
      </rPr>
      <t/>
    </r>
  </si>
  <si>
    <r>
      <t>B</t>
    </r>
    <r>
      <rPr>
        <sz val="11"/>
        <color theme="1"/>
        <rFont val="宋体"/>
        <family val="3"/>
        <charset val="134"/>
        <scheme val="minor"/>
      </rPr>
      <t>4123</t>
    </r>
    <r>
      <rPr>
        <sz val="11"/>
        <color theme="1"/>
        <rFont val="宋体"/>
        <family val="2"/>
        <scheme val="minor"/>
      </rPr>
      <t/>
    </r>
  </si>
  <si>
    <r>
      <t>B</t>
    </r>
    <r>
      <rPr>
        <sz val="11"/>
        <color theme="1"/>
        <rFont val="宋体"/>
        <family val="3"/>
        <charset val="134"/>
        <scheme val="minor"/>
      </rPr>
      <t>4124</t>
    </r>
    <r>
      <rPr>
        <sz val="11"/>
        <color theme="1"/>
        <rFont val="宋体"/>
        <family val="2"/>
        <scheme val="minor"/>
      </rPr>
      <t/>
    </r>
  </si>
  <si>
    <r>
      <t>B</t>
    </r>
    <r>
      <rPr>
        <sz val="11"/>
        <color theme="1"/>
        <rFont val="宋体"/>
        <family val="3"/>
        <charset val="134"/>
        <scheme val="minor"/>
      </rPr>
      <t>4125</t>
    </r>
    <r>
      <rPr>
        <sz val="11"/>
        <color theme="1"/>
        <rFont val="宋体"/>
        <family val="2"/>
        <scheme val="minor"/>
      </rPr>
      <t/>
    </r>
  </si>
  <si>
    <r>
      <t>B</t>
    </r>
    <r>
      <rPr>
        <sz val="11"/>
        <color theme="1"/>
        <rFont val="宋体"/>
        <family val="3"/>
        <charset val="134"/>
        <scheme val="minor"/>
      </rPr>
      <t>4126</t>
    </r>
    <r>
      <rPr>
        <sz val="11"/>
        <color theme="1"/>
        <rFont val="宋体"/>
        <family val="2"/>
        <scheme val="minor"/>
      </rPr>
      <t/>
    </r>
  </si>
  <si>
    <r>
      <t>B</t>
    </r>
    <r>
      <rPr>
        <sz val="11"/>
        <color theme="1"/>
        <rFont val="宋体"/>
        <family val="3"/>
        <charset val="134"/>
        <scheme val="minor"/>
      </rPr>
      <t>4127</t>
    </r>
    <r>
      <rPr>
        <sz val="11"/>
        <color theme="1"/>
        <rFont val="宋体"/>
        <family val="2"/>
        <scheme val="minor"/>
      </rPr>
      <t/>
    </r>
  </si>
  <si>
    <r>
      <t>B</t>
    </r>
    <r>
      <rPr>
        <sz val="11"/>
        <color theme="1"/>
        <rFont val="宋体"/>
        <family val="3"/>
        <charset val="134"/>
        <scheme val="minor"/>
      </rPr>
      <t>4128</t>
    </r>
    <r>
      <rPr>
        <sz val="11"/>
        <color theme="1"/>
        <rFont val="宋体"/>
        <family val="2"/>
        <scheme val="minor"/>
      </rPr>
      <t/>
    </r>
  </si>
  <si>
    <r>
      <t>B</t>
    </r>
    <r>
      <rPr>
        <sz val="11"/>
        <color theme="1"/>
        <rFont val="宋体"/>
        <family val="3"/>
        <charset val="134"/>
        <scheme val="minor"/>
      </rPr>
      <t>4129</t>
    </r>
    <r>
      <rPr>
        <sz val="11"/>
        <color theme="1"/>
        <rFont val="宋体"/>
        <family val="2"/>
        <scheme val="minor"/>
      </rPr>
      <t/>
    </r>
  </si>
  <si>
    <r>
      <t>B</t>
    </r>
    <r>
      <rPr>
        <sz val="11"/>
        <color theme="1"/>
        <rFont val="宋体"/>
        <family val="3"/>
        <charset val="134"/>
        <scheme val="minor"/>
      </rPr>
      <t>4130</t>
    </r>
    <r>
      <rPr>
        <sz val="11"/>
        <color theme="1"/>
        <rFont val="宋体"/>
        <family val="2"/>
        <scheme val="minor"/>
      </rPr>
      <t/>
    </r>
  </si>
  <si>
    <r>
      <t>B</t>
    </r>
    <r>
      <rPr>
        <sz val="11"/>
        <color theme="1"/>
        <rFont val="宋体"/>
        <family val="3"/>
        <charset val="134"/>
        <scheme val="minor"/>
      </rPr>
      <t>4131</t>
    </r>
    <r>
      <rPr>
        <sz val="11"/>
        <color theme="1"/>
        <rFont val="宋体"/>
        <family val="2"/>
        <scheme val="minor"/>
      </rPr>
      <t/>
    </r>
  </si>
  <si>
    <r>
      <t>B</t>
    </r>
    <r>
      <rPr>
        <sz val="11"/>
        <color theme="1"/>
        <rFont val="宋体"/>
        <family val="3"/>
        <charset val="134"/>
        <scheme val="minor"/>
      </rPr>
      <t>4132</t>
    </r>
    <r>
      <rPr>
        <sz val="11"/>
        <color theme="1"/>
        <rFont val="宋体"/>
        <family val="2"/>
        <scheme val="minor"/>
      </rPr>
      <t/>
    </r>
  </si>
  <si>
    <r>
      <t>B</t>
    </r>
    <r>
      <rPr>
        <sz val="11"/>
        <color theme="1"/>
        <rFont val="宋体"/>
        <family val="3"/>
        <charset val="134"/>
        <scheme val="minor"/>
      </rPr>
      <t>4133</t>
    </r>
    <r>
      <rPr>
        <sz val="11"/>
        <color theme="1"/>
        <rFont val="宋体"/>
        <family val="2"/>
        <scheme val="minor"/>
      </rPr>
      <t/>
    </r>
  </si>
  <si>
    <r>
      <t>B</t>
    </r>
    <r>
      <rPr>
        <sz val="11"/>
        <color theme="1"/>
        <rFont val="宋体"/>
        <family val="3"/>
        <charset val="134"/>
        <scheme val="minor"/>
      </rPr>
      <t>4134</t>
    </r>
    <r>
      <rPr>
        <sz val="11"/>
        <color theme="1"/>
        <rFont val="宋体"/>
        <family val="2"/>
        <scheme val="minor"/>
      </rPr>
      <t/>
    </r>
  </si>
  <si>
    <r>
      <t>B</t>
    </r>
    <r>
      <rPr>
        <sz val="11"/>
        <color theme="1"/>
        <rFont val="宋体"/>
        <family val="3"/>
        <charset val="134"/>
        <scheme val="minor"/>
      </rPr>
      <t>4135</t>
    </r>
    <r>
      <rPr>
        <sz val="11"/>
        <color theme="1"/>
        <rFont val="宋体"/>
        <family val="2"/>
        <scheme val="minor"/>
      </rPr>
      <t/>
    </r>
  </si>
  <si>
    <r>
      <t>B</t>
    </r>
    <r>
      <rPr>
        <sz val="11"/>
        <color theme="1"/>
        <rFont val="宋体"/>
        <family val="3"/>
        <charset val="134"/>
        <scheme val="minor"/>
      </rPr>
      <t>4136</t>
    </r>
    <r>
      <rPr>
        <sz val="11"/>
        <color theme="1"/>
        <rFont val="宋体"/>
        <family val="2"/>
        <scheme val="minor"/>
      </rPr>
      <t/>
    </r>
  </si>
  <si>
    <r>
      <t>B</t>
    </r>
    <r>
      <rPr>
        <sz val="11"/>
        <color theme="1"/>
        <rFont val="宋体"/>
        <family val="3"/>
        <charset val="134"/>
        <scheme val="minor"/>
      </rPr>
      <t>4137</t>
    </r>
    <r>
      <rPr>
        <sz val="11"/>
        <color theme="1"/>
        <rFont val="宋体"/>
        <family val="2"/>
        <scheme val="minor"/>
      </rPr>
      <t/>
    </r>
  </si>
  <si>
    <r>
      <t>B</t>
    </r>
    <r>
      <rPr>
        <sz val="11"/>
        <color theme="1"/>
        <rFont val="宋体"/>
        <family val="3"/>
        <charset val="134"/>
        <scheme val="minor"/>
      </rPr>
      <t>4138</t>
    </r>
    <r>
      <rPr>
        <sz val="11"/>
        <color theme="1"/>
        <rFont val="宋体"/>
        <family val="2"/>
        <scheme val="minor"/>
      </rPr>
      <t/>
    </r>
  </si>
  <si>
    <r>
      <t>B</t>
    </r>
    <r>
      <rPr>
        <sz val="11"/>
        <color theme="1"/>
        <rFont val="宋体"/>
        <family val="3"/>
        <charset val="134"/>
        <scheme val="minor"/>
      </rPr>
      <t>4139</t>
    </r>
    <r>
      <rPr>
        <sz val="11"/>
        <color theme="1"/>
        <rFont val="宋体"/>
        <family val="2"/>
        <scheme val="minor"/>
      </rPr>
      <t/>
    </r>
  </si>
  <si>
    <r>
      <t>B</t>
    </r>
    <r>
      <rPr>
        <sz val="11"/>
        <color theme="1"/>
        <rFont val="宋体"/>
        <family val="3"/>
        <charset val="134"/>
        <scheme val="minor"/>
      </rPr>
      <t>4140</t>
    </r>
    <r>
      <rPr>
        <sz val="11"/>
        <color theme="1"/>
        <rFont val="宋体"/>
        <family val="2"/>
        <scheme val="minor"/>
      </rPr>
      <t/>
    </r>
  </si>
  <si>
    <r>
      <t>B</t>
    </r>
    <r>
      <rPr>
        <sz val="11"/>
        <color theme="1"/>
        <rFont val="宋体"/>
        <family val="3"/>
        <charset val="134"/>
        <scheme val="minor"/>
      </rPr>
      <t>4141</t>
    </r>
    <r>
      <rPr>
        <sz val="11"/>
        <color theme="1"/>
        <rFont val="宋体"/>
        <family val="2"/>
        <scheme val="minor"/>
      </rPr>
      <t/>
    </r>
  </si>
  <si>
    <r>
      <t>B</t>
    </r>
    <r>
      <rPr>
        <sz val="11"/>
        <color theme="1"/>
        <rFont val="宋体"/>
        <family val="3"/>
        <charset val="134"/>
        <scheme val="minor"/>
      </rPr>
      <t>4142</t>
    </r>
    <r>
      <rPr>
        <sz val="11"/>
        <color theme="1"/>
        <rFont val="宋体"/>
        <family val="2"/>
        <scheme val="minor"/>
      </rPr>
      <t/>
    </r>
  </si>
  <si>
    <r>
      <t>B</t>
    </r>
    <r>
      <rPr>
        <sz val="11"/>
        <color theme="1"/>
        <rFont val="宋体"/>
        <family val="3"/>
        <charset val="134"/>
        <scheme val="minor"/>
      </rPr>
      <t>4143</t>
    </r>
    <r>
      <rPr>
        <sz val="11"/>
        <color theme="1"/>
        <rFont val="宋体"/>
        <family val="2"/>
        <scheme val="minor"/>
      </rPr>
      <t/>
    </r>
  </si>
  <si>
    <r>
      <t>B</t>
    </r>
    <r>
      <rPr>
        <sz val="11"/>
        <color theme="1"/>
        <rFont val="宋体"/>
        <family val="3"/>
        <charset val="134"/>
        <scheme val="minor"/>
      </rPr>
      <t>4144</t>
    </r>
    <r>
      <rPr>
        <sz val="11"/>
        <color theme="1"/>
        <rFont val="宋体"/>
        <family val="2"/>
        <scheme val="minor"/>
      </rPr>
      <t/>
    </r>
  </si>
  <si>
    <r>
      <t>B</t>
    </r>
    <r>
      <rPr>
        <sz val="11"/>
        <color theme="1"/>
        <rFont val="宋体"/>
        <family val="3"/>
        <charset val="134"/>
        <scheme val="minor"/>
      </rPr>
      <t>4145</t>
    </r>
    <r>
      <rPr>
        <sz val="11"/>
        <color theme="1"/>
        <rFont val="宋体"/>
        <family val="2"/>
        <scheme val="minor"/>
      </rPr>
      <t/>
    </r>
  </si>
  <si>
    <r>
      <t>B</t>
    </r>
    <r>
      <rPr>
        <sz val="11"/>
        <color theme="1"/>
        <rFont val="宋体"/>
        <family val="3"/>
        <charset val="134"/>
        <scheme val="minor"/>
      </rPr>
      <t>4146</t>
    </r>
    <r>
      <rPr>
        <sz val="11"/>
        <color theme="1"/>
        <rFont val="宋体"/>
        <family val="2"/>
        <scheme val="minor"/>
      </rPr>
      <t/>
    </r>
  </si>
  <si>
    <r>
      <t>B</t>
    </r>
    <r>
      <rPr>
        <sz val="11"/>
        <color theme="1"/>
        <rFont val="宋体"/>
        <family val="3"/>
        <charset val="134"/>
        <scheme val="minor"/>
      </rPr>
      <t>4147</t>
    </r>
    <r>
      <rPr>
        <sz val="11"/>
        <color theme="1"/>
        <rFont val="宋体"/>
        <family val="2"/>
        <scheme val="minor"/>
      </rPr>
      <t/>
    </r>
  </si>
  <si>
    <r>
      <t>B</t>
    </r>
    <r>
      <rPr>
        <sz val="11"/>
        <color theme="1"/>
        <rFont val="宋体"/>
        <family val="3"/>
        <charset val="134"/>
        <scheme val="minor"/>
      </rPr>
      <t>4148</t>
    </r>
    <r>
      <rPr>
        <sz val="11"/>
        <color theme="1"/>
        <rFont val="宋体"/>
        <family val="2"/>
        <scheme val="minor"/>
      </rPr>
      <t/>
    </r>
  </si>
  <si>
    <r>
      <t>B</t>
    </r>
    <r>
      <rPr>
        <sz val="11"/>
        <color theme="1"/>
        <rFont val="宋体"/>
        <family val="3"/>
        <charset val="134"/>
        <scheme val="minor"/>
      </rPr>
      <t>4149</t>
    </r>
    <r>
      <rPr>
        <sz val="11"/>
        <color theme="1"/>
        <rFont val="宋体"/>
        <family val="2"/>
        <scheme val="minor"/>
      </rPr>
      <t/>
    </r>
  </si>
  <si>
    <r>
      <t>B</t>
    </r>
    <r>
      <rPr>
        <sz val="11"/>
        <color theme="1"/>
        <rFont val="宋体"/>
        <family val="3"/>
        <charset val="134"/>
        <scheme val="minor"/>
      </rPr>
      <t>4150</t>
    </r>
    <r>
      <rPr>
        <sz val="11"/>
        <color theme="1"/>
        <rFont val="宋体"/>
        <family val="2"/>
        <scheme val="minor"/>
      </rPr>
      <t/>
    </r>
  </si>
  <si>
    <r>
      <t>B</t>
    </r>
    <r>
      <rPr>
        <sz val="11"/>
        <color theme="1"/>
        <rFont val="宋体"/>
        <family val="3"/>
        <charset val="134"/>
        <scheme val="minor"/>
      </rPr>
      <t>4151</t>
    </r>
    <r>
      <rPr>
        <sz val="11"/>
        <color theme="1"/>
        <rFont val="宋体"/>
        <family val="2"/>
        <scheme val="minor"/>
      </rPr>
      <t/>
    </r>
  </si>
  <si>
    <r>
      <t>B</t>
    </r>
    <r>
      <rPr>
        <sz val="11"/>
        <color theme="1"/>
        <rFont val="宋体"/>
        <family val="3"/>
        <charset val="134"/>
        <scheme val="minor"/>
      </rPr>
      <t>4152</t>
    </r>
    <r>
      <rPr>
        <sz val="11"/>
        <color theme="1"/>
        <rFont val="宋体"/>
        <family val="2"/>
        <scheme val="minor"/>
      </rPr>
      <t/>
    </r>
  </si>
  <si>
    <r>
      <t>B</t>
    </r>
    <r>
      <rPr>
        <sz val="11"/>
        <color theme="1"/>
        <rFont val="宋体"/>
        <family val="3"/>
        <charset val="134"/>
        <scheme val="minor"/>
      </rPr>
      <t>4153</t>
    </r>
    <r>
      <rPr>
        <sz val="11"/>
        <color theme="1"/>
        <rFont val="宋体"/>
        <family val="2"/>
        <scheme val="minor"/>
      </rPr>
      <t/>
    </r>
  </si>
  <si>
    <r>
      <t>B</t>
    </r>
    <r>
      <rPr>
        <sz val="11"/>
        <color theme="1"/>
        <rFont val="宋体"/>
        <family val="3"/>
        <charset val="134"/>
        <scheme val="minor"/>
      </rPr>
      <t>4154</t>
    </r>
    <r>
      <rPr>
        <sz val="11"/>
        <color theme="1"/>
        <rFont val="宋体"/>
        <family val="2"/>
        <scheme val="minor"/>
      </rPr>
      <t/>
    </r>
  </si>
  <si>
    <r>
      <t>B</t>
    </r>
    <r>
      <rPr>
        <sz val="11"/>
        <color theme="1"/>
        <rFont val="宋体"/>
        <family val="3"/>
        <charset val="134"/>
        <scheme val="minor"/>
      </rPr>
      <t>4155</t>
    </r>
    <r>
      <rPr>
        <sz val="11"/>
        <color theme="1"/>
        <rFont val="宋体"/>
        <family val="2"/>
        <scheme val="minor"/>
      </rPr>
      <t/>
    </r>
  </si>
  <si>
    <r>
      <t>B</t>
    </r>
    <r>
      <rPr>
        <sz val="11"/>
        <color theme="1"/>
        <rFont val="宋体"/>
        <family val="3"/>
        <charset val="134"/>
        <scheme val="minor"/>
      </rPr>
      <t>4156</t>
    </r>
    <r>
      <rPr>
        <sz val="11"/>
        <color theme="1"/>
        <rFont val="宋体"/>
        <family val="2"/>
        <scheme val="minor"/>
      </rPr>
      <t/>
    </r>
  </si>
  <si>
    <r>
      <t>B</t>
    </r>
    <r>
      <rPr>
        <sz val="11"/>
        <color theme="1"/>
        <rFont val="宋体"/>
        <family val="3"/>
        <charset val="134"/>
        <scheme val="minor"/>
      </rPr>
      <t>4157</t>
    </r>
    <r>
      <rPr>
        <sz val="11"/>
        <color theme="1"/>
        <rFont val="宋体"/>
        <family val="2"/>
        <scheme val="minor"/>
      </rPr>
      <t/>
    </r>
  </si>
  <si>
    <r>
      <t>B</t>
    </r>
    <r>
      <rPr>
        <sz val="11"/>
        <color theme="1"/>
        <rFont val="宋体"/>
        <family val="3"/>
        <charset val="134"/>
        <scheme val="minor"/>
      </rPr>
      <t>4158</t>
    </r>
    <r>
      <rPr>
        <sz val="11"/>
        <color theme="1"/>
        <rFont val="宋体"/>
        <family val="2"/>
        <scheme val="minor"/>
      </rPr>
      <t/>
    </r>
  </si>
  <si>
    <r>
      <t>B</t>
    </r>
    <r>
      <rPr>
        <sz val="11"/>
        <color theme="1"/>
        <rFont val="宋体"/>
        <family val="3"/>
        <charset val="134"/>
        <scheme val="minor"/>
      </rPr>
      <t>4159</t>
    </r>
    <r>
      <rPr>
        <sz val="11"/>
        <color theme="1"/>
        <rFont val="宋体"/>
        <family val="2"/>
        <scheme val="minor"/>
      </rPr>
      <t/>
    </r>
  </si>
  <si>
    <r>
      <t>B</t>
    </r>
    <r>
      <rPr>
        <sz val="11"/>
        <color theme="1"/>
        <rFont val="宋体"/>
        <family val="3"/>
        <charset val="134"/>
        <scheme val="minor"/>
      </rPr>
      <t>4160</t>
    </r>
    <r>
      <rPr>
        <sz val="11"/>
        <color theme="1"/>
        <rFont val="宋体"/>
        <family val="2"/>
        <scheme val="minor"/>
      </rPr>
      <t/>
    </r>
  </si>
  <si>
    <r>
      <t>B</t>
    </r>
    <r>
      <rPr>
        <sz val="11"/>
        <color theme="1"/>
        <rFont val="宋体"/>
        <family val="3"/>
        <charset val="134"/>
        <scheme val="minor"/>
      </rPr>
      <t>4161</t>
    </r>
    <r>
      <rPr>
        <sz val="11"/>
        <color theme="1"/>
        <rFont val="宋体"/>
        <family val="2"/>
        <scheme val="minor"/>
      </rPr>
      <t/>
    </r>
  </si>
  <si>
    <r>
      <t>B</t>
    </r>
    <r>
      <rPr>
        <sz val="11"/>
        <color theme="1"/>
        <rFont val="宋体"/>
        <family val="3"/>
        <charset val="134"/>
        <scheme val="minor"/>
      </rPr>
      <t>4162</t>
    </r>
    <r>
      <rPr>
        <sz val="11"/>
        <color theme="1"/>
        <rFont val="宋体"/>
        <family val="2"/>
        <scheme val="minor"/>
      </rPr>
      <t/>
    </r>
  </si>
  <si>
    <r>
      <t>B</t>
    </r>
    <r>
      <rPr>
        <sz val="11"/>
        <color theme="1"/>
        <rFont val="宋体"/>
        <family val="3"/>
        <charset val="134"/>
        <scheme val="minor"/>
      </rPr>
      <t>4163</t>
    </r>
    <r>
      <rPr>
        <sz val="11"/>
        <color theme="1"/>
        <rFont val="宋体"/>
        <family val="2"/>
        <scheme val="minor"/>
      </rPr>
      <t/>
    </r>
  </si>
  <si>
    <r>
      <t>B</t>
    </r>
    <r>
      <rPr>
        <sz val="11"/>
        <color theme="1"/>
        <rFont val="宋体"/>
        <family val="3"/>
        <charset val="134"/>
        <scheme val="minor"/>
      </rPr>
      <t>4164</t>
    </r>
    <r>
      <rPr>
        <sz val="11"/>
        <color theme="1"/>
        <rFont val="宋体"/>
        <family val="2"/>
        <scheme val="minor"/>
      </rPr>
      <t/>
    </r>
  </si>
  <si>
    <r>
      <t>B</t>
    </r>
    <r>
      <rPr>
        <sz val="11"/>
        <color theme="1"/>
        <rFont val="宋体"/>
        <family val="3"/>
        <charset val="134"/>
        <scheme val="minor"/>
      </rPr>
      <t>4165</t>
    </r>
    <r>
      <rPr>
        <sz val="11"/>
        <color theme="1"/>
        <rFont val="宋体"/>
        <family val="2"/>
        <scheme val="minor"/>
      </rPr>
      <t/>
    </r>
  </si>
  <si>
    <r>
      <t>B</t>
    </r>
    <r>
      <rPr>
        <sz val="11"/>
        <color theme="1"/>
        <rFont val="宋体"/>
        <family val="3"/>
        <charset val="134"/>
        <scheme val="minor"/>
      </rPr>
      <t>4166</t>
    </r>
    <r>
      <rPr>
        <sz val="11"/>
        <color theme="1"/>
        <rFont val="宋体"/>
        <family val="2"/>
        <scheme val="minor"/>
      </rPr>
      <t/>
    </r>
  </si>
  <si>
    <r>
      <t>B</t>
    </r>
    <r>
      <rPr>
        <sz val="11"/>
        <color theme="1"/>
        <rFont val="宋体"/>
        <family val="3"/>
        <charset val="134"/>
        <scheme val="minor"/>
      </rPr>
      <t>4167</t>
    </r>
    <r>
      <rPr>
        <sz val="11"/>
        <color theme="1"/>
        <rFont val="宋体"/>
        <family val="2"/>
        <scheme val="minor"/>
      </rPr>
      <t/>
    </r>
  </si>
  <si>
    <r>
      <t>B</t>
    </r>
    <r>
      <rPr>
        <sz val="11"/>
        <color theme="1"/>
        <rFont val="宋体"/>
        <family val="3"/>
        <charset val="134"/>
        <scheme val="minor"/>
      </rPr>
      <t>4168</t>
    </r>
    <r>
      <rPr>
        <sz val="11"/>
        <color theme="1"/>
        <rFont val="宋体"/>
        <family val="2"/>
        <scheme val="minor"/>
      </rPr>
      <t/>
    </r>
  </si>
  <si>
    <r>
      <t>B</t>
    </r>
    <r>
      <rPr>
        <sz val="11"/>
        <color theme="1"/>
        <rFont val="宋体"/>
        <family val="3"/>
        <charset val="134"/>
        <scheme val="minor"/>
      </rPr>
      <t>4169</t>
    </r>
    <r>
      <rPr>
        <sz val="11"/>
        <color theme="1"/>
        <rFont val="宋体"/>
        <family val="2"/>
        <scheme val="minor"/>
      </rPr>
      <t/>
    </r>
  </si>
  <si>
    <r>
      <t>B</t>
    </r>
    <r>
      <rPr>
        <sz val="11"/>
        <color theme="1"/>
        <rFont val="宋体"/>
        <family val="3"/>
        <charset val="134"/>
        <scheme val="minor"/>
      </rPr>
      <t>4170</t>
    </r>
    <r>
      <rPr>
        <sz val="11"/>
        <color theme="1"/>
        <rFont val="宋体"/>
        <family val="2"/>
        <scheme val="minor"/>
      </rPr>
      <t/>
    </r>
  </si>
  <si>
    <r>
      <t>B</t>
    </r>
    <r>
      <rPr>
        <sz val="11"/>
        <color theme="1"/>
        <rFont val="宋体"/>
        <family val="3"/>
        <charset val="134"/>
        <scheme val="minor"/>
      </rPr>
      <t>4171</t>
    </r>
    <r>
      <rPr>
        <sz val="11"/>
        <color theme="1"/>
        <rFont val="宋体"/>
        <family val="2"/>
        <scheme val="minor"/>
      </rPr>
      <t/>
    </r>
  </si>
  <si>
    <r>
      <t>B</t>
    </r>
    <r>
      <rPr>
        <sz val="11"/>
        <color theme="1"/>
        <rFont val="宋体"/>
        <family val="3"/>
        <charset val="134"/>
        <scheme val="minor"/>
      </rPr>
      <t>4172</t>
    </r>
    <r>
      <rPr>
        <sz val="11"/>
        <color theme="1"/>
        <rFont val="宋体"/>
        <family val="2"/>
        <scheme val="minor"/>
      </rPr>
      <t/>
    </r>
  </si>
  <si>
    <r>
      <t>B</t>
    </r>
    <r>
      <rPr>
        <sz val="11"/>
        <color theme="1"/>
        <rFont val="宋体"/>
        <family val="3"/>
        <charset val="134"/>
        <scheme val="minor"/>
      </rPr>
      <t>4173</t>
    </r>
    <r>
      <rPr>
        <sz val="11"/>
        <color theme="1"/>
        <rFont val="宋体"/>
        <family val="2"/>
        <scheme val="minor"/>
      </rPr>
      <t/>
    </r>
  </si>
  <si>
    <r>
      <t>B</t>
    </r>
    <r>
      <rPr>
        <sz val="11"/>
        <color theme="1"/>
        <rFont val="宋体"/>
        <family val="3"/>
        <charset val="134"/>
        <scheme val="minor"/>
      </rPr>
      <t>4174</t>
    </r>
    <r>
      <rPr>
        <sz val="11"/>
        <color theme="1"/>
        <rFont val="宋体"/>
        <family val="2"/>
        <scheme val="minor"/>
      </rPr>
      <t/>
    </r>
  </si>
  <si>
    <r>
      <t>B</t>
    </r>
    <r>
      <rPr>
        <sz val="11"/>
        <color theme="1"/>
        <rFont val="宋体"/>
        <family val="3"/>
        <charset val="134"/>
        <scheme val="minor"/>
      </rPr>
      <t>4175</t>
    </r>
    <r>
      <rPr>
        <sz val="11"/>
        <color theme="1"/>
        <rFont val="宋体"/>
        <family val="2"/>
        <scheme val="minor"/>
      </rPr>
      <t/>
    </r>
  </si>
  <si>
    <r>
      <t>B</t>
    </r>
    <r>
      <rPr>
        <sz val="11"/>
        <color theme="1"/>
        <rFont val="宋体"/>
        <family val="3"/>
        <charset val="134"/>
        <scheme val="minor"/>
      </rPr>
      <t>4176</t>
    </r>
    <r>
      <rPr>
        <sz val="11"/>
        <color theme="1"/>
        <rFont val="宋体"/>
        <family val="2"/>
        <scheme val="minor"/>
      </rPr>
      <t/>
    </r>
  </si>
  <si>
    <r>
      <t>B</t>
    </r>
    <r>
      <rPr>
        <sz val="11"/>
        <color theme="1"/>
        <rFont val="宋体"/>
        <family val="3"/>
        <charset val="134"/>
        <scheme val="minor"/>
      </rPr>
      <t>4177</t>
    </r>
    <r>
      <rPr>
        <sz val="11"/>
        <color theme="1"/>
        <rFont val="宋体"/>
        <family val="2"/>
        <scheme val="minor"/>
      </rPr>
      <t/>
    </r>
  </si>
  <si>
    <r>
      <t>B</t>
    </r>
    <r>
      <rPr>
        <sz val="11"/>
        <color theme="1"/>
        <rFont val="宋体"/>
        <family val="3"/>
        <charset val="134"/>
        <scheme val="minor"/>
      </rPr>
      <t>4178</t>
    </r>
    <r>
      <rPr>
        <sz val="11"/>
        <color theme="1"/>
        <rFont val="宋体"/>
        <family val="2"/>
        <scheme val="minor"/>
      </rPr>
      <t/>
    </r>
  </si>
  <si>
    <r>
      <t>B</t>
    </r>
    <r>
      <rPr>
        <sz val="11"/>
        <color theme="1"/>
        <rFont val="宋体"/>
        <family val="3"/>
        <charset val="134"/>
        <scheme val="minor"/>
      </rPr>
      <t>4179</t>
    </r>
    <r>
      <rPr>
        <sz val="11"/>
        <color theme="1"/>
        <rFont val="宋体"/>
        <family val="2"/>
        <scheme val="minor"/>
      </rPr>
      <t/>
    </r>
  </si>
  <si>
    <r>
      <t>B</t>
    </r>
    <r>
      <rPr>
        <sz val="11"/>
        <color theme="1"/>
        <rFont val="宋体"/>
        <family val="3"/>
        <charset val="134"/>
        <scheme val="minor"/>
      </rPr>
      <t>4180</t>
    </r>
    <r>
      <rPr>
        <sz val="11"/>
        <color theme="1"/>
        <rFont val="宋体"/>
        <family val="2"/>
        <scheme val="minor"/>
      </rPr>
      <t/>
    </r>
  </si>
  <si>
    <r>
      <t>B</t>
    </r>
    <r>
      <rPr>
        <sz val="11"/>
        <color theme="1"/>
        <rFont val="宋体"/>
        <family val="3"/>
        <charset val="134"/>
        <scheme val="minor"/>
      </rPr>
      <t>4181</t>
    </r>
    <r>
      <rPr>
        <sz val="11"/>
        <color theme="1"/>
        <rFont val="宋体"/>
        <family val="2"/>
        <scheme val="minor"/>
      </rPr>
      <t/>
    </r>
  </si>
  <si>
    <r>
      <t>B</t>
    </r>
    <r>
      <rPr>
        <sz val="11"/>
        <color theme="1"/>
        <rFont val="宋体"/>
        <family val="3"/>
        <charset val="134"/>
        <scheme val="minor"/>
      </rPr>
      <t>4182</t>
    </r>
    <r>
      <rPr>
        <sz val="11"/>
        <color theme="1"/>
        <rFont val="宋体"/>
        <family val="2"/>
        <scheme val="minor"/>
      </rPr>
      <t/>
    </r>
  </si>
  <si>
    <r>
      <t>B</t>
    </r>
    <r>
      <rPr>
        <sz val="11"/>
        <color theme="1"/>
        <rFont val="宋体"/>
        <family val="3"/>
        <charset val="134"/>
        <scheme val="minor"/>
      </rPr>
      <t>4183</t>
    </r>
    <r>
      <rPr>
        <sz val="11"/>
        <color theme="1"/>
        <rFont val="宋体"/>
        <family val="2"/>
        <scheme val="minor"/>
      </rPr>
      <t/>
    </r>
  </si>
  <si>
    <r>
      <t>B</t>
    </r>
    <r>
      <rPr>
        <sz val="11"/>
        <color theme="1"/>
        <rFont val="宋体"/>
        <family val="3"/>
        <charset val="134"/>
        <scheme val="minor"/>
      </rPr>
      <t>4184</t>
    </r>
    <r>
      <rPr>
        <sz val="11"/>
        <color theme="1"/>
        <rFont val="宋体"/>
        <family val="2"/>
        <scheme val="minor"/>
      </rPr>
      <t/>
    </r>
  </si>
  <si>
    <r>
      <t>B</t>
    </r>
    <r>
      <rPr>
        <sz val="11"/>
        <color theme="1"/>
        <rFont val="宋体"/>
        <family val="3"/>
        <charset val="134"/>
        <scheme val="minor"/>
      </rPr>
      <t>4185</t>
    </r>
    <r>
      <rPr>
        <sz val="11"/>
        <color theme="1"/>
        <rFont val="宋体"/>
        <family val="2"/>
        <scheme val="minor"/>
      </rPr>
      <t/>
    </r>
  </si>
  <si>
    <r>
      <t>B</t>
    </r>
    <r>
      <rPr>
        <sz val="11"/>
        <color theme="1"/>
        <rFont val="宋体"/>
        <family val="3"/>
        <charset val="134"/>
        <scheme val="minor"/>
      </rPr>
      <t>4186</t>
    </r>
    <r>
      <rPr>
        <sz val="11"/>
        <color theme="1"/>
        <rFont val="宋体"/>
        <family val="2"/>
        <scheme val="minor"/>
      </rPr>
      <t/>
    </r>
  </si>
  <si>
    <r>
      <t>B</t>
    </r>
    <r>
      <rPr>
        <sz val="11"/>
        <color theme="1"/>
        <rFont val="宋体"/>
        <family val="3"/>
        <charset val="134"/>
        <scheme val="minor"/>
      </rPr>
      <t>4187</t>
    </r>
    <r>
      <rPr>
        <sz val="11"/>
        <color theme="1"/>
        <rFont val="宋体"/>
        <family val="2"/>
        <scheme val="minor"/>
      </rPr>
      <t/>
    </r>
  </si>
  <si>
    <r>
      <t>B</t>
    </r>
    <r>
      <rPr>
        <sz val="11"/>
        <color theme="1"/>
        <rFont val="宋体"/>
        <family val="3"/>
        <charset val="134"/>
        <scheme val="minor"/>
      </rPr>
      <t>4188</t>
    </r>
    <r>
      <rPr>
        <sz val="11"/>
        <color theme="1"/>
        <rFont val="宋体"/>
        <family val="2"/>
        <scheme val="minor"/>
      </rPr>
      <t/>
    </r>
  </si>
  <si>
    <r>
      <t>B</t>
    </r>
    <r>
      <rPr>
        <sz val="11"/>
        <color theme="1"/>
        <rFont val="宋体"/>
        <family val="3"/>
        <charset val="134"/>
        <scheme val="minor"/>
      </rPr>
      <t>4189</t>
    </r>
    <r>
      <rPr>
        <sz val="11"/>
        <color theme="1"/>
        <rFont val="宋体"/>
        <family val="2"/>
        <scheme val="minor"/>
      </rPr>
      <t/>
    </r>
  </si>
  <si>
    <r>
      <t>B</t>
    </r>
    <r>
      <rPr>
        <sz val="11"/>
        <color theme="1"/>
        <rFont val="宋体"/>
        <family val="3"/>
        <charset val="134"/>
        <scheme val="minor"/>
      </rPr>
      <t>4190</t>
    </r>
    <r>
      <rPr>
        <sz val="11"/>
        <color theme="1"/>
        <rFont val="宋体"/>
        <family val="2"/>
        <scheme val="minor"/>
      </rPr>
      <t/>
    </r>
  </si>
  <si>
    <r>
      <t>B</t>
    </r>
    <r>
      <rPr>
        <sz val="11"/>
        <color theme="1"/>
        <rFont val="宋体"/>
        <family val="3"/>
        <charset val="134"/>
        <scheme val="minor"/>
      </rPr>
      <t>4191</t>
    </r>
    <r>
      <rPr>
        <sz val="11"/>
        <color theme="1"/>
        <rFont val="宋体"/>
        <family val="2"/>
        <scheme val="minor"/>
      </rPr>
      <t/>
    </r>
  </si>
  <si>
    <r>
      <t>B</t>
    </r>
    <r>
      <rPr>
        <sz val="11"/>
        <color theme="1"/>
        <rFont val="宋体"/>
        <family val="3"/>
        <charset val="134"/>
        <scheme val="minor"/>
      </rPr>
      <t>4192</t>
    </r>
    <r>
      <rPr>
        <sz val="11"/>
        <color theme="1"/>
        <rFont val="宋体"/>
        <family val="2"/>
        <scheme val="minor"/>
      </rPr>
      <t/>
    </r>
  </si>
  <si>
    <r>
      <t>B</t>
    </r>
    <r>
      <rPr>
        <sz val="11"/>
        <color theme="1"/>
        <rFont val="宋体"/>
        <family val="3"/>
        <charset val="134"/>
        <scheme val="minor"/>
      </rPr>
      <t>4193</t>
    </r>
    <r>
      <rPr>
        <sz val="11"/>
        <color theme="1"/>
        <rFont val="宋体"/>
        <family val="2"/>
        <scheme val="minor"/>
      </rPr>
      <t/>
    </r>
  </si>
  <si>
    <r>
      <t>B</t>
    </r>
    <r>
      <rPr>
        <sz val="11"/>
        <color theme="1"/>
        <rFont val="宋体"/>
        <family val="3"/>
        <charset val="134"/>
        <scheme val="minor"/>
      </rPr>
      <t>4194</t>
    </r>
    <r>
      <rPr>
        <sz val="11"/>
        <color theme="1"/>
        <rFont val="宋体"/>
        <family val="2"/>
        <scheme val="minor"/>
      </rPr>
      <t/>
    </r>
  </si>
  <si>
    <r>
      <t>B</t>
    </r>
    <r>
      <rPr>
        <sz val="11"/>
        <color theme="1"/>
        <rFont val="宋体"/>
        <family val="3"/>
        <charset val="134"/>
        <scheme val="minor"/>
      </rPr>
      <t>4195</t>
    </r>
    <r>
      <rPr>
        <sz val="11"/>
        <color theme="1"/>
        <rFont val="宋体"/>
        <family val="2"/>
        <scheme val="minor"/>
      </rPr>
      <t/>
    </r>
  </si>
  <si>
    <r>
      <t>B</t>
    </r>
    <r>
      <rPr>
        <sz val="11"/>
        <color theme="1"/>
        <rFont val="宋体"/>
        <family val="3"/>
        <charset val="134"/>
        <scheme val="minor"/>
      </rPr>
      <t>4196</t>
    </r>
    <r>
      <rPr>
        <sz val="11"/>
        <color theme="1"/>
        <rFont val="宋体"/>
        <family val="2"/>
        <scheme val="minor"/>
      </rPr>
      <t/>
    </r>
  </si>
  <si>
    <r>
      <t>B</t>
    </r>
    <r>
      <rPr>
        <sz val="11"/>
        <color theme="1"/>
        <rFont val="宋体"/>
        <family val="3"/>
        <charset val="134"/>
        <scheme val="minor"/>
      </rPr>
      <t>4197</t>
    </r>
    <r>
      <rPr>
        <sz val="11"/>
        <color theme="1"/>
        <rFont val="宋体"/>
        <family val="2"/>
        <scheme val="minor"/>
      </rPr>
      <t/>
    </r>
  </si>
  <si>
    <r>
      <t>B</t>
    </r>
    <r>
      <rPr>
        <sz val="11"/>
        <color theme="1"/>
        <rFont val="宋体"/>
        <family val="3"/>
        <charset val="134"/>
        <scheme val="minor"/>
      </rPr>
      <t>4198</t>
    </r>
    <r>
      <rPr>
        <sz val="11"/>
        <color theme="1"/>
        <rFont val="宋体"/>
        <family val="2"/>
        <scheme val="minor"/>
      </rPr>
      <t/>
    </r>
  </si>
  <si>
    <r>
      <t>B</t>
    </r>
    <r>
      <rPr>
        <sz val="11"/>
        <color theme="1"/>
        <rFont val="宋体"/>
        <family val="3"/>
        <charset val="134"/>
        <scheme val="minor"/>
      </rPr>
      <t>4199</t>
    </r>
    <r>
      <rPr>
        <sz val="11"/>
        <color theme="1"/>
        <rFont val="宋体"/>
        <family val="2"/>
        <scheme val="minor"/>
      </rPr>
      <t/>
    </r>
  </si>
  <si>
    <r>
      <t>B</t>
    </r>
    <r>
      <rPr>
        <sz val="11"/>
        <color theme="1"/>
        <rFont val="宋体"/>
        <family val="3"/>
        <charset val="134"/>
        <scheme val="minor"/>
      </rPr>
      <t>4200</t>
    </r>
    <r>
      <rPr>
        <sz val="11"/>
        <color theme="1"/>
        <rFont val="宋体"/>
        <family val="2"/>
        <scheme val="minor"/>
      </rPr>
      <t/>
    </r>
  </si>
  <si>
    <r>
      <t>B</t>
    </r>
    <r>
      <rPr>
        <sz val="11"/>
        <color theme="1"/>
        <rFont val="宋体"/>
        <family val="3"/>
        <charset val="134"/>
        <scheme val="minor"/>
      </rPr>
      <t>4201</t>
    </r>
    <r>
      <rPr>
        <sz val="11"/>
        <color theme="1"/>
        <rFont val="宋体"/>
        <family val="2"/>
        <scheme val="minor"/>
      </rPr>
      <t/>
    </r>
  </si>
  <si>
    <r>
      <t>B</t>
    </r>
    <r>
      <rPr>
        <sz val="11"/>
        <color theme="1"/>
        <rFont val="宋体"/>
        <family val="3"/>
        <charset val="134"/>
        <scheme val="minor"/>
      </rPr>
      <t>4202</t>
    </r>
    <r>
      <rPr>
        <sz val="11"/>
        <color theme="1"/>
        <rFont val="宋体"/>
        <family val="2"/>
        <scheme val="minor"/>
      </rPr>
      <t/>
    </r>
  </si>
  <si>
    <r>
      <t>B</t>
    </r>
    <r>
      <rPr>
        <sz val="11"/>
        <color theme="1"/>
        <rFont val="宋体"/>
        <family val="3"/>
        <charset val="134"/>
        <scheme val="minor"/>
      </rPr>
      <t>4203</t>
    </r>
    <r>
      <rPr>
        <sz val="11"/>
        <color theme="1"/>
        <rFont val="宋体"/>
        <family val="2"/>
        <scheme val="minor"/>
      </rPr>
      <t/>
    </r>
  </si>
  <si>
    <r>
      <t>B</t>
    </r>
    <r>
      <rPr>
        <sz val="11"/>
        <color theme="1"/>
        <rFont val="宋体"/>
        <family val="3"/>
        <charset val="134"/>
        <scheme val="minor"/>
      </rPr>
      <t>4204</t>
    </r>
    <r>
      <rPr>
        <sz val="11"/>
        <color theme="1"/>
        <rFont val="宋体"/>
        <family val="2"/>
        <scheme val="minor"/>
      </rPr>
      <t/>
    </r>
  </si>
  <si>
    <r>
      <t>B</t>
    </r>
    <r>
      <rPr>
        <sz val="11"/>
        <color theme="1"/>
        <rFont val="宋体"/>
        <family val="3"/>
        <charset val="134"/>
        <scheme val="minor"/>
      </rPr>
      <t>4205</t>
    </r>
    <r>
      <rPr>
        <sz val="11"/>
        <color theme="1"/>
        <rFont val="宋体"/>
        <family val="2"/>
        <scheme val="minor"/>
      </rPr>
      <t/>
    </r>
  </si>
  <si>
    <r>
      <t>B</t>
    </r>
    <r>
      <rPr>
        <sz val="11"/>
        <color theme="1"/>
        <rFont val="宋体"/>
        <family val="3"/>
        <charset val="134"/>
        <scheme val="minor"/>
      </rPr>
      <t>4206</t>
    </r>
    <r>
      <rPr>
        <sz val="11"/>
        <color theme="1"/>
        <rFont val="宋体"/>
        <family val="2"/>
        <scheme val="minor"/>
      </rPr>
      <t/>
    </r>
  </si>
  <si>
    <r>
      <t>B</t>
    </r>
    <r>
      <rPr>
        <sz val="11"/>
        <color theme="1"/>
        <rFont val="宋体"/>
        <family val="3"/>
        <charset val="134"/>
        <scheme val="minor"/>
      </rPr>
      <t>4207</t>
    </r>
    <r>
      <rPr>
        <sz val="11"/>
        <color theme="1"/>
        <rFont val="宋体"/>
        <family val="2"/>
        <scheme val="minor"/>
      </rPr>
      <t/>
    </r>
  </si>
  <si>
    <r>
      <t>B</t>
    </r>
    <r>
      <rPr>
        <sz val="11"/>
        <color theme="1"/>
        <rFont val="宋体"/>
        <family val="3"/>
        <charset val="134"/>
        <scheme val="minor"/>
      </rPr>
      <t>4208</t>
    </r>
    <r>
      <rPr>
        <sz val="11"/>
        <color theme="1"/>
        <rFont val="宋体"/>
        <family val="2"/>
        <scheme val="minor"/>
      </rPr>
      <t/>
    </r>
  </si>
  <si>
    <r>
      <t>B</t>
    </r>
    <r>
      <rPr>
        <sz val="11"/>
        <color theme="1"/>
        <rFont val="宋体"/>
        <family val="3"/>
        <charset val="134"/>
        <scheme val="minor"/>
      </rPr>
      <t>4209</t>
    </r>
    <r>
      <rPr>
        <sz val="11"/>
        <color theme="1"/>
        <rFont val="宋体"/>
        <family val="2"/>
        <scheme val="minor"/>
      </rPr>
      <t/>
    </r>
  </si>
  <si>
    <r>
      <t>B</t>
    </r>
    <r>
      <rPr>
        <sz val="11"/>
        <color theme="1"/>
        <rFont val="宋体"/>
        <family val="3"/>
        <charset val="134"/>
        <scheme val="minor"/>
      </rPr>
      <t>4210</t>
    </r>
    <r>
      <rPr>
        <sz val="11"/>
        <color theme="1"/>
        <rFont val="宋体"/>
        <family val="2"/>
        <scheme val="minor"/>
      </rPr>
      <t/>
    </r>
  </si>
  <si>
    <r>
      <t>B</t>
    </r>
    <r>
      <rPr>
        <sz val="11"/>
        <color theme="1"/>
        <rFont val="宋体"/>
        <family val="3"/>
        <charset val="134"/>
        <scheme val="minor"/>
      </rPr>
      <t>4211</t>
    </r>
    <r>
      <rPr>
        <sz val="11"/>
        <color theme="1"/>
        <rFont val="宋体"/>
        <family val="2"/>
        <scheme val="minor"/>
      </rPr>
      <t/>
    </r>
  </si>
  <si>
    <r>
      <t>B</t>
    </r>
    <r>
      <rPr>
        <sz val="11"/>
        <color theme="1"/>
        <rFont val="宋体"/>
        <family val="3"/>
        <charset val="134"/>
        <scheme val="minor"/>
      </rPr>
      <t>4212</t>
    </r>
    <r>
      <rPr>
        <sz val="11"/>
        <color theme="1"/>
        <rFont val="宋体"/>
        <family val="2"/>
        <scheme val="minor"/>
      </rPr>
      <t/>
    </r>
  </si>
  <si>
    <r>
      <t>B</t>
    </r>
    <r>
      <rPr>
        <sz val="11"/>
        <color theme="1"/>
        <rFont val="宋体"/>
        <family val="3"/>
        <charset val="134"/>
        <scheme val="minor"/>
      </rPr>
      <t>4213</t>
    </r>
    <r>
      <rPr>
        <sz val="11"/>
        <color theme="1"/>
        <rFont val="宋体"/>
        <family val="2"/>
        <scheme val="minor"/>
      </rPr>
      <t/>
    </r>
  </si>
  <si>
    <r>
      <t>B</t>
    </r>
    <r>
      <rPr>
        <sz val="11"/>
        <color theme="1"/>
        <rFont val="宋体"/>
        <family val="3"/>
        <charset val="134"/>
        <scheme val="minor"/>
      </rPr>
      <t>4214</t>
    </r>
    <r>
      <rPr>
        <sz val="11"/>
        <color theme="1"/>
        <rFont val="宋体"/>
        <family val="2"/>
        <scheme val="minor"/>
      </rPr>
      <t/>
    </r>
  </si>
  <si>
    <r>
      <t>B</t>
    </r>
    <r>
      <rPr>
        <sz val="11"/>
        <color theme="1"/>
        <rFont val="宋体"/>
        <family val="3"/>
        <charset val="134"/>
        <scheme val="minor"/>
      </rPr>
      <t>4215</t>
    </r>
    <r>
      <rPr>
        <sz val="11"/>
        <color theme="1"/>
        <rFont val="宋体"/>
        <family val="2"/>
        <scheme val="minor"/>
      </rPr>
      <t/>
    </r>
  </si>
  <si>
    <r>
      <t>B</t>
    </r>
    <r>
      <rPr>
        <sz val="11"/>
        <color theme="1"/>
        <rFont val="宋体"/>
        <family val="3"/>
        <charset val="134"/>
        <scheme val="minor"/>
      </rPr>
      <t>4216</t>
    </r>
    <r>
      <rPr>
        <sz val="11"/>
        <color theme="1"/>
        <rFont val="宋体"/>
        <family val="2"/>
        <scheme val="minor"/>
      </rPr>
      <t/>
    </r>
  </si>
  <si>
    <r>
      <t>B</t>
    </r>
    <r>
      <rPr>
        <sz val="11"/>
        <color theme="1"/>
        <rFont val="宋体"/>
        <family val="3"/>
        <charset val="134"/>
        <scheme val="minor"/>
      </rPr>
      <t>4217</t>
    </r>
    <r>
      <rPr>
        <sz val="11"/>
        <color theme="1"/>
        <rFont val="宋体"/>
        <family val="2"/>
        <scheme val="minor"/>
      </rPr>
      <t/>
    </r>
  </si>
  <si>
    <r>
      <t>B</t>
    </r>
    <r>
      <rPr>
        <sz val="11"/>
        <color theme="1"/>
        <rFont val="宋体"/>
        <family val="3"/>
        <charset val="134"/>
        <scheme val="minor"/>
      </rPr>
      <t>4218</t>
    </r>
    <r>
      <rPr>
        <sz val="11"/>
        <color theme="1"/>
        <rFont val="宋体"/>
        <family val="2"/>
        <scheme val="minor"/>
      </rPr>
      <t/>
    </r>
  </si>
  <si>
    <r>
      <t>B</t>
    </r>
    <r>
      <rPr>
        <sz val="11"/>
        <color theme="1"/>
        <rFont val="宋体"/>
        <family val="3"/>
        <charset val="134"/>
        <scheme val="minor"/>
      </rPr>
      <t>4219</t>
    </r>
    <r>
      <rPr>
        <sz val="11"/>
        <color theme="1"/>
        <rFont val="宋体"/>
        <family val="2"/>
        <scheme val="minor"/>
      </rPr>
      <t/>
    </r>
  </si>
  <si>
    <r>
      <t>B</t>
    </r>
    <r>
      <rPr>
        <sz val="11"/>
        <color theme="1"/>
        <rFont val="宋体"/>
        <family val="3"/>
        <charset val="134"/>
        <scheme val="minor"/>
      </rPr>
      <t>4220</t>
    </r>
    <r>
      <rPr>
        <sz val="11"/>
        <color theme="1"/>
        <rFont val="宋体"/>
        <family val="2"/>
        <scheme val="minor"/>
      </rPr>
      <t/>
    </r>
  </si>
  <si>
    <r>
      <t>B</t>
    </r>
    <r>
      <rPr>
        <sz val="11"/>
        <color theme="1"/>
        <rFont val="宋体"/>
        <family val="3"/>
        <charset val="134"/>
        <scheme val="minor"/>
      </rPr>
      <t>4221</t>
    </r>
    <r>
      <rPr>
        <sz val="11"/>
        <color theme="1"/>
        <rFont val="宋体"/>
        <family val="2"/>
        <scheme val="minor"/>
      </rPr>
      <t/>
    </r>
  </si>
  <si>
    <r>
      <t>B</t>
    </r>
    <r>
      <rPr>
        <sz val="11"/>
        <color theme="1"/>
        <rFont val="宋体"/>
        <family val="3"/>
        <charset val="134"/>
        <scheme val="minor"/>
      </rPr>
      <t>4222</t>
    </r>
    <r>
      <rPr>
        <sz val="11"/>
        <color theme="1"/>
        <rFont val="宋体"/>
        <family val="2"/>
        <scheme val="minor"/>
      </rPr>
      <t/>
    </r>
  </si>
  <si>
    <r>
      <t>B</t>
    </r>
    <r>
      <rPr>
        <sz val="11"/>
        <color theme="1"/>
        <rFont val="宋体"/>
        <family val="3"/>
        <charset val="134"/>
        <scheme val="minor"/>
      </rPr>
      <t>4223</t>
    </r>
    <r>
      <rPr>
        <sz val="11"/>
        <color theme="1"/>
        <rFont val="宋体"/>
        <family val="2"/>
        <scheme val="minor"/>
      </rPr>
      <t/>
    </r>
  </si>
  <si>
    <r>
      <t>B</t>
    </r>
    <r>
      <rPr>
        <sz val="11"/>
        <color theme="1"/>
        <rFont val="宋体"/>
        <family val="3"/>
        <charset val="134"/>
        <scheme val="minor"/>
      </rPr>
      <t>4224</t>
    </r>
    <r>
      <rPr>
        <sz val="11"/>
        <color theme="1"/>
        <rFont val="宋体"/>
        <family val="2"/>
        <scheme val="minor"/>
      </rPr>
      <t/>
    </r>
  </si>
  <si>
    <r>
      <t>B</t>
    </r>
    <r>
      <rPr>
        <sz val="11"/>
        <color theme="1"/>
        <rFont val="宋体"/>
        <family val="3"/>
        <charset val="134"/>
        <scheme val="minor"/>
      </rPr>
      <t>4225</t>
    </r>
    <r>
      <rPr>
        <sz val="11"/>
        <color theme="1"/>
        <rFont val="宋体"/>
        <family val="2"/>
        <scheme val="minor"/>
      </rPr>
      <t/>
    </r>
  </si>
  <si>
    <r>
      <t>B</t>
    </r>
    <r>
      <rPr>
        <sz val="11"/>
        <color theme="1"/>
        <rFont val="宋体"/>
        <family val="3"/>
        <charset val="134"/>
        <scheme val="minor"/>
      </rPr>
      <t>4226</t>
    </r>
    <r>
      <rPr>
        <sz val="11"/>
        <color theme="1"/>
        <rFont val="宋体"/>
        <family val="2"/>
        <scheme val="minor"/>
      </rPr>
      <t/>
    </r>
  </si>
  <si>
    <r>
      <t>B</t>
    </r>
    <r>
      <rPr>
        <sz val="11"/>
        <color theme="1"/>
        <rFont val="宋体"/>
        <family val="3"/>
        <charset val="134"/>
        <scheme val="minor"/>
      </rPr>
      <t>4227</t>
    </r>
    <r>
      <rPr>
        <sz val="11"/>
        <color theme="1"/>
        <rFont val="宋体"/>
        <family val="2"/>
        <scheme val="minor"/>
      </rPr>
      <t/>
    </r>
  </si>
  <si>
    <r>
      <t>B</t>
    </r>
    <r>
      <rPr>
        <sz val="11"/>
        <color theme="1"/>
        <rFont val="宋体"/>
        <family val="3"/>
        <charset val="134"/>
        <scheme val="minor"/>
      </rPr>
      <t>4228</t>
    </r>
    <r>
      <rPr>
        <sz val="11"/>
        <color theme="1"/>
        <rFont val="宋体"/>
        <family val="2"/>
        <scheme val="minor"/>
      </rPr>
      <t/>
    </r>
  </si>
  <si>
    <r>
      <t>B</t>
    </r>
    <r>
      <rPr>
        <sz val="11"/>
        <color theme="1"/>
        <rFont val="宋体"/>
        <family val="3"/>
        <charset val="134"/>
        <scheme val="minor"/>
      </rPr>
      <t>4229</t>
    </r>
    <r>
      <rPr>
        <sz val="11"/>
        <color theme="1"/>
        <rFont val="宋体"/>
        <family val="2"/>
        <scheme val="minor"/>
      </rPr>
      <t/>
    </r>
  </si>
  <si>
    <r>
      <t>B</t>
    </r>
    <r>
      <rPr>
        <sz val="11"/>
        <color theme="1"/>
        <rFont val="宋体"/>
        <family val="3"/>
        <charset val="134"/>
        <scheme val="minor"/>
      </rPr>
      <t>4230</t>
    </r>
    <r>
      <rPr>
        <sz val="11"/>
        <color theme="1"/>
        <rFont val="宋体"/>
        <family val="2"/>
        <scheme val="minor"/>
      </rPr>
      <t/>
    </r>
  </si>
  <si>
    <r>
      <t>B</t>
    </r>
    <r>
      <rPr>
        <sz val="11"/>
        <color theme="1"/>
        <rFont val="宋体"/>
        <family val="3"/>
        <charset val="134"/>
        <scheme val="minor"/>
      </rPr>
      <t>4231</t>
    </r>
    <r>
      <rPr>
        <sz val="11"/>
        <color theme="1"/>
        <rFont val="宋体"/>
        <family val="2"/>
        <scheme val="minor"/>
      </rPr>
      <t/>
    </r>
  </si>
  <si>
    <r>
      <t>B</t>
    </r>
    <r>
      <rPr>
        <sz val="11"/>
        <color theme="1"/>
        <rFont val="宋体"/>
        <family val="3"/>
        <charset val="134"/>
        <scheme val="minor"/>
      </rPr>
      <t>4232</t>
    </r>
    <r>
      <rPr>
        <sz val="11"/>
        <color theme="1"/>
        <rFont val="宋体"/>
        <family val="2"/>
        <scheme val="minor"/>
      </rPr>
      <t/>
    </r>
  </si>
  <si>
    <r>
      <t>B</t>
    </r>
    <r>
      <rPr>
        <sz val="11"/>
        <color theme="1"/>
        <rFont val="宋体"/>
        <family val="3"/>
        <charset val="134"/>
        <scheme val="minor"/>
      </rPr>
      <t>4233</t>
    </r>
    <r>
      <rPr>
        <sz val="11"/>
        <color theme="1"/>
        <rFont val="宋体"/>
        <family val="2"/>
        <scheme val="minor"/>
      </rPr>
      <t/>
    </r>
  </si>
  <si>
    <r>
      <t>B</t>
    </r>
    <r>
      <rPr>
        <sz val="11"/>
        <color theme="1"/>
        <rFont val="宋体"/>
        <family val="3"/>
        <charset val="134"/>
        <scheme val="minor"/>
      </rPr>
      <t>4234</t>
    </r>
    <r>
      <rPr>
        <sz val="11"/>
        <color theme="1"/>
        <rFont val="宋体"/>
        <family val="2"/>
        <scheme val="minor"/>
      </rPr>
      <t/>
    </r>
  </si>
  <si>
    <r>
      <t>B</t>
    </r>
    <r>
      <rPr>
        <sz val="11"/>
        <color theme="1"/>
        <rFont val="宋体"/>
        <family val="3"/>
        <charset val="134"/>
        <scheme val="minor"/>
      </rPr>
      <t>4235</t>
    </r>
    <r>
      <rPr>
        <sz val="11"/>
        <color theme="1"/>
        <rFont val="宋体"/>
        <family val="2"/>
        <scheme val="minor"/>
      </rPr>
      <t/>
    </r>
  </si>
  <si>
    <r>
      <t>B</t>
    </r>
    <r>
      <rPr>
        <sz val="11"/>
        <color theme="1"/>
        <rFont val="宋体"/>
        <family val="3"/>
        <charset val="134"/>
        <scheme val="minor"/>
      </rPr>
      <t>4236</t>
    </r>
    <r>
      <rPr>
        <sz val="11"/>
        <color theme="1"/>
        <rFont val="宋体"/>
        <family val="2"/>
        <scheme val="minor"/>
      </rPr>
      <t/>
    </r>
  </si>
  <si>
    <r>
      <t>B</t>
    </r>
    <r>
      <rPr>
        <sz val="11"/>
        <color theme="1"/>
        <rFont val="宋体"/>
        <family val="3"/>
        <charset val="134"/>
        <scheme val="minor"/>
      </rPr>
      <t>4237</t>
    </r>
    <r>
      <rPr>
        <sz val="11"/>
        <color theme="1"/>
        <rFont val="宋体"/>
        <family val="2"/>
        <scheme val="minor"/>
      </rPr>
      <t/>
    </r>
  </si>
  <si>
    <r>
      <t>B</t>
    </r>
    <r>
      <rPr>
        <sz val="11"/>
        <color theme="1"/>
        <rFont val="宋体"/>
        <family val="3"/>
        <charset val="134"/>
        <scheme val="minor"/>
      </rPr>
      <t>4238</t>
    </r>
    <r>
      <rPr>
        <sz val="11"/>
        <color theme="1"/>
        <rFont val="宋体"/>
        <family val="2"/>
        <scheme val="minor"/>
      </rPr>
      <t/>
    </r>
  </si>
  <si>
    <r>
      <t>B</t>
    </r>
    <r>
      <rPr>
        <sz val="11"/>
        <color theme="1"/>
        <rFont val="宋体"/>
        <family val="3"/>
        <charset val="134"/>
        <scheme val="minor"/>
      </rPr>
      <t>4239</t>
    </r>
    <r>
      <rPr>
        <sz val="11"/>
        <color theme="1"/>
        <rFont val="宋体"/>
        <family val="2"/>
        <scheme val="minor"/>
      </rPr>
      <t/>
    </r>
  </si>
  <si>
    <r>
      <t>B</t>
    </r>
    <r>
      <rPr>
        <sz val="11"/>
        <color theme="1"/>
        <rFont val="宋体"/>
        <family val="3"/>
        <charset val="134"/>
        <scheme val="minor"/>
      </rPr>
      <t>4240</t>
    </r>
    <r>
      <rPr>
        <sz val="11"/>
        <color theme="1"/>
        <rFont val="宋体"/>
        <family val="2"/>
        <scheme val="minor"/>
      </rPr>
      <t/>
    </r>
  </si>
  <si>
    <r>
      <t>B</t>
    </r>
    <r>
      <rPr>
        <sz val="11"/>
        <color theme="1"/>
        <rFont val="宋体"/>
        <family val="3"/>
        <charset val="134"/>
        <scheme val="minor"/>
      </rPr>
      <t>4241</t>
    </r>
    <r>
      <rPr>
        <sz val="11"/>
        <color theme="1"/>
        <rFont val="宋体"/>
        <family val="2"/>
        <scheme val="minor"/>
      </rPr>
      <t/>
    </r>
  </si>
  <si>
    <t>B3001</t>
    <phoneticPr fontId="136" type="noConversion"/>
  </si>
  <si>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</si>
  <si>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</si>
  <si>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</si>
  <si>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</si>
  <si>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</si>
  <si>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</si>
  <si>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</si>
  <si>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</si>
  <si>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</si>
  <si>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</si>
  <si>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</si>
  <si>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</si>
  <si>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</si>
  <si>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</si>
  <si>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</si>
  <si>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</si>
  <si>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</si>
  <si>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</si>
  <si>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</si>
  <si>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</si>
  <si>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</si>
  <si>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</si>
  <si>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</si>
  <si>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</si>
  <si>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</si>
  <si>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</si>
  <si>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</si>
  <si>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</si>
  <si>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</si>
  <si>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</si>
  <si>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</si>
  <si>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</si>
  <si>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</si>
  <si>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</si>
  <si>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</si>
  <si>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</si>
  <si>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</si>
  <si>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</si>
  <si>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</si>
  <si>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</si>
  <si>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</si>
  <si>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</si>
  <si>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</si>
  <si>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</si>
  <si>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</si>
  <si>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</si>
  <si>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</si>
  <si>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</si>
  <si>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</si>
  <si>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</si>
  <si>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</si>
  <si>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</si>
  <si>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</si>
  <si>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</si>
  <si>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</si>
  <si>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</si>
  <si>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</si>
  <si>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</si>
  <si>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</si>
  <si>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</si>
  <si>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</si>
  <si>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</si>
  <si>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</si>
  <si>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</si>
  <si>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</si>
  <si>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</si>
  <si>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</si>
  <si>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</si>
  <si>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</si>
  <si>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</si>
  <si>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</si>
  <si>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</si>
  <si>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</si>
  <si>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</si>
  <si>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</si>
  <si>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</si>
  <si>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</si>
  <si>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</si>
  <si>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</si>
  <si>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</si>
  <si>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</si>
  <si>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</si>
  <si>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</si>
  <si>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</si>
  <si>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</si>
  <si>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</si>
  <si>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</si>
  <si>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</si>
  <si>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</si>
  <si>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</si>
  <si>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</si>
  <si>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</si>
  <si>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</si>
  <si>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</si>
  <si>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</si>
  <si>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</si>
  <si>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</si>
  <si>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</si>
  <si>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</si>
  <si>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</si>
  <si>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</si>
  <si>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</si>
  <si>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</si>
  <si>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</si>
  <si>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</si>
  <si>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</si>
  <si>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</si>
  <si>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</si>
  <si>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</si>
  <si>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</si>
  <si>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</si>
  <si>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</si>
  <si>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</si>
  <si>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</si>
  <si>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</si>
  <si>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</si>
  <si>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</si>
  <si>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</si>
  <si>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</si>
  <si>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</si>
  <si>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</si>
  <si>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</si>
  <si>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</si>
  <si>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</si>
  <si>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</si>
  <si>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</si>
  <si>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</si>
  <si>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</si>
  <si>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</si>
  <si>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</si>
  <si>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</si>
  <si>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</si>
  <si>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</si>
  <si>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</si>
  <si>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</si>
  <si>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</si>
  <si>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</si>
  <si>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</si>
  <si>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</si>
  <si>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</si>
  <si>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</si>
  <si>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</si>
  <si>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</si>
  <si>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</si>
  <si>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</si>
  <si>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</si>
  <si>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</si>
  <si>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</si>
  <si>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</si>
  <si>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</si>
  <si>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</si>
  <si>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</si>
  <si>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</si>
  <si>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</si>
  <si>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</si>
  <si>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</si>
  <si>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</si>
  <si>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</si>
  <si>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</si>
  <si>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</si>
  <si>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</si>
  <si>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</si>
  <si>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</si>
  <si>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</si>
  <si>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</si>
  <si>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</si>
  <si>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</si>
  <si>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</si>
  <si>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</si>
  <si>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</si>
  <si>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</si>
  <si>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</si>
  <si>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</si>
  <si>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</si>
  <si>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</si>
  <si>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</si>
  <si>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</si>
  <si>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</si>
  <si>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</si>
  <si>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</si>
  <si>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</si>
  <si>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</si>
  <si>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</si>
  <si>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</si>
  <si>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</si>
  <si>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</si>
  <si>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</si>
  <si>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</si>
  <si>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</si>
  <si>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</si>
  <si>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</si>
  <si>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</si>
  <si>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</si>
  <si>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</si>
  <si>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</si>
  <si>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</si>
  <si>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</si>
  <si>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</si>
  <si>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</si>
  <si>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</si>
  <si>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</si>
  <si>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</si>
  <si>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</si>
  <si>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</si>
  <si>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</si>
  <si>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</si>
  <si>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</si>
  <si>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</si>
  <si>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</si>
  <si>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</si>
  <si>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</si>
  <si>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</si>
  <si>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</si>
  <si>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</si>
  <si>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</si>
  <si>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</si>
  <si>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</si>
  <si>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</si>
  <si>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</si>
  <si>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</si>
  <si>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</si>
  <si>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</si>
  <si>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</si>
  <si>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</si>
  <si>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</si>
  <si>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</si>
  <si>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</si>
  <si>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</si>
  <si>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</si>
  <si>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</si>
  <si>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</si>
  <si>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</si>
  <si>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</si>
  <si>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</si>
  <si>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</si>
  <si>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</si>
  <si>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</si>
  <si>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</si>
  <si>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</si>
  <si>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</si>
  <si>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</si>
  <si>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</si>
  <si>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</si>
  <si>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</si>
  <si>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</si>
  <si>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</si>
  <si>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</si>
  <si>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</si>
  <si>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</si>
  <si>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</si>
  <si>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</si>
  <si>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</si>
  <si>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</si>
  <si>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</si>
  <si>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</si>
  <si>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</si>
  <si>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</si>
  <si>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</si>
  <si>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</si>
  <si>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</si>
  <si>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</si>
  <si>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</si>
  <si>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</si>
  <si>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</si>
  <si>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</si>
  <si>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</si>
  <si>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</si>
  <si>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</si>
  <si>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</si>
  <si>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</si>
  <si>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</si>
  <si>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</si>
  <si>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</si>
  <si>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</si>
  <si>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</si>
  <si>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</si>
  <si>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</si>
  <si>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</si>
  <si>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</si>
  <si>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</si>
  <si>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</si>
  <si>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</si>
  <si>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</si>
  <si>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</si>
  <si>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</si>
  <si>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</si>
  <si>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</si>
  <si>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</si>
  <si>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</si>
  <si>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</si>
  <si>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</si>
  <si>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</si>
  <si>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</si>
  <si>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</si>
  <si>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</si>
  <si>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</si>
  <si>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</si>
  <si>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</si>
  <si>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</si>
  <si>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</si>
  <si>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</si>
  <si>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</si>
  <si>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</si>
  <si>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</si>
  <si>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</si>
  <si>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</si>
  <si>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</si>
  <si>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</si>
  <si>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</si>
  <si>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</si>
  <si>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</si>
  <si>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</si>
  <si>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</si>
  <si>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</si>
  <si>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</si>
  <si>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</si>
  <si>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</si>
  <si>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</si>
  <si>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</si>
  <si>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</si>
  <si>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</si>
  <si>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</si>
  <si>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</si>
  <si>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</si>
  <si>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</si>
  <si>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</si>
  <si>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</si>
  <si>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B2001</t>
    <phoneticPr fontId="136" type="noConversion"/>
  </si>
  <si>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</si>
  <si>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</si>
  <si>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</si>
  <si>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</si>
  <si>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</si>
  <si>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</si>
  <si>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</si>
  <si>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</si>
  <si>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</si>
  <si>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</si>
  <si>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</si>
  <si>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</si>
  <si>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</si>
  <si>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</si>
  <si>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</si>
  <si>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</si>
  <si>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</si>
  <si>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</si>
  <si>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</si>
  <si>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</si>
  <si>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</si>
  <si>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</si>
  <si>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</si>
  <si>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</si>
  <si>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</si>
  <si>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</si>
  <si>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</si>
  <si>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</si>
  <si>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</si>
  <si>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</si>
  <si>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</si>
  <si>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</si>
  <si>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</si>
  <si>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</si>
  <si>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</si>
  <si>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</si>
  <si>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</si>
  <si>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</si>
  <si>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</si>
  <si>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</si>
  <si>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</si>
  <si>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</si>
  <si>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</si>
  <si>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</si>
  <si>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</si>
  <si>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</si>
  <si>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</si>
  <si>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</si>
  <si>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</si>
  <si>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</si>
  <si>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</si>
  <si>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</si>
  <si>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</si>
  <si>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</si>
  <si>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</si>
  <si>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</si>
  <si>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</si>
  <si>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</si>
  <si>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</si>
  <si>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</si>
  <si>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</si>
  <si>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</si>
  <si>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</si>
  <si>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</si>
  <si>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</si>
  <si>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</si>
  <si>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</si>
  <si>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</si>
  <si>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</si>
  <si>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</si>
  <si>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</si>
  <si>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</si>
  <si>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</si>
  <si>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</si>
  <si>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</si>
  <si>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</si>
  <si>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</si>
  <si>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</si>
  <si>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</si>
  <si>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</si>
  <si>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</si>
  <si>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</si>
  <si>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</si>
  <si>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</si>
  <si>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</si>
  <si>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</si>
  <si>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</si>
  <si>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</si>
  <si>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</si>
  <si>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</si>
  <si>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</si>
  <si>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</si>
  <si>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</si>
  <si>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</si>
  <si>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</si>
  <si>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</si>
  <si>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</si>
  <si>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</si>
  <si>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</si>
  <si>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</si>
  <si>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</si>
  <si>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</si>
  <si>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</si>
  <si>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</si>
  <si>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</si>
  <si>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</si>
  <si>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</si>
  <si>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</si>
  <si>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</si>
  <si>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</si>
  <si>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</si>
  <si>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</si>
  <si>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</si>
  <si>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</si>
  <si>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</si>
  <si>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</si>
  <si>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</si>
  <si>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</si>
  <si>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</si>
  <si>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</si>
  <si>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</si>
  <si>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</si>
  <si>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</si>
  <si>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</si>
  <si>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</si>
  <si>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</si>
  <si>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</si>
  <si>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</si>
  <si>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</si>
  <si>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</si>
  <si>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</si>
  <si>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</si>
  <si>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</si>
  <si>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</si>
  <si>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</si>
  <si>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</si>
  <si>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</si>
  <si>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</si>
  <si>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</si>
  <si>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</si>
  <si>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</si>
  <si>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</si>
  <si>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</si>
  <si>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</si>
  <si>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</si>
  <si>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</si>
  <si>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</si>
  <si>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</si>
  <si>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</si>
  <si>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</si>
  <si>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</si>
  <si>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</si>
  <si>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</si>
  <si>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</si>
  <si>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</si>
  <si>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</si>
  <si>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</si>
  <si>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</si>
  <si>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</si>
  <si>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</si>
  <si>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</si>
  <si>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</si>
  <si>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</si>
  <si>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</si>
  <si>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</si>
  <si>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</si>
  <si>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</si>
  <si>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</si>
  <si>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</si>
  <si>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</si>
  <si>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</si>
  <si>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</si>
  <si>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</si>
  <si>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</si>
  <si>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</si>
  <si>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</si>
  <si>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</si>
  <si>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</si>
  <si>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</si>
  <si>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商业</t>
    <phoneticPr fontId="136" type="noConversion"/>
  </si>
  <si>
    <t>商业</t>
    <phoneticPr fontId="136" type="noConversion"/>
  </si>
  <si>
    <t>办公</t>
    <phoneticPr fontId="136" type="noConversion"/>
  </si>
  <si>
    <t>车库</t>
    <phoneticPr fontId="136" type="noConversion"/>
  </si>
  <si>
    <t>楼号</t>
    <phoneticPr fontId="136" type="noConversion"/>
  </si>
  <si>
    <r>
      <t>B</t>
    </r>
    <r>
      <rPr>
        <sz val="11"/>
        <color theme="1"/>
        <rFont val="宋体"/>
        <family val="3"/>
        <charset val="134"/>
        <scheme val="minor"/>
      </rPr>
      <t>2</t>
    </r>
    <r>
      <rPr>
        <sz val="11"/>
        <color theme="1"/>
        <rFont val="宋体"/>
        <family val="3"/>
        <charset val="134"/>
        <scheme val="minor"/>
      </rPr>
      <t>层车库</t>
    </r>
    <phoneticPr fontId="136" type="noConversion"/>
  </si>
  <si>
    <t>B3层车库</t>
    <phoneticPr fontId="136" type="noConversion"/>
  </si>
  <si>
    <t>B4层车库</t>
    <phoneticPr fontId="136" type="noConversion"/>
  </si>
  <si>
    <t>面积</t>
    <phoneticPr fontId="136" type="noConversion"/>
  </si>
  <si>
    <t>车库小计</t>
    <phoneticPr fontId="136" type="noConversion"/>
  </si>
  <si>
    <t>总计</t>
    <phoneticPr fontId="136" type="noConversion"/>
  </si>
  <si>
    <t>商业</t>
    <phoneticPr fontId="5" type="noConversion"/>
  </si>
  <si>
    <t>合计</t>
    <phoneticPr fontId="136" type="noConversion"/>
  </si>
  <si>
    <r>
      <t>典型办公5</t>
    </r>
    <r>
      <rPr>
        <sz val="11"/>
        <color theme="1"/>
        <rFont val="宋体"/>
        <family val="3"/>
        <charset val="134"/>
        <scheme val="minor"/>
      </rPr>
      <t>01</t>
    </r>
    <phoneticPr fontId="136" type="noConversion"/>
  </si>
  <si>
    <t>典型车位B2001</t>
    <phoneticPr fontId="136" type="noConversion"/>
  </si>
  <si>
    <r>
      <t>1</t>
    </r>
    <r>
      <rPr>
        <sz val="10"/>
        <color indexed="8"/>
        <rFont val="宋体"/>
        <family val="3"/>
        <charset val="134"/>
      </rPr>
      <t>号楼办公</t>
    </r>
    <r>
      <rPr>
        <sz val="10"/>
        <color indexed="8"/>
        <rFont val="Arial"/>
        <family val="2"/>
      </rPr>
      <t>501</t>
    </r>
    <phoneticPr fontId="5" type="noConversion"/>
  </si>
  <si>
    <r>
      <t>5</t>
    </r>
    <r>
      <rPr>
        <sz val="10"/>
        <color indexed="8"/>
        <rFont val="宋体"/>
        <family val="3"/>
        <charset val="134"/>
      </rPr>
      <t>号楼车位</t>
    </r>
    <r>
      <rPr>
        <sz val="10"/>
        <color indexed="8"/>
        <rFont val="Arial"/>
        <family val="2"/>
      </rPr>
      <t>B2001</t>
    </r>
    <phoneticPr fontId="5" type="noConversion"/>
  </si>
  <si>
    <t>其余办公</t>
    <phoneticPr fontId="5" type="noConversion"/>
  </si>
  <si>
    <t>其余车位</t>
    <phoneticPr fontId="5" type="noConversion"/>
  </si>
  <si>
    <t>是</t>
  </si>
  <si>
    <t>否</t>
  </si>
  <si>
    <t>小计</t>
    <phoneticPr fontId="136" type="noConversion"/>
  </si>
  <si>
    <t>地上</t>
  </si>
  <si>
    <t>地下</t>
  </si>
  <si>
    <t>不临65条商业街</t>
  </si>
  <si>
    <t>与级别开发程度一致</t>
  </si>
  <si>
    <t>中心城区以外</t>
  </si>
  <si>
    <t>自定义容积率</t>
  </si>
  <si>
    <t>一般</t>
  </si>
  <si>
    <t>较好</t>
  </si>
  <si>
    <t>未包含在土地购买价格中</t>
  </si>
  <si>
    <t>全部缴纳</t>
  </si>
  <si>
    <t>已包含在土地取得成本中</t>
  </si>
  <si>
    <t>成新度</t>
  </si>
  <si>
    <t>建面</t>
    <phoneticPr fontId="5" type="noConversion"/>
  </si>
  <si>
    <t>单方建安</t>
    <phoneticPr fontId="5" type="noConversion"/>
  </si>
  <si>
    <t>合计</t>
    <phoneticPr fontId="5" type="noConversion"/>
  </si>
  <si>
    <t>总造价</t>
    <phoneticPr fontId="5" type="noConversion"/>
  </si>
  <si>
    <t>建安</t>
    <phoneticPr fontId="5" type="noConversion"/>
  </si>
  <si>
    <t>地上</t>
    <phoneticPr fontId="5" type="noConversion"/>
  </si>
  <si>
    <t>装修</t>
    <phoneticPr fontId="5" type="noConversion"/>
  </si>
  <si>
    <t>机电设备</t>
    <phoneticPr fontId="5" type="noConversion"/>
  </si>
  <si>
    <t>楼层</t>
    <phoneticPr fontId="5" type="noConversion"/>
  </si>
  <si>
    <t>系数</t>
    <phoneticPr fontId="5" type="noConversion"/>
  </si>
  <si>
    <t>租金</t>
    <phoneticPr fontId="5" type="noConversion"/>
  </si>
  <si>
    <t>面积</t>
    <phoneticPr fontId="5" type="noConversion"/>
  </si>
  <si>
    <t>售价</t>
    <phoneticPr fontId="5" type="noConversion"/>
  </si>
  <si>
    <t>押一</t>
  </si>
  <si>
    <t>钢混</t>
  </si>
  <si>
    <t>非生产用房</t>
  </si>
  <si>
    <t>成本法</t>
  </si>
  <si>
    <t>商业收益法</t>
  </si>
  <si>
    <t>商业收益法</t>
    <phoneticPr fontId="18" type="noConversion"/>
  </si>
  <si>
    <t>办公收益法</t>
  </si>
  <si>
    <t>办公收益法</t>
    <phoneticPr fontId="18" type="noConversion"/>
  </si>
  <si>
    <t>车库收益法</t>
    <phoneticPr fontId="18" type="noConversion"/>
  </si>
  <si>
    <t>1号楼办公501</t>
  </si>
  <si>
    <t>项目模式</t>
  </si>
  <si>
    <t>售价</t>
  </si>
  <si>
    <t>比较法-办公</t>
  </si>
  <si>
    <t>挂牌</t>
    <phoneticPr fontId="5" type="noConversion"/>
  </si>
  <si>
    <t>高区</t>
    <phoneticPr fontId="5" type="noConversion"/>
  </si>
  <si>
    <t>中区</t>
    <phoneticPr fontId="5" type="noConversion"/>
  </si>
  <si>
    <t>低区</t>
    <phoneticPr fontId="5" type="noConversion"/>
  </si>
  <si>
    <t>高层办公楼</t>
    <phoneticPr fontId="5" type="noConversion"/>
  </si>
  <si>
    <t>钢混</t>
    <phoneticPr fontId="5" type="noConversion"/>
  </si>
  <si>
    <t>精装修</t>
    <phoneticPr fontId="5" type="noConversion"/>
  </si>
  <si>
    <t>五通</t>
    <phoneticPr fontId="5" type="noConversion"/>
  </si>
  <si>
    <t>标准</t>
    <phoneticPr fontId="5" type="noConversion"/>
  </si>
  <si>
    <t>普通装修</t>
    <phoneticPr fontId="5" type="noConversion"/>
  </si>
  <si>
    <t>简单装修</t>
    <phoneticPr fontId="5" type="noConversion"/>
  </si>
  <si>
    <t>毛坯</t>
    <phoneticPr fontId="5" type="noConversion"/>
  </si>
  <si>
    <t>正常</t>
  </si>
  <si>
    <t>办公</t>
    <phoneticPr fontId="33" type="noConversion"/>
  </si>
  <si>
    <t>七通</t>
  </si>
  <si>
    <t>低区</t>
  </si>
  <si>
    <t>高层办公楼</t>
  </si>
  <si>
    <t>精装修</t>
  </si>
  <si>
    <t>甲级</t>
  </si>
  <si>
    <t>专业</t>
  </si>
  <si>
    <t>五通</t>
  </si>
  <si>
    <t>标准</t>
  </si>
  <si>
    <t>毛坯</t>
  </si>
  <si>
    <t>时间</t>
  </si>
  <si>
    <t>成交套数(套)</t>
  </si>
  <si>
    <t>成交面积(㎡)</t>
  </si>
  <si>
    <t>成交价格(元/㎡)</t>
  </si>
  <si>
    <t>成交金额(万元)</t>
  </si>
  <si>
    <t>批准上市套数(套)</t>
  </si>
  <si>
    <t>批准上市面积(㎡)</t>
  </si>
  <si>
    <t>当页汇总</t>
  </si>
  <si>
    <t>商业、办公</t>
    <phoneticPr fontId="136" type="noConversion"/>
  </si>
  <si>
    <t>绿地中央广场</t>
    <phoneticPr fontId="5" type="noConversion"/>
  </si>
  <si>
    <t>华润未来城市</t>
    <phoneticPr fontId="5" type="noConversion"/>
  </si>
  <si>
    <t>超甲级</t>
  </si>
  <si>
    <t>超甲级</t>
    <phoneticPr fontId="5" type="noConversion"/>
  </si>
  <si>
    <t>甲级</t>
    <phoneticPr fontId="33" type="noConversion"/>
  </si>
  <si>
    <r>
      <t>40-50</t>
    </r>
    <r>
      <rPr>
        <sz val="11"/>
        <color indexed="8"/>
        <rFont val="宋体"/>
        <family val="3"/>
        <charset val="134"/>
      </rPr>
      <t>年</t>
    </r>
    <phoneticPr fontId="33" type="noConversion"/>
  </si>
  <si>
    <t>品牌</t>
  </si>
  <si>
    <t>品牌</t>
    <phoneticPr fontId="5" type="noConversion"/>
  </si>
  <si>
    <t>专业</t>
    <phoneticPr fontId="33" type="noConversion"/>
  </si>
  <si>
    <t>普通装修</t>
  </si>
  <si>
    <t>1号楼501</t>
  </si>
  <si>
    <t>1号楼502</t>
  </si>
  <si>
    <t>1号楼601</t>
  </si>
  <si>
    <t>1号楼602</t>
  </si>
  <si>
    <t>1号楼701</t>
  </si>
  <si>
    <t>1号楼702</t>
  </si>
  <si>
    <t>1号楼801</t>
  </si>
  <si>
    <t>1号楼802</t>
  </si>
  <si>
    <t>1号楼901</t>
  </si>
  <si>
    <t>1号楼902</t>
  </si>
  <si>
    <t>1号楼1001</t>
  </si>
  <si>
    <t>1号楼1002</t>
  </si>
  <si>
    <t>1号楼1201</t>
  </si>
  <si>
    <t>1号楼1202</t>
  </si>
  <si>
    <t>1号楼1301</t>
  </si>
  <si>
    <t>1号楼1302</t>
  </si>
  <si>
    <t>1号楼1401</t>
  </si>
  <si>
    <t>1号楼1402</t>
  </si>
  <si>
    <t>1号楼1501</t>
  </si>
  <si>
    <t>1号楼1502</t>
  </si>
  <si>
    <t>1号楼1601</t>
  </si>
  <si>
    <t>1号楼1602</t>
  </si>
  <si>
    <t>1号楼1701</t>
  </si>
  <si>
    <t>1号楼1702</t>
  </si>
  <si>
    <t>1号楼1801</t>
  </si>
  <si>
    <t>1号楼1802</t>
  </si>
  <si>
    <t>1号楼1901</t>
  </si>
  <si>
    <t>1号楼1902</t>
  </si>
  <si>
    <t>1号楼2001</t>
  </si>
  <si>
    <t>1号楼2002</t>
  </si>
  <si>
    <t>1号楼2101</t>
  </si>
  <si>
    <t>1号楼2102</t>
  </si>
  <si>
    <t>1号楼2201</t>
  </si>
  <si>
    <t>1号楼2202</t>
  </si>
  <si>
    <t>1号楼2401</t>
  </si>
  <si>
    <t>1号楼2402</t>
  </si>
  <si>
    <t>1号楼2501</t>
  </si>
  <si>
    <t>1号楼2502</t>
  </si>
  <si>
    <t>1号楼2601</t>
  </si>
  <si>
    <t>1号楼2602</t>
  </si>
  <si>
    <t>1号楼2701</t>
  </si>
  <si>
    <t>1号楼2702</t>
  </si>
  <si>
    <t>1号楼2801</t>
  </si>
  <si>
    <t>1号楼2802</t>
  </si>
  <si>
    <t>1号楼2901</t>
  </si>
  <si>
    <t>1号楼2902</t>
  </si>
  <si>
    <t>1号楼3001</t>
  </si>
  <si>
    <t>1号楼3002</t>
  </si>
  <si>
    <t>1号楼3101</t>
  </si>
  <si>
    <t>1号楼3102</t>
  </si>
  <si>
    <t>1号楼3201</t>
  </si>
  <si>
    <t>1号楼3202</t>
  </si>
  <si>
    <t>1号楼3301</t>
  </si>
  <si>
    <t>1号楼3302</t>
  </si>
  <si>
    <t>2号楼501</t>
  </si>
  <si>
    <t>2号楼502</t>
  </si>
  <si>
    <t>2号楼601</t>
  </si>
  <si>
    <t>2号楼602</t>
  </si>
  <si>
    <t>2号楼701</t>
  </si>
  <si>
    <t>2号楼702</t>
  </si>
  <si>
    <t>2号楼801</t>
  </si>
  <si>
    <t>2号楼802</t>
  </si>
  <si>
    <t>2号楼901</t>
  </si>
  <si>
    <t>2号楼902</t>
  </si>
  <si>
    <t>2号楼1001</t>
  </si>
  <si>
    <t>2号楼1002</t>
  </si>
  <si>
    <t>2号楼1101</t>
  </si>
  <si>
    <t>2号楼1102</t>
  </si>
  <si>
    <t>2号楼1201</t>
  </si>
  <si>
    <t>2号楼1202</t>
  </si>
  <si>
    <t>2号楼1301</t>
  </si>
  <si>
    <t>2号楼1302</t>
  </si>
  <si>
    <t>2号楼1401</t>
  </si>
  <si>
    <t>2号楼1402</t>
  </si>
  <si>
    <t>2号楼1501</t>
  </si>
  <si>
    <t>2号楼1502</t>
  </si>
  <si>
    <t>2号楼1601</t>
  </si>
  <si>
    <t>2号楼1602</t>
  </si>
  <si>
    <t>2号楼1701</t>
  </si>
  <si>
    <t>2号楼1702</t>
  </si>
  <si>
    <t>2号楼1801</t>
  </si>
  <si>
    <t>2号楼1802</t>
  </si>
  <si>
    <t>2号楼1901</t>
  </si>
  <si>
    <t>2号楼1902</t>
  </si>
  <si>
    <t>2号楼2001</t>
  </si>
  <si>
    <t>2号楼2002</t>
  </si>
  <si>
    <t>2号楼2101</t>
  </si>
  <si>
    <t>2号楼2102</t>
  </si>
  <si>
    <t>3号楼501</t>
  </si>
  <si>
    <t>3号楼502</t>
  </si>
  <si>
    <t>3号楼601</t>
  </si>
  <si>
    <t>3号楼602</t>
  </si>
  <si>
    <t>3号楼701</t>
  </si>
  <si>
    <t>3号楼702</t>
  </si>
  <si>
    <t>3号楼801</t>
  </si>
  <si>
    <t>3号楼802</t>
  </si>
  <si>
    <t>3号楼901</t>
  </si>
  <si>
    <t>3号楼902</t>
  </si>
  <si>
    <t>3号楼1001</t>
  </si>
  <si>
    <t>3号楼1002</t>
  </si>
  <si>
    <t>3号楼1101</t>
  </si>
  <si>
    <t>3号楼1102</t>
  </si>
  <si>
    <t>3号楼1201</t>
  </si>
  <si>
    <t>3号楼1202</t>
  </si>
  <si>
    <t>3号楼1301</t>
  </si>
  <si>
    <t>3号楼1302</t>
  </si>
  <si>
    <t>3号楼1401</t>
  </si>
  <si>
    <t>3号楼1402</t>
  </si>
  <si>
    <t>3号楼1501</t>
  </si>
  <si>
    <t>3号楼1502</t>
  </si>
  <si>
    <t>3号楼1601</t>
  </si>
  <si>
    <t>3号楼1602</t>
  </si>
  <si>
    <t>3号楼1701</t>
  </si>
  <si>
    <t>3号楼1702</t>
  </si>
  <si>
    <t>3号楼1801</t>
  </si>
  <si>
    <t>3号楼1802</t>
  </si>
  <si>
    <t>3号楼1901</t>
  </si>
  <si>
    <t>3号楼1902</t>
  </si>
  <si>
    <t>3号楼2001</t>
  </si>
  <si>
    <t>3号楼2002</t>
  </si>
  <si>
    <t>3号楼2101</t>
  </si>
  <si>
    <t>3号楼2102</t>
  </si>
  <si>
    <t>4号楼501</t>
  </si>
  <si>
    <t>4号楼502</t>
  </si>
  <si>
    <t>4号楼601</t>
  </si>
  <si>
    <t>4号楼602</t>
  </si>
  <si>
    <t>4号楼701</t>
  </si>
  <si>
    <t>4号楼702</t>
  </si>
  <si>
    <t>4号楼801</t>
  </si>
  <si>
    <t>4号楼802</t>
  </si>
  <si>
    <t>4号楼901</t>
  </si>
  <si>
    <t>4号楼902</t>
  </si>
  <si>
    <t>4号楼1001</t>
  </si>
  <si>
    <t>4号楼1002</t>
  </si>
  <si>
    <t>4号楼1201</t>
  </si>
  <si>
    <t>4号楼1202</t>
  </si>
  <si>
    <t>4号楼1301</t>
  </si>
  <si>
    <t>4号楼1302</t>
  </si>
  <si>
    <t>4号楼1401</t>
  </si>
  <si>
    <t>4号楼1402</t>
  </si>
  <si>
    <t>4号楼1501</t>
  </si>
  <si>
    <t>4号楼1502</t>
  </si>
  <si>
    <t>4号楼1601</t>
  </si>
  <si>
    <t>4号楼1602</t>
  </si>
  <si>
    <t>4号楼1701</t>
  </si>
  <si>
    <t>4号楼1702</t>
  </si>
  <si>
    <t>4号楼1801</t>
  </si>
  <si>
    <t>4号楼1802</t>
  </si>
  <si>
    <t>4号楼1901</t>
  </si>
  <si>
    <t>4号楼1902</t>
  </si>
  <si>
    <t>4号楼2001</t>
  </si>
  <si>
    <t>4号楼2002</t>
  </si>
  <si>
    <t>4号楼2101</t>
  </si>
  <si>
    <t>4号楼2102</t>
  </si>
  <si>
    <t>4号楼2201</t>
  </si>
  <si>
    <t>4号楼2202</t>
  </si>
  <si>
    <t>4号楼2401</t>
  </si>
  <si>
    <t>4号楼2402</t>
  </si>
  <si>
    <t>4号楼2501</t>
  </si>
  <si>
    <t>4号楼2502</t>
  </si>
  <si>
    <t>4号楼2601</t>
  </si>
  <si>
    <t>4号楼2602</t>
  </si>
  <si>
    <t>4号楼2701</t>
  </si>
  <si>
    <t>4号楼2702</t>
  </si>
  <si>
    <t>4号楼2801</t>
  </si>
  <si>
    <t>4号楼2802</t>
  </si>
  <si>
    <t>4号楼2901</t>
  </si>
  <si>
    <t>4号楼2902</t>
  </si>
  <si>
    <t>4号楼3001</t>
  </si>
  <si>
    <t>4号楼3002</t>
  </si>
  <si>
    <t>4号楼3101</t>
  </si>
  <si>
    <t>4号楼3102</t>
  </si>
  <si>
    <t>4号楼3201</t>
  </si>
  <si>
    <t>4号楼3202</t>
  </si>
  <si>
    <t>4号楼3301</t>
  </si>
  <si>
    <t>4号楼3302</t>
  </si>
  <si>
    <t>高区</t>
  </si>
  <si>
    <t>高区</t>
    <phoneticPr fontId="26" type="noConversion"/>
  </si>
  <si>
    <t>中区</t>
  </si>
  <si>
    <t>中区</t>
    <phoneticPr fontId="26" type="noConversion"/>
  </si>
  <si>
    <t>低区</t>
    <phoneticPr fontId="26" type="noConversion"/>
  </si>
  <si>
    <t>商务金融用地</t>
  </si>
  <si>
    <t>车位价格</t>
    <phoneticPr fontId="136" type="noConversion"/>
  </si>
  <si>
    <t>成本法 (元)</t>
  </si>
  <si>
    <t>5号楼车位B2001</t>
  </si>
  <si>
    <t>车库收益法 (元)</t>
  </si>
  <si>
    <t>车库收益法 (元)</t>
    <phoneticPr fontId="18" type="noConversion"/>
  </si>
  <si>
    <t>地下车库</t>
    <phoneticPr fontId="136" type="noConversion"/>
  </si>
  <si>
    <t>现房</t>
  </si>
  <si>
    <t>项目局部</t>
  </si>
  <si>
    <t>好</t>
  </si>
  <si>
    <t>办公-成本法</t>
    <phoneticPr fontId="18" type="noConversion"/>
  </si>
  <si>
    <t>合计</t>
  </si>
  <si>
    <t>2024.9.10-2029.9.9</t>
  </si>
  <si>
    <t>中冶江铜艾娜克矿业有限公司</t>
  </si>
  <si>
    <t>702-1</t>
  </si>
  <si>
    <t>科伊苏尔丹矿业有限公司</t>
  </si>
  <si>
    <t>702-2</t>
  </si>
  <si>
    <t>2024.8.16-2030.8.15</t>
  </si>
  <si>
    <t>北京茗悦朗奇餐饮文化有限公司</t>
  </si>
  <si>
    <t>T5-1</t>
  </si>
  <si>
    <t>2024.6.1-2027.5.31</t>
  </si>
  <si>
    <t>国软创新（北京）教育科技有限公司</t>
  </si>
  <si>
    <t>2024.10.1-2029.9.30</t>
  </si>
  <si>
    <t>北京火焰柒号文化科技有限公司</t>
  </si>
  <si>
    <t>2101、2102</t>
  </si>
  <si>
    <t>2024.8.1-2027.7.31</t>
  </si>
  <si>
    <t>北京珠穆朗玛绿色建筑科技有限公司</t>
  </si>
  <si>
    <t>2024.9.15-2029.9.14</t>
  </si>
  <si>
    <t>北京瀚语科技有限公司</t>
  </si>
  <si>
    <t>月租金</t>
  </si>
  <si>
    <t>单价</t>
  </si>
  <si>
    <t>租期</t>
  </si>
  <si>
    <t>面积</t>
  </si>
  <si>
    <t>租赁方</t>
  </si>
  <si>
    <t>房号</t>
  </si>
  <si>
    <t>楼层</t>
  </si>
  <si>
    <t>楼号</t>
  </si>
  <si>
    <t>序号</t>
  </si>
  <si>
    <t>日租金</t>
    <phoneticPr fontId="136" type="noConversion"/>
  </si>
  <si>
    <t>增长率</t>
    <phoneticPr fontId="136" type="noConversion"/>
  </si>
  <si>
    <t>租金</t>
  </si>
  <si>
    <t>蓝海中心底商</t>
    <phoneticPr fontId="5" type="noConversion"/>
  </si>
  <si>
    <t>未来中心</t>
    <phoneticPr fontId="5" type="noConversion"/>
  </si>
  <si>
    <r>
      <t>租金2</t>
    </r>
    <r>
      <rPr>
        <sz val="11"/>
        <color theme="1"/>
        <rFont val="宋体"/>
        <family val="3"/>
        <charset val="134"/>
        <scheme val="minor"/>
      </rPr>
      <t>.5万/月</t>
    </r>
    <phoneticPr fontId="136" type="noConversion"/>
  </si>
  <si>
    <t>租金2.5万/月</t>
    <phoneticPr fontId="136" type="noConversion"/>
  </si>
  <si>
    <t>可餐饮</t>
  </si>
  <si>
    <t>可餐饮</t>
    <phoneticPr fontId="136" type="noConversion"/>
  </si>
  <si>
    <t>挂牌</t>
  </si>
  <si>
    <t>街角地</t>
  </si>
  <si>
    <t>多面临街</t>
  </si>
  <si>
    <t>双面临街</t>
  </si>
  <si>
    <t>单面临街</t>
  </si>
  <si>
    <t>不临街</t>
  </si>
  <si>
    <t>较差</t>
  </si>
  <si>
    <t>差</t>
  </si>
  <si>
    <t>大</t>
  </si>
  <si>
    <t>较大</t>
  </si>
  <si>
    <t>较小</t>
  </si>
  <si>
    <t>小</t>
  </si>
  <si>
    <t>一层</t>
  </si>
  <si>
    <t>商业步行街</t>
  </si>
  <si>
    <t>独立商业楼</t>
  </si>
  <si>
    <t>住宅配套商业</t>
  </si>
  <si>
    <t>写字楼底商</t>
  </si>
  <si>
    <t>六通</t>
  </si>
  <si>
    <t>5米</t>
  </si>
  <si>
    <r>
      <rPr>
        <sz val="11"/>
        <color indexed="8"/>
        <rFont val="Arial"/>
        <family val="2"/>
      </rPr>
      <t>3</t>
    </r>
    <r>
      <rPr>
        <sz val="11"/>
        <color indexed="8"/>
        <rFont val="宋体"/>
        <family val="3"/>
        <charset val="134"/>
      </rPr>
      <t>米</t>
    </r>
  </si>
  <si>
    <t>不可餐饮</t>
  </si>
  <si>
    <t>较适宜</t>
  </si>
  <si>
    <t>简单装修</t>
  </si>
  <si>
    <t>商业</t>
    <phoneticPr fontId="32" type="noConversion"/>
  </si>
  <si>
    <t>较好</t>
    <phoneticPr fontId="32" type="noConversion"/>
  </si>
  <si>
    <t>3米</t>
  </si>
  <si>
    <t>商业</t>
    <phoneticPr fontId="5" type="noConversion"/>
  </si>
  <si>
    <t>京（2023）昌不动产权第0051717号</t>
    <phoneticPr fontId="136" type="noConversion"/>
  </si>
  <si>
    <t>京（2023）昌不动产权第0051721号</t>
    <phoneticPr fontId="136" type="noConversion"/>
  </si>
  <si>
    <t>京（2023）昌不动产权第0051725号</t>
    <phoneticPr fontId="136" type="noConversion"/>
  </si>
  <si>
    <t>京（2023）昌不动产权第0051730号</t>
    <phoneticPr fontId="136" type="noConversion"/>
  </si>
  <si>
    <t>1号楼</t>
  </si>
  <si>
    <t>1号楼</t>
    <phoneticPr fontId="136" type="noConversion"/>
  </si>
  <si>
    <t>2号楼</t>
  </si>
  <si>
    <t>2号楼</t>
    <phoneticPr fontId="136" type="noConversion"/>
  </si>
  <si>
    <t>3号楼</t>
  </si>
  <si>
    <t>3号楼</t>
    <phoneticPr fontId="136" type="noConversion"/>
  </si>
  <si>
    <t>4号楼</t>
    <phoneticPr fontId="136" type="noConversion"/>
  </si>
  <si>
    <t>5号楼</t>
  </si>
  <si>
    <t>5号楼</t>
    <phoneticPr fontId="136" type="noConversion"/>
  </si>
  <si>
    <t>京（2023）昌不动产权第0051718号</t>
    <phoneticPr fontId="136" type="noConversion"/>
  </si>
  <si>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</si>
  <si>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</si>
  <si>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</si>
  <si>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</si>
  <si>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</si>
  <si>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</si>
  <si>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</si>
  <si>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京(2023)昌不动产权第0051717号</t>
  </si>
  <si>
    <t>不动产权证书</t>
    <phoneticPr fontId="136" type="noConversion"/>
  </si>
  <si>
    <t>办公</t>
    <phoneticPr fontId="136" type="noConversion"/>
  </si>
  <si>
    <t>商务办公</t>
    <phoneticPr fontId="136" type="noConversion"/>
  </si>
  <si>
    <t>京(2023)昌不动产权第0051718号</t>
  </si>
  <si>
    <t>京(2023)昌不动产权第0051721号</t>
  </si>
  <si>
    <t>1001</t>
  </si>
  <si>
    <t>1002</t>
  </si>
  <si>
    <t>1101</t>
  </si>
  <si>
    <t>1102</t>
  </si>
  <si>
    <t>1201</t>
  </si>
  <si>
    <t>1202</t>
  </si>
  <si>
    <t>1301</t>
  </si>
  <si>
    <t>1302</t>
  </si>
  <si>
    <t>1401</t>
  </si>
  <si>
    <t>1402</t>
  </si>
  <si>
    <t>1501</t>
  </si>
  <si>
    <t>1502</t>
  </si>
  <si>
    <t>1601</t>
  </si>
  <si>
    <t>1602</t>
  </si>
  <si>
    <t>1701</t>
  </si>
  <si>
    <t>1702</t>
  </si>
  <si>
    <t>1801</t>
  </si>
  <si>
    <t>1802</t>
  </si>
  <si>
    <t>1901</t>
  </si>
  <si>
    <t>1902</t>
  </si>
  <si>
    <t>2001</t>
  </si>
  <si>
    <t>2002</t>
  </si>
  <si>
    <t>2101</t>
  </si>
  <si>
    <t>2102</t>
  </si>
  <si>
    <t>京(2023)昌不动产权第0051725号</t>
    <phoneticPr fontId="136" type="noConversion"/>
  </si>
  <si>
    <t>京(2023)昌不动产权第0051730号</t>
  </si>
  <si>
    <t>商业</t>
    <phoneticPr fontId="136" type="noConversion"/>
  </si>
  <si>
    <t>车位</t>
    <phoneticPr fontId="136" type="noConversion"/>
  </si>
  <si>
    <t>建筑面积</t>
    <phoneticPr fontId="136" type="noConversion"/>
  </si>
  <si>
    <t>用途</t>
    <phoneticPr fontId="136" type="noConversion"/>
  </si>
  <si>
    <t>所在层数</t>
    <phoneticPr fontId="136" type="noConversion"/>
  </si>
  <si>
    <t>套数</t>
    <phoneticPr fontId="136" type="noConversion"/>
  </si>
  <si>
    <t>楼号</t>
    <phoneticPr fontId="136" type="noConversion"/>
  </si>
  <si>
    <t>地下车库</t>
    <phoneticPr fontId="136" type="noConversion"/>
  </si>
  <si>
    <r>
      <t>5</t>
    </r>
    <r>
      <rPr>
        <sz val="11"/>
        <color theme="1"/>
        <rFont val="宋体"/>
        <family val="3"/>
        <charset val="134"/>
        <scheme val="minor"/>
      </rPr>
      <t>-10、12-22、24-33</t>
    </r>
    <phoneticPr fontId="136" type="noConversion"/>
  </si>
  <si>
    <r>
      <rPr>
        <sz val="11"/>
        <color theme="1"/>
        <rFont val="宋体"/>
        <family val="3"/>
        <charset val="134"/>
        <scheme val="minor"/>
      </rPr>
      <t>5-21</t>
    </r>
    <phoneticPr fontId="136" type="noConversion"/>
  </si>
  <si>
    <t>地下2层至地上4层</t>
    <phoneticPr fontId="136" type="noConversion"/>
  </si>
  <si>
    <r>
      <t>地下2层至地下</t>
    </r>
    <r>
      <rPr>
        <sz val="11"/>
        <color theme="1"/>
        <rFont val="宋体"/>
        <family val="3"/>
        <charset val="134"/>
        <scheme val="minor"/>
      </rPr>
      <t>4层</t>
    </r>
    <phoneticPr fontId="136" type="noConversion"/>
  </si>
  <si>
    <t>装修情况</t>
    <phoneticPr fontId="136" type="noConversion"/>
  </si>
  <si>
    <t>毛坯</t>
    <phoneticPr fontId="136" type="noConversion"/>
  </si>
  <si>
    <t>简单装修</t>
    <phoneticPr fontId="136" type="noConversion"/>
  </si>
  <si>
    <t>现状使用状况</t>
    <phoneticPr fontId="136" type="noConversion"/>
  </si>
  <si>
    <t>空置</t>
    <phoneticPr fontId="136" type="noConversion"/>
  </si>
  <si>
    <t>小计</t>
    <phoneticPr fontId="136" type="noConversion"/>
  </si>
  <si>
    <t>建成年代</t>
    <phoneticPr fontId="136" type="noConversion"/>
  </si>
  <si>
    <t>商务办公</t>
  </si>
  <si>
    <t>小计</t>
  </si>
  <si>
    <t/>
  </si>
  <si>
    <t>京(2023)昌不动产权第0051725号</t>
  </si>
  <si>
    <t>4号楼</t>
  </si>
  <si>
    <t>2201</t>
  </si>
  <si>
    <t>2202</t>
  </si>
  <si>
    <t>2401</t>
  </si>
  <si>
    <t>2402</t>
  </si>
  <si>
    <t>2501</t>
  </si>
  <si>
    <t>2502</t>
  </si>
  <si>
    <t>2601</t>
  </si>
  <si>
    <t>2602</t>
  </si>
  <si>
    <t>2701</t>
  </si>
  <si>
    <t>2702</t>
  </si>
  <si>
    <t>2801</t>
  </si>
  <si>
    <t>2802</t>
  </si>
  <si>
    <t>2901</t>
  </si>
  <si>
    <t>2902</t>
  </si>
  <si>
    <t>3001</t>
  </si>
  <si>
    <t>3002</t>
  </si>
  <si>
    <t>3101</t>
  </si>
  <si>
    <t>3102</t>
  </si>
  <si>
    <t>3201</t>
  </si>
  <si>
    <t>3202</t>
  </si>
  <si>
    <t>3301</t>
  </si>
  <si>
    <t>3302</t>
  </si>
  <si>
    <t>B2001</t>
  </si>
  <si>
    <t>车位</t>
  </si>
  <si>
    <t>B3001</t>
  </si>
  <si>
    <t>B4001</t>
  </si>
  <si>
    <t>B4002</t>
  </si>
  <si>
    <t>B4003</t>
  </si>
  <si>
    <t>B4004</t>
  </si>
  <si>
    <t>B4005</t>
  </si>
  <si>
    <t>B4006</t>
  </si>
  <si>
    <t>B4007</t>
  </si>
  <si>
    <t>B4008</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</si>
  <si>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</si>
  <si>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</si>
  <si>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</si>
  <si>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</si>
  <si>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</si>
  <si>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</si>
  <si>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</si>
  <si>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</si>
  <si>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</si>
  <si>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</si>
  <si>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</si>
  <si>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</si>
  <si>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</si>
  <si>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</si>
  <si>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</si>
  <si>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</si>
  <si>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</si>
  <si>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</si>
  <si>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</si>
  <si>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</si>
  <si>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</si>
  <si>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</si>
  <si>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</si>
  <si>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</si>
  <si>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</si>
  <si>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</si>
  <si>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</si>
  <si>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</si>
  <si>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</si>
  <si>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</si>
  <si>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</si>
  <si>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</si>
  <si>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</si>
  <si>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</si>
  <si>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</si>
  <si>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</si>
  <si>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</si>
  <si>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</si>
  <si>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</si>
  <si>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</si>
  <si>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</si>
  <si>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</si>
  <si>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</si>
  <si>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</si>
  <si>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</si>
  <si>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</si>
  <si>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</si>
  <si>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</si>
  <si>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</si>
  <si>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</si>
  <si>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</si>
  <si>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</si>
  <si>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</si>
  <si>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</si>
  <si>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</si>
  <si>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</si>
  <si>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</si>
  <si>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</si>
  <si>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</si>
  <si>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</si>
  <si>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</si>
  <si>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</si>
  <si>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</si>
  <si>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</si>
  <si>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</si>
  <si>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</si>
  <si>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</si>
  <si>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</si>
  <si>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</si>
  <si>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</si>
  <si>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</si>
  <si>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</si>
  <si>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</si>
  <si>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</si>
  <si>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</si>
  <si>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B4084</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</si>
  <si>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</si>
  <si>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</si>
  <si>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</si>
  <si>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</si>
  <si>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</si>
  <si>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</si>
  <si>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</si>
  <si>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</si>
  <si>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</si>
  <si>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</si>
  <si>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</si>
  <si>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</si>
  <si>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</si>
  <si>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</si>
  <si>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</si>
  <si>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</si>
  <si>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</si>
  <si>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</si>
  <si>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</si>
  <si>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</si>
  <si>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</si>
  <si>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</si>
  <si>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</si>
  <si>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</si>
  <si>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</si>
  <si>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</si>
  <si>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</si>
  <si>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</si>
  <si>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</si>
  <si>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</si>
  <si>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</si>
  <si>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</si>
  <si>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</si>
  <si>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</si>
  <si>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</si>
  <si>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</si>
  <si>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</si>
  <si>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</si>
  <si>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</si>
  <si>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</si>
  <si>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</si>
  <si>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</si>
  <si>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</si>
  <si>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</si>
  <si>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</si>
  <si>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</si>
  <si>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</si>
  <si>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</si>
  <si>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</si>
  <si>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</si>
  <si>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</si>
  <si>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</si>
  <si>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</si>
  <si>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</si>
  <si>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</si>
  <si>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</si>
  <si>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</si>
  <si>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</si>
  <si>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</si>
  <si>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</si>
  <si>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</si>
  <si>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</si>
  <si>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</si>
  <si>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</si>
  <si>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</si>
  <si>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</si>
  <si>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</si>
  <si>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</si>
  <si>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</si>
  <si>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</si>
  <si>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</si>
  <si>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</si>
  <si>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</si>
  <si>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</si>
  <si>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</si>
  <si>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</si>
  <si>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</si>
  <si>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</si>
  <si>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</si>
  <si>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</si>
  <si>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</si>
  <si>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</si>
  <si>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</si>
  <si>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</si>
  <si>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</si>
  <si>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B4170</t>
  </si>
  <si>
    <t>B4171</t>
  </si>
  <si>
    <t>B4172</t>
  </si>
  <si>
    <t>B4173</t>
  </si>
  <si>
    <t>B4174</t>
  </si>
  <si>
    <t>B4175</t>
  </si>
  <si>
    <t>B4176</t>
  </si>
  <si>
    <t>B4177</t>
  </si>
  <si>
    <t>B4178</t>
  </si>
  <si>
    <t>B4179</t>
  </si>
  <si>
    <t>B4180</t>
  </si>
  <si>
    <t>B4181</t>
  </si>
  <si>
    <t>B4182</t>
  </si>
  <si>
    <t>B4183</t>
  </si>
  <si>
    <t>B4184</t>
  </si>
  <si>
    <t>B4185</t>
  </si>
  <si>
    <t>B4186</t>
  </si>
  <si>
    <t>B4187</t>
  </si>
  <si>
    <t>B4188</t>
  </si>
  <si>
    <t>B4189</t>
  </si>
  <si>
    <t>B4190</t>
  </si>
  <si>
    <t>B4191</t>
  </si>
  <si>
    <t>B4192</t>
  </si>
  <si>
    <t>B4193</t>
  </si>
  <si>
    <t>B4194</t>
  </si>
  <si>
    <t>B4195</t>
  </si>
  <si>
    <t>B4196</t>
  </si>
  <si>
    <t>B4197</t>
  </si>
  <si>
    <t>B4198</t>
  </si>
  <si>
    <t>B4199</t>
  </si>
  <si>
    <t>B4200</t>
  </si>
  <si>
    <t>B4201</t>
  </si>
  <si>
    <t>B4202</t>
  </si>
  <si>
    <t>B4203</t>
  </si>
  <si>
    <t>B4204</t>
  </si>
  <si>
    <t>B4205</t>
  </si>
  <si>
    <t>B4206</t>
  </si>
  <si>
    <t>B4207</t>
  </si>
  <si>
    <t>B4208</t>
  </si>
  <si>
    <t>B4209</t>
  </si>
  <si>
    <t>B4210</t>
  </si>
  <si>
    <t>B4211</t>
  </si>
  <si>
    <t>B4212</t>
  </si>
  <si>
    <t>B4213</t>
  </si>
  <si>
    <t>B4214</t>
  </si>
  <si>
    <t>B4215</t>
  </si>
  <si>
    <t>B4216</t>
  </si>
  <si>
    <t>B4217</t>
  </si>
  <si>
    <t>B4218</t>
  </si>
  <si>
    <t>B4219</t>
  </si>
  <si>
    <t>B4220</t>
  </si>
  <si>
    <t>B4221</t>
  </si>
  <si>
    <t>B4222</t>
  </si>
  <si>
    <t>B4223</t>
  </si>
  <si>
    <t>B4224</t>
  </si>
  <si>
    <t>B4225</t>
  </si>
  <si>
    <t>B4226</t>
  </si>
  <si>
    <t>B4227</t>
  </si>
  <si>
    <t>B4228</t>
  </si>
  <si>
    <t>B4229</t>
  </si>
  <si>
    <t>B4230</t>
  </si>
  <si>
    <t>B4231</t>
  </si>
  <si>
    <t>B4232</t>
  </si>
  <si>
    <t>B4233</t>
  </si>
  <si>
    <t>B4234</t>
  </si>
  <si>
    <t>B4235</t>
  </si>
  <si>
    <t>B4236</t>
  </si>
  <si>
    <t>B4237</t>
  </si>
  <si>
    <t>B4238</t>
  </si>
  <si>
    <t>B4239</t>
  </si>
  <si>
    <t>B4240</t>
  </si>
  <si>
    <t>B4241</t>
  </si>
  <si>
    <t>总计</t>
    <phoneticPr fontId="136" type="noConversion"/>
  </si>
  <si>
    <r>
      <t>房号</t>
    </r>
    <r>
      <rPr>
        <sz val="9"/>
        <color rgb="FFE36C0A"/>
        <rFont val="宋体"/>
        <family val="3"/>
        <charset val="134"/>
        <scheme val="minor"/>
      </rPr>
      <t>/部位</t>
    </r>
    <phoneticPr fontId="136" type="noConversion"/>
  </si>
  <si>
    <t>楼层修正</t>
  </si>
  <si>
    <t>办公其他</t>
    <phoneticPr fontId="9" type="noConversion"/>
  </si>
  <si>
    <t>车位其他</t>
    <phoneticPr fontId="9" type="noConversion"/>
  </si>
  <si>
    <t>通路</t>
  </si>
  <si>
    <t>通电</t>
  </si>
  <si>
    <t>通讯</t>
  </si>
  <si>
    <t>通上水</t>
  </si>
  <si>
    <t>通下水</t>
  </si>
  <si>
    <t>通热</t>
  </si>
  <si>
    <t>燃气</t>
  </si>
  <si>
    <t>平整</t>
  </si>
  <si>
    <t>楼面单价</t>
  </si>
  <si>
    <t>总价</t>
  </si>
  <si>
    <t>标准车位</t>
    <phoneticPr fontId="136" type="noConversion"/>
  </si>
  <si>
    <t>非标车位</t>
    <phoneticPr fontId="136" type="noConversion"/>
  </si>
  <si>
    <t>小计</t>
    <phoneticPr fontId="136" type="noConversion"/>
  </si>
  <si>
    <t>个数</t>
    <phoneticPr fontId="136" type="noConversion"/>
  </si>
  <si>
    <t>单总价</t>
    <phoneticPr fontId="136" type="noConversion"/>
  </si>
  <si>
    <t>总价</t>
    <phoneticPr fontId="136" type="noConversion"/>
  </si>
  <si>
    <t>地下2层</t>
  </si>
  <si>
    <t>地下2层</t>
    <phoneticPr fontId="136" type="noConversion"/>
  </si>
  <si>
    <t>地下3层</t>
  </si>
  <si>
    <t>地下3层</t>
    <phoneticPr fontId="136" type="noConversion"/>
  </si>
  <si>
    <t>地下4层</t>
    <phoneticPr fontId="136" type="noConversion"/>
  </si>
  <si>
    <r>
      <rPr>
        <b/>
        <sz val="10"/>
        <color indexed="10"/>
        <rFont val="宋体"/>
        <family val="3"/>
        <charset val="134"/>
      </rPr>
      <t>地下</t>
    </r>
    <r>
      <rPr>
        <b/>
        <sz val="10"/>
        <color indexed="10"/>
        <rFont val="Arial"/>
        <family val="2"/>
      </rPr>
      <t>4</t>
    </r>
    <r>
      <rPr>
        <b/>
        <sz val="10"/>
        <color indexed="10"/>
        <rFont val="宋体"/>
        <family val="3"/>
        <charset val="134"/>
      </rPr>
      <t>层</t>
    </r>
    <phoneticPr fontId="136" type="noConversion"/>
  </si>
  <si>
    <t>总价</t>
    <phoneticPr fontId="26" type="noConversion"/>
  </si>
  <si>
    <t>单价</t>
    <phoneticPr fontId="26" type="noConversion"/>
  </si>
  <si>
    <t>单价</t>
    <phoneticPr fontId="136" type="noConversion"/>
  </si>
  <si>
    <t>5号楼101</t>
    <phoneticPr fontId="136" type="noConversion"/>
  </si>
  <si>
    <r>
      <t>建筑面积（</t>
    </r>
    <r>
      <rPr>
        <sz val="9"/>
        <color rgb="FF000000"/>
        <rFont val="Arial"/>
        <family val="2"/>
      </rPr>
      <t>m</t>
    </r>
    <r>
      <rPr>
        <vertAlign val="superscript"/>
        <sz val="9"/>
        <color rgb="FF000000"/>
        <rFont val="Arial"/>
        <family val="2"/>
      </rPr>
      <t>2</t>
    </r>
    <r>
      <rPr>
        <sz val="9"/>
        <color rgb="FF000000"/>
        <rFont val="华文细黑"/>
        <family val="3"/>
        <charset val="134"/>
      </rPr>
      <t>）</t>
    </r>
  </si>
  <si>
    <t>现状用途</t>
  </si>
  <si>
    <r>
      <t>单价（元</t>
    </r>
    <r>
      <rPr>
        <sz val="9"/>
        <color rgb="FF000000"/>
        <rFont val="Arial"/>
        <family val="2"/>
      </rPr>
      <t>/m</t>
    </r>
    <r>
      <rPr>
        <vertAlign val="superscript"/>
        <sz val="9"/>
        <color rgb="FF000000"/>
        <rFont val="Arial"/>
        <family val="2"/>
      </rPr>
      <t>2</t>
    </r>
    <r>
      <rPr>
        <sz val="9"/>
        <color rgb="FF000000"/>
        <rFont val="华文细黑"/>
        <family val="3"/>
        <charset val="134"/>
      </rPr>
      <t>）</t>
    </r>
  </si>
  <si>
    <t>地下车库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</si>
</sst>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2"/>
      <name val="华文细黑"/>
      <family val="3"/>
      <charset val="134"/>
    </font>
    <font>
      <sz val="11"/>
      <name val="微软雅黑"/>
      <family val="2"/>
      <charset val="134"/>
    </font>
    <font>
      <b/>
      <sz val="9"/>
      <name val="宋体"/>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E36C0A"/>
      <name val="宋体"/>
      <family val="3"/>
      <charset val="134"/>
      <scheme val="minor"/>
    </font>
    <font>
      <b/>
      <sz val="10"/>
      <color indexed="10"/>
      <name val="Arial"/>
      <family val="3"/>
      <charset val="134"/>
    </font>
    <font>
      <sz val="10.5"/>
      <color theme="1"/>
      <name val="等线"/>
      <family val="3"/>
      <charset val="134"/>
    </font>
    <font>
      <vertAlign val="superscript"/>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xf numFmtId="0" fontId="2" fillId="0" borderId="0"/>
    <xf numFmtId="9" fontId="97" fillId="0" borderId="0" applyFont="0" applyFill="0" applyBorder="0" applyAlignment="0" applyProtection="0">
      <alignment vertical="center"/>
    </xf>
    <xf numFmtId="9" fontId="97" fillId="0" borderId="0" applyFont="0" applyFill="0" applyBorder="0" applyAlignment="0" applyProtection="0">
      <alignment vertical="center"/>
    </xf>
  </cellStyleXfs>
  <cellXfs count="354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79" fillId="0" borderId="1" xfId="0" applyFont="1" applyBorder="1" applyAlignment="1" applyProtection="1">
      <alignment horizontal="center" vertical="center" wrapText="1"/>
      <protection locked="0"/>
    </xf>
    <xf numFmtId="0" fontId="0" fillId="5" borderId="0" xfId="0" applyFill="1" applyAlignment="1">
      <alignment horizontal="left" vertical="center"/>
    </xf>
    <xf numFmtId="0" fontId="97" fillId="5" borderId="0" xfId="0" applyFont="1" applyFill="1" applyAlignment="1">
      <alignment horizontal="left" vertical="center"/>
    </xf>
    <xf numFmtId="0" fontId="79" fillId="0" borderId="1" xfId="0" applyFont="1" applyBorder="1" applyAlignment="1" applyProtection="1">
      <alignment vertical="center" wrapText="1"/>
      <protection locked="0"/>
    </xf>
    <xf numFmtId="177" fontId="54" fillId="5" borderId="1" xfId="10" applyNumberFormat="1" applyFont="1" applyFill="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1" fontId="141"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1" fontId="49" fillId="12" borderId="1" xfId="10" applyNumberFormat="1" applyFont="1" applyFill="1" applyBorder="1" applyAlignment="1" applyProtection="1">
      <alignment horizontal="left" vertical="center"/>
      <protection locked="0"/>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center" vertical="center"/>
      <protection locked="0"/>
    </xf>
    <xf numFmtId="176" fontId="49" fillId="12" borderId="1" xfId="10" applyNumberFormat="1" applyFont="1" applyFill="1" applyBorder="1" applyAlignment="1" applyProtection="1">
      <alignment horizontal="center" vertical="center"/>
      <protection locked="0"/>
    </xf>
    <xf numFmtId="0" fontId="49" fillId="12" borderId="1" xfId="10" applyFont="1" applyFill="1" applyBorder="1" applyAlignment="1" applyProtection="1">
      <alignment horizontal="center" vertical="center"/>
      <protection locked="0"/>
    </xf>
    <xf numFmtId="0" fontId="49" fillId="0" borderId="1" xfId="10" applyFont="1" applyBorder="1" applyAlignment="1" applyProtection="1">
      <alignment horizontal="center" vertical="center"/>
      <protection locked="0"/>
    </xf>
    <xf numFmtId="0" fontId="49"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115" fillId="12" borderId="1" xfId="10" applyFont="1" applyFill="1" applyBorder="1" applyAlignment="1" applyProtection="1">
      <alignment horizontal="left" vertical="center"/>
      <protection locked="0"/>
    </xf>
    <xf numFmtId="0" fontId="130" fillId="0" borderId="2"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51" xfId="0" applyFont="1" applyBorder="1" applyAlignment="1" applyProtection="1">
      <alignment horizontal="center" vertical="center" wrapText="1"/>
      <protection locked="0"/>
    </xf>
    <xf numFmtId="0" fontId="271" fillId="0" borderId="0" xfId="19" applyAlignment="1">
      <alignment horizontal="left" vertical="center"/>
    </xf>
    <xf numFmtId="14" fontId="271" fillId="0" borderId="0" xfId="19" applyNumberFormat="1" applyAlignment="1">
      <alignment horizontal="left" vertical="center"/>
    </xf>
    <xf numFmtId="0" fontId="55" fillId="0" borderId="1" xfId="0" applyFont="1" applyBorder="1" applyAlignment="1" applyProtection="1">
      <alignment horizontal="center" vertical="center"/>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protection locked="0"/>
    </xf>
    <xf numFmtId="0" fontId="272" fillId="0" borderId="1" xfId="12" applyFont="1" applyBorder="1" applyAlignment="1" applyProtection="1">
      <alignment horizontal="left"/>
      <protection locked="0"/>
    </xf>
    <xf numFmtId="0" fontId="273" fillId="6" borderId="1" xfId="12" applyFont="1" applyFill="1" applyBorder="1" applyAlignment="1">
      <alignment horizontal="left" vertical="center" wrapText="1"/>
    </xf>
    <xf numFmtId="0" fontId="62" fillId="9" borderId="0" xfId="0" applyFont="1" applyFill="1" applyAlignment="1" applyProtection="1">
      <alignment horizontal="center" vertical="center"/>
      <protection locked="0"/>
    </xf>
    <xf numFmtId="0" fontId="79" fillId="7" borderId="0" xfId="0" applyFont="1" applyFill="1" applyProtection="1">
      <alignment vertical="center"/>
      <protection locked="0"/>
    </xf>
    <xf numFmtId="0" fontId="97" fillId="0" borderId="0" xfId="10" applyAlignment="1">
      <alignment horizontal="left" vertical="center"/>
    </xf>
    <xf numFmtId="0" fontId="96" fillId="0" borderId="37" xfId="0" applyFont="1" applyBorder="1" applyAlignment="1" applyProtection="1">
      <alignment horizontal="center" vertical="center" wrapText="1"/>
      <protection locked="0"/>
    </xf>
    <xf numFmtId="0" fontId="79" fillId="12" borderId="0" xfId="0" applyFont="1" applyFill="1" applyProtection="1">
      <alignment vertical="center"/>
      <protection locked="0"/>
    </xf>
    <xf numFmtId="0" fontId="46" fillId="0" borderId="13" xfId="10" applyFont="1" applyBorder="1" applyAlignment="1" applyProtection="1">
      <alignment horizontal="center" vertical="center" wrapText="1"/>
      <protection locked="0"/>
    </xf>
    <xf numFmtId="0" fontId="130" fillId="0" borderId="2" xfId="10" applyFont="1" applyBorder="1" applyAlignment="1" applyProtection="1">
      <alignment horizontal="center" vertical="center" wrapText="1"/>
      <protection locked="0"/>
    </xf>
    <xf numFmtId="0" fontId="46" fillId="0" borderId="44" xfId="10" applyFont="1" applyBorder="1" applyAlignment="1" applyProtection="1">
      <alignment horizontal="center" vertical="center" wrapText="1"/>
      <protection locked="0"/>
    </xf>
    <xf numFmtId="0" fontId="46" fillId="0" borderId="83" xfId="10" applyFont="1" applyBorder="1" applyAlignment="1" applyProtection="1">
      <alignment horizontal="center" vertical="center"/>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130" fillId="0" borderId="44" xfId="10" applyFont="1" applyBorder="1" applyAlignment="1" applyProtection="1">
      <alignment horizontal="center" vertical="center" wrapText="1"/>
      <protection locked="0"/>
    </xf>
    <xf numFmtId="0" fontId="96" fillId="0" borderId="9" xfId="10" applyFont="1" applyBorder="1" applyAlignment="1" applyProtection="1">
      <alignment horizontal="center" vertical="center" wrapText="1"/>
      <protection locked="0"/>
    </xf>
    <xf numFmtId="0" fontId="53" fillId="0" borderId="44" xfId="10" applyFont="1" applyBorder="1" applyAlignment="1" applyProtection="1">
      <alignment horizontal="center" vertical="center" wrapText="1"/>
      <protection locked="0"/>
    </xf>
    <xf numFmtId="0" fontId="70" fillId="0" borderId="44" xfId="1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96" fillId="0" borderId="44" xfId="10" applyFont="1" applyBorder="1" applyAlignment="1" applyProtection="1">
      <alignment horizontal="center" vertical="center" wrapText="1"/>
      <protection locked="0"/>
    </xf>
    <xf numFmtId="0" fontId="275" fillId="0" borderId="82" xfId="0" applyFont="1" applyBorder="1" applyAlignment="1">
      <alignment horizontal="justify" vertical="center" wrapText="1"/>
    </xf>
    <xf numFmtId="0" fontId="276" fillId="0" borderId="65" xfId="0" applyFont="1" applyBorder="1" applyAlignment="1">
      <alignment horizontal="justify" vertical="center"/>
    </xf>
    <xf numFmtId="0" fontId="276" fillId="0" borderId="65" xfId="0" applyFont="1" applyBorder="1" applyAlignment="1">
      <alignment horizontal="justify" vertical="center" wrapText="1"/>
    </xf>
    <xf numFmtId="0" fontId="0" fillId="0" borderId="1" xfId="0" applyBorder="1" applyAlignment="1">
      <alignment horizontal="left" vertical="center"/>
    </xf>
    <xf numFmtId="58" fontId="97" fillId="0" borderId="1" xfId="0" quotePrefix="1" applyNumberFormat="1" applyFont="1" applyBorder="1" applyAlignment="1">
      <alignment horizontal="left" vertical="center"/>
    </xf>
    <xf numFmtId="0" fontId="97" fillId="0" borderId="1" xfId="0" quotePrefix="1" applyFont="1" applyBorder="1" applyAlignment="1">
      <alignment horizontal="left" vertical="center"/>
    </xf>
    <xf numFmtId="10" fontId="46" fillId="9" borderId="61" xfId="0" applyNumberFormat="1" applyFont="1" applyFill="1" applyBorder="1" applyAlignment="1" applyProtection="1">
      <alignment horizontal="center" vertical="center"/>
      <protection locked="0"/>
    </xf>
    <xf numFmtId="0" fontId="55" fillId="9" borderId="2" xfId="0" applyFont="1" applyFill="1" applyBorder="1" applyAlignment="1" applyProtection="1">
      <alignment horizontal="center" vertical="center" wrapText="1"/>
      <protection locked="0"/>
    </xf>
    <xf numFmtId="0" fontId="55" fillId="9" borderId="4" xfId="0" applyFont="1" applyFill="1" applyBorder="1" applyAlignment="1" applyProtection="1">
      <alignment horizontal="center" vertical="center" wrapText="1"/>
      <protection locked="0"/>
    </xf>
    <xf numFmtId="0" fontId="55" fillId="9" borderId="9" xfId="0" applyFont="1" applyFill="1" applyBorder="1" applyAlignment="1" applyProtection="1">
      <alignment horizontal="center" vertical="center" wrapText="1"/>
      <protection locked="0"/>
    </xf>
    <xf numFmtId="0" fontId="55" fillId="9" borderId="10" xfId="0" applyFont="1" applyFill="1" applyBorder="1" applyAlignment="1" applyProtection="1">
      <alignment horizontal="center" vertical="center" wrapText="1"/>
      <protection locked="0"/>
    </xf>
    <xf numFmtId="0" fontId="53" fillId="9" borderId="23" xfId="0"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178" fillId="7" borderId="0" xfId="0" applyFont="1" applyFill="1" applyProtection="1">
      <alignment vertical="center"/>
      <protection locked="0"/>
    </xf>
    <xf numFmtId="0" fontId="279" fillId="2" borderId="1" xfId="0" applyFont="1" applyFill="1" applyBorder="1" applyAlignment="1" applyProtection="1">
      <alignment horizontal="center" vertical="center"/>
      <protection locked="0"/>
    </xf>
    <xf numFmtId="0" fontId="79" fillId="6" borderId="1" xfId="0" applyFont="1" applyFill="1" applyBorder="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248" fillId="6" borderId="60" xfId="0" applyFont="1" applyFill="1" applyBorder="1" applyAlignment="1">
      <alignment horizontal="left" vertical="center"/>
    </xf>
    <xf numFmtId="0" fontId="97"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3"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68" fillId="0" borderId="43" xfId="0" applyFont="1" applyBorder="1" applyAlignment="1">
      <alignment horizontal="left" vertical="center"/>
    </xf>
    <xf numFmtId="0" fontId="266" fillId="0" borderId="65" xfId="0" applyFont="1" applyBorder="1" applyAlignment="1">
      <alignment horizontal="left" vertical="center"/>
    </xf>
    <xf numFmtId="0" fontId="266" fillId="0" borderId="43" xfId="0" applyFont="1" applyBorder="1" applyAlignment="1">
      <alignment horizontal="left" vertical="center"/>
    </xf>
    <xf numFmtId="0" fontId="280" fillId="0" borderId="43" xfId="0" applyFont="1" applyBorder="1">
      <alignment vertical="center"/>
    </xf>
  </cellXfs>
  <cellStyles count="23">
    <cellStyle name="百分比" xfId="17" builtinId="5"/>
    <cellStyle name="百分比 2" xfId="14" xr:uid="{00000000-0005-0000-0000-000001000000}"/>
    <cellStyle name="百分比 3" xfId="22" xr:uid="{00000000-0005-0000-0000-000002000000}"/>
    <cellStyle name="百分比 4" xfId="21" xr:uid="{00000000-0005-0000-0000-000003000000}"/>
    <cellStyle name="常规" xfId="0" builtinId="0"/>
    <cellStyle name="常规 11" xfId="18" xr:uid="{00000000-0005-0000-0000-000005000000}"/>
    <cellStyle name="常规 12"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0" xr:uid="{00000000-0005-0000-0000-000016000000}"/>
  </cellStyles>
  <dxfs count="20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152399</xdr:rowOff>
    </xdr:from>
    <xdr:to>
      <xdr:col>10</xdr:col>
      <xdr:colOff>32048</xdr:colOff>
      <xdr:row>73</xdr:row>
      <xdr:rowOff>66126</xdr:rowOff>
    </xdr:to>
    <xdr:pic>
      <xdr:nvPicPr>
        <xdr:cNvPr id="2" name="图片 1">
          <a:extLst>
            <a:ext uri="{FF2B5EF4-FFF2-40B4-BE49-F238E27FC236}">
              <a16:creationId xmlns:a16="http://schemas.microsoft.com/office/drawing/2014/main" id="{AC6112BD-6C43-41FB-A325-E7C335490FC9}"/>
            </a:ext>
          </a:extLst>
        </xdr:cNvPr>
        <xdr:cNvPicPr>
          <a:picLocks noChangeAspect="1"/>
        </xdr:cNvPicPr>
      </xdr:nvPicPr>
      <xdr:blipFill>
        <a:blip xmlns:r="http://schemas.openxmlformats.org/officeDocument/2006/relationships" r:embed="rId1"/>
        <a:stretch>
          <a:fillRect/>
        </a:stretch>
      </xdr:blipFill>
      <xdr:spPr>
        <a:xfrm>
          <a:off x="0" y="9382124"/>
          <a:ext cx="10347623" cy="3895177"/>
        </a:xfrm>
        <a:prstGeom prst="rect">
          <a:avLst/>
        </a:prstGeom>
      </xdr:spPr>
    </xdr:pic>
    <xdr:clientData/>
  </xdr:twoCellAnchor>
  <xdr:twoCellAnchor>
    <xdr:from>
      <xdr:col>0</xdr:col>
      <xdr:colOff>0</xdr:colOff>
      <xdr:row>0</xdr:row>
      <xdr:rowOff>0</xdr:rowOff>
    </xdr:from>
    <xdr:to>
      <xdr:col>10</xdr:col>
      <xdr:colOff>41683</xdr:colOff>
      <xdr:row>38</xdr:row>
      <xdr:rowOff>37474</xdr:rowOff>
    </xdr:to>
    <xdr:grpSp>
      <xdr:nvGrpSpPr>
        <xdr:cNvPr id="3" name="组合 2">
          <a:extLst>
            <a:ext uri="{FF2B5EF4-FFF2-40B4-BE49-F238E27FC236}">
              <a16:creationId xmlns:a16="http://schemas.microsoft.com/office/drawing/2014/main" id="{E968CE10-F243-485D-B311-2318E82404BE}"/>
            </a:ext>
          </a:extLst>
        </xdr:cNvPr>
        <xdr:cNvGrpSpPr/>
      </xdr:nvGrpSpPr>
      <xdr:grpSpPr>
        <a:xfrm>
          <a:off x="0" y="0"/>
          <a:ext cx="10357258" cy="6914524"/>
          <a:chOff x="0" y="0"/>
          <a:chExt cx="10357258" cy="6914524"/>
        </a:xfrm>
      </xdr:grpSpPr>
      <xdr:pic>
        <xdr:nvPicPr>
          <xdr:cNvPr id="4" name="图片 3">
            <a:extLst>
              <a:ext uri="{FF2B5EF4-FFF2-40B4-BE49-F238E27FC236}">
                <a16:creationId xmlns:a16="http://schemas.microsoft.com/office/drawing/2014/main" id="{4041400C-A411-3813-F4DE-70982B95685D}"/>
              </a:ext>
            </a:extLst>
          </xdr:cNvPr>
          <xdr:cNvPicPr>
            <a:picLocks noChangeAspect="1"/>
          </xdr:cNvPicPr>
        </xdr:nvPicPr>
        <xdr:blipFill>
          <a:blip xmlns:r="http://schemas.openxmlformats.org/officeDocument/2006/relationships" r:embed="rId2"/>
          <a:stretch>
            <a:fillRect/>
          </a:stretch>
        </xdr:blipFill>
        <xdr:spPr>
          <a:xfrm>
            <a:off x="1" y="0"/>
            <a:ext cx="10325100" cy="2589291"/>
          </a:xfrm>
          <a:prstGeom prst="rect">
            <a:avLst/>
          </a:prstGeom>
        </xdr:spPr>
      </xdr:pic>
      <xdr:pic>
        <xdr:nvPicPr>
          <xdr:cNvPr id="5" name="图片 4">
            <a:extLst>
              <a:ext uri="{FF2B5EF4-FFF2-40B4-BE49-F238E27FC236}">
                <a16:creationId xmlns:a16="http://schemas.microsoft.com/office/drawing/2014/main" id="{DAD34606-D187-FAFC-CE5A-FBAA28C883A7}"/>
              </a:ext>
            </a:extLst>
          </xdr:cNvPr>
          <xdr:cNvPicPr>
            <a:picLocks noChangeAspect="1"/>
          </xdr:cNvPicPr>
        </xdr:nvPicPr>
        <xdr:blipFill>
          <a:blip xmlns:r="http://schemas.openxmlformats.org/officeDocument/2006/relationships" r:embed="rId3"/>
          <a:stretch>
            <a:fillRect/>
          </a:stretch>
        </xdr:blipFill>
        <xdr:spPr>
          <a:xfrm>
            <a:off x="0" y="2552700"/>
            <a:ext cx="10357258" cy="4361824"/>
          </a:xfrm>
          <a:prstGeom prst="rect">
            <a:avLst/>
          </a:prstGeom>
        </xdr:spPr>
      </xdr:pic>
    </xdr:grpSp>
    <xdr:clientData/>
  </xdr:twoCellAnchor>
  <xdr:twoCellAnchor editAs="oneCell">
    <xdr:from>
      <xdr:col>0</xdr:col>
      <xdr:colOff>0</xdr:colOff>
      <xdr:row>39</xdr:row>
      <xdr:rowOff>1015</xdr:rowOff>
    </xdr:from>
    <xdr:to>
      <xdr:col>10</xdr:col>
      <xdr:colOff>85725</xdr:colOff>
      <xdr:row>51</xdr:row>
      <xdr:rowOff>142538</xdr:rowOff>
    </xdr:to>
    <xdr:pic>
      <xdr:nvPicPr>
        <xdr:cNvPr id="6" name="图片 5">
          <a:extLst>
            <a:ext uri="{FF2B5EF4-FFF2-40B4-BE49-F238E27FC236}">
              <a16:creationId xmlns:a16="http://schemas.microsoft.com/office/drawing/2014/main" id="{A7A1EC6B-6408-4DDA-9D13-C9D2F9DFA954}"/>
            </a:ext>
          </a:extLst>
        </xdr:cNvPr>
        <xdr:cNvPicPr>
          <a:picLocks noChangeAspect="1"/>
        </xdr:cNvPicPr>
      </xdr:nvPicPr>
      <xdr:blipFill>
        <a:blip xmlns:r="http://schemas.openxmlformats.org/officeDocument/2006/relationships" r:embed="rId4"/>
        <a:stretch>
          <a:fillRect/>
        </a:stretch>
      </xdr:blipFill>
      <xdr:spPr>
        <a:xfrm>
          <a:off x="0" y="7059040"/>
          <a:ext cx="10401300" cy="2313223"/>
        </a:xfrm>
        <a:prstGeom prst="rect">
          <a:avLst/>
        </a:prstGeom>
      </xdr:spPr>
    </xdr:pic>
    <xdr:clientData/>
  </xdr:twoCellAnchor>
  <xdr:twoCellAnchor>
    <xdr:from>
      <xdr:col>0</xdr:col>
      <xdr:colOff>0</xdr:colOff>
      <xdr:row>44</xdr:row>
      <xdr:rowOff>95250</xdr:rowOff>
    </xdr:from>
    <xdr:to>
      <xdr:col>9</xdr:col>
      <xdr:colOff>666750</xdr:colOff>
      <xdr:row>46</xdr:row>
      <xdr:rowOff>28575</xdr:rowOff>
    </xdr:to>
    <xdr:sp macro="" textlink="">
      <xdr:nvSpPr>
        <xdr:cNvPr id="7" name="流程图: 过程 6">
          <a:extLst>
            <a:ext uri="{FF2B5EF4-FFF2-40B4-BE49-F238E27FC236}">
              <a16:creationId xmlns:a16="http://schemas.microsoft.com/office/drawing/2014/main" id="{71932A24-8345-934F-A619-09A610B8FD0A}"/>
            </a:ext>
          </a:extLst>
        </xdr:cNvPr>
        <xdr:cNvSpPr/>
      </xdr:nvSpPr>
      <xdr:spPr>
        <a:xfrm>
          <a:off x="0" y="8058150"/>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47</xdr:row>
      <xdr:rowOff>152400</xdr:rowOff>
    </xdr:from>
    <xdr:to>
      <xdr:col>9</xdr:col>
      <xdr:colOff>666750</xdr:colOff>
      <xdr:row>49</xdr:row>
      <xdr:rowOff>85725</xdr:rowOff>
    </xdr:to>
    <xdr:sp macro="" textlink="">
      <xdr:nvSpPr>
        <xdr:cNvPr id="8" name="流程图: 过程 7">
          <a:extLst>
            <a:ext uri="{FF2B5EF4-FFF2-40B4-BE49-F238E27FC236}">
              <a16:creationId xmlns:a16="http://schemas.microsoft.com/office/drawing/2014/main" id="{30178562-0AA7-4BC1-8F0A-64D09ACB7397}"/>
            </a:ext>
          </a:extLst>
        </xdr:cNvPr>
        <xdr:cNvSpPr/>
      </xdr:nvSpPr>
      <xdr:spPr>
        <a:xfrm>
          <a:off x="0" y="8658225"/>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7976</xdr:rowOff>
    </xdr:from>
    <xdr:to>
      <xdr:col>9</xdr:col>
      <xdr:colOff>660861</xdr:colOff>
      <xdr:row>94</xdr:row>
      <xdr:rowOff>142875</xdr:rowOff>
    </xdr:to>
    <xdr:pic>
      <xdr:nvPicPr>
        <xdr:cNvPr id="9" name="图片 8">
          <a:extLst>
            <a:ext uri="{FF2B5EF4-FFF2-40B4-BE49-F238E27FC236}">
              <a16:creationId xmlns:a16="http://schemas.microsoft.com/office/drawing/2014/main" id="{271CAB9B-7DA2-BCEE-8149-B705999F1A14}"/>
            </a:ext>
          </a:extLst>
        </xdr:cNvPr>
        <xdr:cNvPicPr>
          <a:picLocks noChangeAspect="1"/>
        </xdr:cNvPicPr>
      </xdr:nvPicPr>
      <xdr:blipFill>
        <a:blip xmlns:r="http://schemas.openxmlformats.org/officeDocument/2006/relationships" r:embed="rId5"/>
        <a:stretch>
          <a:fillRect/>
        </a:stretch>
      </xdr:blipFill>
      <xdr:spPr>
        <a:xfrm>
          <a:off x="0" y="13219151"/>
          <a:ext cx="10290636" cy="3935374"/>
        </a:xfrm>
        <a:prstGeom prst="rect">
          <a:avLst/>
        </a:prstGeom>
      </xdr:spPr>
    </xdr:pic>
    <xdr:clientData/>
  </xdr:twoCellAnchor>
  <xdr:twoCellAnchor editAs="oneCell">
    <xdr:from>
      <xdr:col>0</xdr:col>
      <xdr:colOff>0</xdr:colOff>
      <xdr:row>94</xdr:row>
      <xdr:rowOff>175680</xdr:rowOff>
    </xdr:from>
    <xdr:to>
      <xdr:col>8</xdr:col>
      <xdr:colOff>200025</xdr:colOff>
      <xdr:row>120</xdr:row>
      <xdr:rowOff>142123</xdr:rowOff>
    </xdr:to>
    <xdr:pic>
      <xdr:nvPicPr>
        <xdr:cNvPr id="10" name="图片 9">
          <a:extLst>
            <a:ext uri="{FF2B5EF4-FFF2-40B4-BE49-F238E27FC236}">
              <a16:creationId xmlns:a16="http://schemas.microsoft.com/office/drawing/2014/main" id="{789C7DAB-DBA3-4CB1-5BD3-B24D695C7D4E}"/>
            </a:ext>
          </a:extLst>
        </xdr:cNvPr>
        <xdr:cNvPicPr>
          <a:picLocks noChangeAspect="1"/>
        </xdr:cNvPicPr>
      </xdr:nvPicPr>
      <xdr:blipFill>
        <a:blip xmlns:r="http://schemas.openxmlformats.org/officeDocument/2006/relationships" r:embed="rId6"/>
        <a:stretch>
          <a:fillRect/>
        </a:stretch>
      </xdr:blipFill>
      <xdr:spPr>
        <a:xfrm>
          <a:off x="0" y="17187330"/>
          <a:ext cx="9144000" cy="4671793"/>
        </a:xfrm>
        <a:prstGeom prst="rect">
          <a:avLst/>
        </a:prstGeom>
      </xdr:spPr>
    </xdr:pic>
    <xdr:clientData/>
  </xdr:twoCellAnchor>
  <xdr:twoCellAnchor editAs="oneCell">
    <xdr:from>
      <xdr:col>0</xdr:col>
      <xdr:colOff>0</xdr:colOff>
      <xdr:row>120</xdr:row>
      <xdr:rowOff>161925</xdr:rowOff>
    </xdr:from>
    <xdr:to>
      <xdr:col>11</xdr:col>
      <xdr:colOff>158697</xdr:colOff>
      <xdr:row>142</xdr:row>
      <xdr:rowOff>132817</xdr:rowOff>
    </xdr:to>
    <xdr:pic>
      <xdr:nvPicPr>
        <xdr:cNvPr id="11" name="图片 10">
          <a:extLst>
            <a:ext uri="{FF2B5EF4-FFF2-40B4-BE49-F238E27FC236}">
              <a16:creationId xmlns:a16="http://schemas.microsoft.com/office/drawing/2014/main" id="{02E979E7-521F-799E-4BF1-DB146DEF44FD}"/>
            </a:ext>
          </a:extLst>
        </xdr:cNvPr>
        <xdr:cNvPicPr>
          <a:picLocks noChangeAspect="1"/>
        </xdr:cNvPicPr>
      </xdr:nvPicPr>
      <xdr:blipFill>
        <a:blip xmlns:r="http://schemas.openxmlformats.org/officeDocument/2006/relationships" r:embed="rId7"/>
        <a:stretch>
          <a:fillRect/>
        </a:stretch>
      </xdr:blipFill>
      <xdr:spPr>
        <a:xfrm>
          <a:off x="0" y="21878925"/>
          <a:ext cx="11160072" cy="3952342"/>
        </a:xfrm>
        <a:prstGeom prst="rect">
          <a:avLst/>
        </a:prstGeom>
      </xdr:spPr>
    </xdr:pic>
    <xdr:clientData/>
  </xdr:twoCellAnchor>
  <xdr:twoCellAnchor editAs="oneCell">
    <xdr:from>
      <xdr:col>0</xdr:col>
      <xdr:colOff>0</xdr:colOff>
      <xdr:row>143</xdr:row>
      <xdr:rowOff>123824</xdr:rowOff>
    </xdr:from>
    <xdr:to>
      <xdr:col>11</xdr:col>
      <xdr:colOff>130472</xdr:colOff>
      <xdr:row>175</xdr:row>
      <xdr:rowOff>27787</xdr:rowOff>
    </xdr:to>
    <xdr:pic>
      <xdr:nvPicPr>
        <xdr:cNvPr id="12" name="图片 11">
          <a:extLst>
            <a:ext uri="{FF2B5EF4-FFF2-40B4-BE49-F238E27FC236}">
              <a16:creationId xmlns:a16="http://schemas.microsoft.com/office/drawing/2014/main" id="{99ED34CF-AD9E-3972-C0D6-94D77CB8F4A8}"/>
            </a:ext>
          </a:extLst>
        </xdr:cNvPr>
        <xdr:cNvPicPr>
          <a:picLocks noChangeAspect="1"/>
        </xdr:cNvPicPr>
      </xdr:nvPicPr>
      <xdr:blipFill>
        <a:blip xmlns:r="http://schemas.openxmlformats.org/officeDocument/2006/relationships" r:embed="rId8"/>
        <a:stretch>
          <a:fillRect/>
        </a:stretch>
      </xdr:blipFill>
      <xdr:spPr>
        <a:xfrm>
          <a:off x="0" y="26003249"/>
          <a:ext cx="11131847" cy="5695163"/>
        </a:xfrm>
        <a:prstGeom prst="rect">
          <a:avLst/>
        </a:prstGeom>
      </xdr:spPr>
    </xdr:pic>
    <xdr:clientData/>
  </xdr:twoCellAnchor>
  <xdr:twoCellAnchor editAs="oneCell">
    <xdr:from>
      <xdr:col>0</xdr:col>
      <xdr:colOff>0</xdr:colOff>
      <xdr:row>176</xdr:row>
      <xdr:rowOff>171450</xdr:rowOff>
    </xdr:from>
    <xdr:to>
      <xdr:col>11</xdr:col>
      <xdr:colOff>307448</xdr:colOff>
      <xdr:row>210</xdr:row>
      <xdr:rowOff>84919</xdr:rowOff>
    </xdr:to>
    <xdr:pic>
      <xdr:nvPicPr>
        <xdr:cNvPr id="13" name="图片 12">
          <a:extLst>
            <a:ext uri="{FF2B5EF4-FFF2-40B4-BE49-F238E27FC236}">
              <a16:creationId xmlns:a16="http://schemas.microsoft.com/office/drawing/2014/main" id="{7F0A0954-72B3-C20E-053E-50D270A28638}"/>
            </a:ext>
          </a:extLst>
        </xdr:cNvPr>
        <xdr:cNvPicPr>
          <a:picLocks noChangeAspect="1"/>
        </xdr:cNvPicPr>
      </xdr:nvPicPr>
      <xdr:blipFill>
        <a:blip xmlns:r="http://schemas.openxmlformats.org/officeDocument/2006/relationships" r:embed="rId9"/>
        <a:stretch>
          <a:fillRect/>
        </a:stretch>
      </xdr:blipFill>
      <xdr:spPr>
        <a:xfrm>
          <a:off x="0" y="32023050"/>
          <a:ext cx="11308823" cy="6066619"/>
        </a:xfrm>
        <a:prstGeom prst="rect">
          <a:avLst/>
        </a:prstGeom>
      </xdr:spPr>
    </xdr:pic>
    <xdr:clientData/>
  </xdr:twoCellAnchor>
  <xdr:twoCellAnchor>
    <xdr:from>
      <xdr:col>9</xdr:col>
      <xdr:colOff>504825</xdr:colOff>
      <xdr:row>164</xdr:row>
      <xdr:rowOff>133350</xdr:rowOff>
    </xdr:from>
    <xdr:to>
      <xdr:col>11</xdr:col>
      <xdr:colOff>38100</xdr:colOff>
      <xdr:row>175</xdr:row>
      <xdr:rowOff>66675</xdr:rowOff>
    </xdr:to>
    <xdr:sp macro="" textlink="">
      <xdr:nvSpPr>
        <xdr:cNvPr id="14" name="流程图: 过程 13">
          <a:extLst>
            <a:ext uri="{FF2B5EF4-FFF2-40B4-BE49-F238E27FC236}">
              <a16:creationId xmlns:a16="http://schemas.microsoft.com/office/drawing/2014/main" id="{E38E30CB-7DFD-DC8E-0389-5FA4D33AA0EE}"/>
            </a:ext>
          </a:extLst>
        </xdr:cNvPr>
        <xdr:cNvSpPr/>
      </xdr:nvSpPr>
      <xdr:spPr>
        <a:xfrm>
          <a:off x="10134600" y="29813250"/>
          <a:ext cx="904875" cy="19240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590550</xdr:colOff>
      <xdr:row>121</xdr:row>
      <xdr:rowOff>85725</xdr:rowOff>
    </xdr:from>
    <xdr:to>
      <xdr:col>11</xdr:col>
      <xdr:colOff>123825</xdr:colOff>
      <xdr:row>142</xdr:row>
      <xdr:rowOff>38100</xdr:rowOff>
    </xdr:to>
    <xdr:sp macro="" textlink="">
      <xdr:nvSpPr>
        <xdr:cNvPr id="15" name="流程图: 过程 14">
          <a:extLst>
            <a:ext uri="{FF2B5EF4-FFF2-40B4-BE49-F238E27FC236}">
              <a16:creationId xmlns:a16="http://schemas.microsoft.com/office/drawing/2014/main" id="{D962D1B7-52F5-48CE-8734-23B8A12E1022}"/>
            </a:ext>
          </a:extLst>
        </xdr:cNvPr>
        <xdr:cNvSpPr/>
      </xdr:nvSpPr>
      <xdr:spPr>
        <a:xfrm>
          <a:off x="10220325" y="21983700"/>
          <a:ext cx="904875" cy="37528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1190625</xdr:colOff>
      <xdr:row>199</xdr:row>
      <xdr:rowOff>19050</xdr:rowOff>
    </xdr:from>
    <xdr:to>
      <xdr:col>4</xdr:col>
      <xdr:colOff>1143000</xdr:colOff>
      <xdr:row>210</xdr:row>
      <xdr:rowOff>152401</xdr:rowOff>
    </xdr:to>
    <xdr:sp macro="" textlink="">
      <xdr:nvSpPr>
        <xdr:cNvPr id="16" name="流程图: 过程 15">
          <a:extLst>
            <a:ext uri="{FF2B5EF4-FFF2-40B4-BE49-F238E27FC236}">
              <a16:creationId xmlns:a16="http://schemas.microsoft.com/office/drawing/2014/main" id="{3D3E3492-595A-44D6-A745-823A81BD6F9C}"/>
            </a:ext>
          </a:extLst>
        </xdr:cNvPr>
        <xdr:cNvSpPr/>
      </xdr:nvSpPr>
      <xdr:spPr>
        <a:xfrm>
          <a:off x="4105275" y="36033075"/>
          <a:ext cx="1266825" cy="2124076"/>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213</xdr:row>
      <xdr:rowOff>426</xdr:rowOff>
    </xdr:from>
    <xdr:to>
      <xdr:col>11</xdr:col>
      <xdr:colOff>57150</xdr:colOff>
      <xdr:row>236</xdr:row>
      <xdr:rowOff>94890</xdr:rowOff>
    </xdr:to>
    <xdr:grpSp>
      <xdr:nvGrpSpPr>
        <xdr:cNvPr id="19" name="组合 18">
          <a:extLst>
            <a:ext uri="{FF2B5EF4-FFF2-40B4-BE49-F238E27FC236}">
              <a16:creationId xmlns:a16="http://schemas.microsoft.com/office/drawing/2014/main" id="{703679BB-7868-600D-A5FA-7320F15502DA}"/>
            </a:ext>
          </a:extLst>
        </xdr:cNvPr>
        <xdr:cNvGrpSpPr/>
      </xdr:nvGrpSpPr>
      <xdr:grpSpPr>
        <a:xfrm>
          <a:off x="0" y="38548101"/>
          <a:ext cx="11058525" cy="4256889"/>
          <a:chOff x="0" y="38548101"/>
          <a:chExt cx="11058525" cy="4256889"/>
        </a:xfrm>
      </xdr:grpSpPr>
      <xdr:pic>
        <xdr:nvPicPr>
          <xdr:cNvPr id="17" name="图片 16">
            <a:extLst>
              <a:ext uri="{FF2B5EF4-FFF2-40B4-BE49-F238E27FC236}">
                <a16:creationId xmlns:a16="http://schemas.microsoft.com/office/drawing/2014/main" id="{E1C440F7-14C8-C7F7-5F5A-CF8F0788077F}"/>
              </a:ext>
            </a:extLst>
          </xdr:cNvPr>
          <xdr:cNvPicPr>
            <a:picLocks noChangeAspect="1"/>
          </xdr:cNvPicPr>
        </xdr:nvPicPr>
        <xdr:blipFill>
          <a:blip xmlns:r="http://schemas.openxmlformats.org/officeDocument/2006/relationships" r:embed="rId10"/>
          <a:stretch>
            <a:fillRect/>
          </a:stretch>
        </xdr:blipFill>
        <xdr:spPr>
          <a:xfrm>
            <a:off x="0" y="38548101"/>
            <a:ext cx="11001375" cy="1542408"/>
          </a:xfrm>
          <a:prstGeom prst="rect">
            <a:avLst/>
          </a:prstGeom>
        </xdr:spPr>
      </xdr:pic>
      <xdr:pic>
        <xdr:nvPicPr>
          <xdr:cNvPr id="18" name="图片 17">
            <a:extLst>
              <a:ext uri="{FF2B5EF4-FFF2-40B4-BE49-F238E27FC236}">
                <a16:creationId xmlns:a16="http://schemas.microsoft.com/office/drawing/2014/main" id="{0293D63A-4D91-E347-6DFB-C9BA55E859CA}"/>
              </a:ext>
            </a:extLst>
          </xdr:cNvPr>
          <xdr:cNvPicPr>
            <a:picLocks noChangeAspect="1"/>
          </xdr:cNvPicPr>
        </xdr:nvPicPr>
        <xdr:blipFill>
          <a:blip xmlns:r="http://schemas.openxmlformats.org/officeDocument/2006/relationships" r:embed="rId11"/>
          <a:stretch>
            <a:fillRect/>
          </a:stretch>
        </xdr:blipFill>
        <xdr:spPr>
          <a:xfrm>
            <a:off x="0" y="40078726"/>
            <a:ext cx="11058525" cy="2726264"/>
          </a:xfrm>
          <a:prstGeom prst="rect">
            <a:avLst/>
          </a:prstGeom>
        </xdr:spPr>
      </xdr:pic>
    </xdr:grpSp>
    <xdr:clientData/>
  </xdr:twoCellAnchor>
  <xdr:twoCellAnchor>
    <xdr:from>
      <xdr:col>4</xdr:col>
      <xdr:colOff>895350</xdr:colOff>
      <xdr:row>221</xdr:row>
      <xdr:rowOff>57576</xdr:rowOff>
    </xdr:from>
    <xdr:to>
      <xdr:col>5</xdr:col>
      <xdr:colOff>1000125</xdr:colOff>
      <xdr:row>236</xdr:row>
      <xdr:rowOff>161925</xdr:rowOff>
    </xdr:to>
    <xdr:sp macro="" textlink="">
      <xdr:nvSpPr>
        <xdr:cNvPr id="20" name="流程图: 过程 19">
          <a:extLst>
            <a:ext uri="{FF2B5EF4-FFF2-40B4-BE49-F238E27FC236}">
              <a16:creationId xmlns:a16="http://schemas.microsoft.com/office/drawing/2014/main" id="{2FC3E09D-5ED1-4BC5-B61D-A1246AC41B8B}"/>
            </a:ext>
          </a:extLst>
        </xdr:cNvPr>
        <xdr:cNvSpPr/>
      </xdr:nvSpPr>
      <xdr:spPr>
        <a:xfrm>
          <a:off x="5124450" y="40053051"/>
          <a:ext cx="1333500" cy="2818974"/>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9525</xdr:colOff>
      <xdr:row>41</xdr:row>
      <xdr:rowOff>56960</xdr:rowOff>
    </xdr:to>
    <xdr:grpSp>
      <xdr:nvGrpSpPr>
        <xdr:cNvPr id="7" name="组合 6">
          <a:extLst>
            <a:ext uri="{FF2B5EF4-FFF2-40B4-BE49-F238E27FC236}">
              <a16:creationId xmlns:a16="http://schemas.microsoft.com/office/drawing/2014/main" id="{6A1C0A6C-0A18-9A6B-83EC-361F38DD7614}"/>
            </a:ext>
          </a:extLst>
        </xdr:cNvPr>
        <xdr:cNvGrpSpPr/>
      </xdr:nvGrpSpPr>
      <xdr:grpSpPr>
        <a:xfrm>
          <a:off x="0" y="0"/>
          <a:ext cx="10325100" cy="7476935"/>
          <a:chOff x="0" y="1"/>
          <a:chExt cx="10325100" cy="7476935"/>
        </a:xfrm>
      </xdr:grpSpPr>
      <xdr:grpSp>
        <xdr:nvGrpSpPr>
          <xdr:cNvPr id="4" name="组合 3">
            <a:extLst>
              <a:ext uri="{FF2B5EF4-FFF2-40B4-BE49-F238E27FC236}">
                <a16:creationId xmlns:a16="http://schemas.microsoft.com/office/drawing/2014/main" id="{7EFBC3B9-ACC3-5C70-234C-1C2B555E3191}"/>
              </a:ext>
            </a:extLst>
          </xdr:cNvPr>
          <xdr:cNvGrpSpPr/>
        </xdr:nvGrpSpPr>
        <xdr:grpSpPr>
          <a:xfrm>
            <a:off x="0" y="3781425"/>
            <a:ext cx="10276190" cy="3695511"/>
            <a:chOff x="0" y="1219200"/>
            <a:chExt cx="10276190" cy="3695511"/>
          </a:xfrm>
        </xdr:grpSpPr>
        <xdr:pic>
          <xdr:nvPicPr>
            <xdr:cNvPr id="2" name="图片 1">
              <a:extLst>
                <a:ext uri="{FF2B5EF4-FFF2-40B4-BE49-F238E27FC236}">
                  <a16:creationId xmlns:a16="http://schemas.microsoft.com/office/drawing/2014/main" id="{5B0240D9-2F01-4479-AC09-18E88B8C555F}"/>
                </a:ext>
              </a:extLst>
            </xdr:cNvPr>
            <xdr:cNvPicPr>
              <a:picLocks noChangeAspect="1"/>
            </xdr:cNvPicPr>
          </xdr:nvPicPr>
          <xdr:blipFill>
            <a:blip xmlns:r="http://schemas.openxmlformats.org/officeDocument/2006/relationships" r:embed="rId1"/>
            <a:stretch>
              <a:fillRect/>
            </a:stretch>
          </xdr:blipFill>
          <xdr:spPr>
            <a:xfrm>
              <a:off x="0" y="3400425"/>
              <a:ext cx="10276190" cy="1514286"/>
            </a:xfrm>
            <a:prstGeom prst="rect">
              <a:avLst/>
            </a:prstGeom>
          </xdr:spPr>
        </xdr:pic>
        <xdr:pic>
          <xdr:nvPicPr>
            <xdr:cNvPr id="3" name="图片 2">
              <a:extLst>
                <a:ext uri="{FF2B5EF4-FFF2-40B4-BE49-F238E27FC236}">
                  <a16:creationId xmlns:a16="http://schemas.microsoft.com/office/drawing/2014/main" id="{F4222B98-A78F-4CEA-9A9B-21DCB44F8762}"/>
                </a:ext>
              </a:extLst>
            </xdr:cNvPr>
            <xdr:cNvPicPr>
              <a:picLocks noChangeAspect="1"/>
            </xdr:cNvPicPr>
          </xdr:nvPicPr>
          <xdr:blipFill rotWithShape="1">
            <a:blip xmlns:r="http://schemas.openxmlformats.org/officeDocument/2006/relationships" r:embed="rId2"/>
            <a:srcRect l="3488" b="27905"/>
            <a:stretch/>
          </xdr:blipFill>
          <xdr:spPr>
            <a:xfrm>
              <a:off x="0" y="1219200"/>
              <a:ext cx="10276144" cy="2238375"/>
            </a:xfrm>
            <a:prstGeom prst="rect">
              <a:avLst/>
            </a:prstGeom>
          </xdr:spPr>
        </xdr:pic>
      </xdr:grpSp>
      <xdr:pic>
        <xdr:nvPicPr>
          <xdr:cNvPr id="5" name="图片 4">
            <a:extLst>
              <a:ext uri="{FF2B5EF4-FFF2-40B4-BE49-F238E27FC236}">
                <a16:creationId xmlns:a16="http://schemas.microsoft.com/office/drawing/2014/main" id="{CCCD38A5-FCD5-F938-31F7-72640718E2E1}"/>
              </a:ext>
            </a:extLst>
          </xdr:cNvPr>
          <xdr:cNvPicPr>
            <a:picLocks noChangeAspect="1"/>
          </xdr:cNvPicPr>
        </xdr:nvPicPr>
        <xdr:blipFill>
          <a:blip xmlns:r="http://schemas.openxmlformats.org/officeDocument/2006/relationships" r:embed="rId3"/>
          <a:stretch>
            <a:fillRect/>
          </a:stretch>
        </xdr:blipFill>
        <xdr:spPr>
          <a:xfrm>
            <a:off x="0" y="1"/>
            <a:ext cx="10271525" cy="2990850"/>
          </a:xfrm>
          <a:prstGeom prst="rect">
            <a:avLst/>
          </a:prstGeom>
        </xdr:spPr>
      </xdr:pic>
      <xdr:pic>
        <xdr:nvPicPr>
          <xdr:cNvPr id="6" name="图片 5">
            <a:extLst>
              <a:ext uri="{FF2B5EF4-FFF2-40B4-BE49-F238E27FC236}">
                <a16:creationId xmlns:a16="http://schemas.microsoft.com/office/drawing/2014/main" id="{E931D0EA-CC0A-630D-1E17-BAB3EBB12851}"/>
              </a:ext>
            </a:extLst>
          </xdr:cNvPr>
          <xdr:cNvPicPr>
            <a:picLocks noChangeAspect="1"/>
          </xdr:cNvPicPr>
        </xdr:nvPicPr>
        <xdr:blipFill>
          <a:blip xmlns:r="http://schemas.openxmlformats.org/officeDocument/2006/relationships" r:embed="rId4"/>
          <a:stretch>
            <a:fillRect/>
          </a:stretch>
        </xdr:blipFill>
        <xdr:spPr>
          <a:xfrm>
            <a:off x="0" y="2982697"/>
            <a:ext cx="10325100" cy="779566"/>
          </a:xfrm>
          <a:prstGeom prst="rect">
            <a:avLst/>
          </a:prstGeom>
        </xdr:spPr>
      </xdr:pic>
    </xdr:grpSp>
    <xdr:clientData/>
  </xdr:twoCellAnchor>
  <xdr:twoCellAnchor>
    <xdr:from>
      <xdr:col>0</xdr:col>
      <xdr:colOff>0</xdr:colOff>
      <xdr:row>18</xdr:row>
      <xdr:rowOff>171450</xdr:rowOff>
    </xdr:from>
    <xdr:to>
      <xdr:col>9</xdr:col>
      <xdr:colOff>666750</xdr:colOff>
      <xdr:row>20</xdr:row>
      <xdr:rowOff>104775</xdr:rowOff>
    </xdr:to>
    <xdr:sp macro="" textlink="">
      <xdr:nvSpPr>
        <xdr:cNvPr id="8" name="流程图: 过程 7">
          <a:extLst>
            <a:ext uri="{FF2B5EF4-FFF2-40B4-BE49-F238E27FC236}">
              <a16:creationId xmlns:a16="http://schemas.microsoft.com/office/drawing/2014/main" id="{9D7ED12F-F9F5-47D1-92F5-3982AC88B8AD}"/>
            </a:ext>
          </a:extLst>
        </xdr:cNvPr>
        <xdr:cNvSpPr/>
      </xdr:nvSpPr>
      <xdr:spPr>
        <a:xfrm>
          <a:off x="0" y="3429000"/>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43</xdr:row>
      <xdr:rowOff>109524</xdr:rowOff>
    </xdr:from>
    <xdr:to>
      <xdr:col>9</xdr:col>
      <xdr:colOff>666750</xdr:colOff>
      <xdr:row>64</xdr:row>
      <xdr:rowOff>8982</xdr:rowOff>
    </xdr:to>
    <xdr:pic>
      <xdr:nvPicPr>
        <xdr:cNvPr id="9" name="图片 8">
          <a:extLst>
            <a:ext uri="{FF2B5EF4-FFF2-40B4-BE49-F238E27FC236}">
              <a16:creationId xmlns:a16="http://schemas.microsoft.com/office/drawing/2014/main" id="{1FCD9207-657D-84D6-B87E-F675F645FFEC}"/>
            </a:ext>
          </a:extLst>
        </xdr:cNvPr>
        <xdr:cNvPicPr>
          <a:picLocks noChangeAspect="1"/>
        </xdr:cNvPicPr>
      </xdr:nvPicPr>
      <xdr:blipFill>
        <a:blip xmlns:r="http://schemas.openxmlformats.org/officeDocument/2006/relationships" r:embed="rId5"/>
        <a:stretch>
          <a:fillRect/>
        </a:stretch>
      </xdr:blipFill>
      <xdr:spPr>
        <a:xfrm>
          <a:off x="0" y="7891449"/>
          <a:ext cx="10296525" cy="3699933"/>
        </a:xfrm>
        <a:prstGeom prst="rect">
          <a:avLst/>
        </a:prstGeom>
      </xdr:spPr>
    </xdr:pic>
    <xdr:clientData/>
  </xdr:twoCellAnchor>
  <xdr:twoCellAnchor editAs="oneCell">
    <xdr:from>
      <xdr:col>0</xdr:col>
      <xdr:colOff>0</xdr:colOff>
      <xdr:row>66</xdr:row>
      <xdr:rowOff>15356</xdr:rowOff>
    </xdr:from>
    <xdr:to>
      <xdr:col>10</xdr:col>
      <xdr:colOff>0</xdr:colOff>
      <xdr:row>75</xdr:row>
      <xdr:rowOff>66430</xdr:rowOff>
    </xdr:to>
    <xdr:pic>
      <xdr:nvPicPr>
        <xdr:cNvPr id="10" name="图片 9">
          <a:extLst>
            <a:ext uri="{FF2B5EF4-FFF2-40B4-BE49-F238E27FC236}">
              <a16:creationId xmlns:a16="http://schemas.microsoft.com/office/drawing/2014/main" id="{6683F0BF-60D0-DE79-2EB6-52F34ACEFA3E}"/>
            </a:ext>
          </a:extLst>
        </xdr:cNvPr>
        <xdr:cNvPicPr>
          <a:picLocks noChangeAspect="1"/>
        </xdr:cNvPicPr>
      </xdr:nvPicPr>
      <xdr:blipFill>
        <a:blip xmlns:r="http://schemas.openxmlformats.org/officeDocument/2006/relationships" r:embed="rId6"/>
        <a:stretch>
          <a:fillRect/>
        </a:stretch>
      </xdr:blipFill>
      <xdr:spPr>
        <a:xfrm>
          <a:off x="0" y="11959706"/>
          <a:ext cx="10315575" cy="1679849"/>
        </a:xfrm>
        <a:prstGeom prst="rect">
          <a:avLst/>
        </a:prstGeom>
      </xdr:spPr>
    </xdr:pic>
    <xdr:clientData/>
  </xdr:twoCellAnchor>
  <xdr:twoCellAnchor>
    <xdr:from>
      <xdr:col>8</xdr:col>
      <xdr:colOff>600075</xdr:colOff>
      <xdr:row>67</xdr:row>
      <xdr:rowOff>123825</xdr:rowOff>
    </xdr:from>
    <xdr:to>
      <xdr:col>10</xdr:col>
      <xdr:colOff>19050</xdr:colOff>
      <xdr:row>75</xdr:row>
      <xdr:rowOff>38100</xdr:rowOff>
    </xdr:to>
    <xdr:sp macro="" textlink="">
      <xdr:nvSpPr>
        <xdr:cNvPr id="11" name="流程图: 过程 10">
          <a:extLst>
            <a:ext uri="{FF2B5EF4-FFF2-40B4-BE49-F238E27FC236}">
              <a16:creationId xmlns:a16="http://schemas.microsoft.com/office/drawing/2014/main" id="{1995D18C-FB61-414A-9C6C-ED54BE7DC6FC}"/>
            </a:ext>
          </a:extLst>
        </xdr:cNvPr>
        <xdr:cNvSpPr/>
      </xdr:nvSpPr>
      <xdr:spPr>
        <a:xfrm>
          <a:off x="9544050" y="12249150"/>
          <a:ext cx="790575" cy="13620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75</xdr:row>
      <xdr:rowOff>161925</xdr:rowOff>
    </xdr:from>
    <xdr:to>
      <xdr:col>10</xdr:col>
      <xdr:colOff>31489</xdr:colOff>
      <xdr:row>99</xdr:row>
      <xdr:rowOff>113692</xdr:rowOff>
    </xdr:to>
    <xdr:pic>
      <xdr:nvPicPr>
        <xdr:cNvPr id="12" name="图片 11">
          <a:extLst>
            <a:ext uri="{FF2B5EF4-FFF2-40B4-BE49-F238E27FC236}">
              <a16:creationId xmlns:a16="http://schemas.microsoft.com/office/drawing/2014/main" id="{EBC49C4B-4847-0E0F-AD0F-991681597DEA}"/>
            </a:ext>
          </a:extLst>
        </xdr:cNvPr>
        <xdr:cNvPicPr>
          <a:picLocks noChangeAspect="1"/>
        </xdr:cNvPicPr>
      </xdr:nvPicPr>
      <xdr:blipFill>
        <a:blip xmlns:r="http://schemas.openxmlformats.org/officeDocument/2006/relationships" r:embed="rId7"/>
        <a:stretch>
          <a:fillRect/>
        </a:stretch>
      </xdr:blipFill>
      <xdr:spPr>
        <a:xfrm>
          <a:off x="0" y="13735050"/>
          <a:ext cx="10347064" cy="4295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151192</xdr:rowOff>
    </xdr:from>
    <xdr:to>
      <xdr:col>9</xdr:col>
      <xdr:colOff>436694</xdr:colOff>
      <xdr:row>30</xdr:row>
      <xdr:rowOff>47023</xdr:rowOff>
    </xdr:to>
    <xdr:pic>
      <xdr:nvPicPr>
        <xdr:cNvPr id="2" name="图片 1">
          <a:extLst>
            <a:ext uri="{FF2B5EF4-FFF2-40B4-BE49-F238E27FC236}">
              <a16:creationId xmlns:a16="http://schemas.microsoft.com/office/drawing/2014/main" id="{499527D5-7A56-4935-BB77-B6C958AD767B}"/>
            </a:ext>
          </a:extLst>
        </xdr:cNvPr>
        <xdr:cNvPicPr>
          <a:picLocks noChangeAspect="1"/>
        </xdr:cNvPicPr>
      </xdr:nvPicPr>
      <xdr:blipFill>
        <a:blip xmlns:r="http://schemas.openxmlformats.org/officeDocument/2006/relationships" r:embed="rId1"/>
        <a:stretch>
          <a:fillRect/>
        </a:stretch>
      </xdr:blipFill>
      <xdr:spPr>
        <a:xfrm>
          <a:off x="0" y="1237042"/>
          <a:ext cx="10266494" cy="4239231"/>
        </a:xfrm>
        <a:prstGeom prst="rect">
          <a:avLst/>
        </a:prstGeom>
      </xdr:spPr>
    </xdr:pic>
    <xdr:clientData/>
  </xdr:twoCellAnchor>
  <xdr:twoCellAnchor editAs="oneCell">
    <xdr:from>
      <xdr:col>0</xdr:col>
      <xdr:colOff>0</xdr:colOff>
      <xdr:row>30</xdr:row>
      <xdr:rowOff>113249</xdr:rowOff>
    </xdr:from>
    <xdr:to>
      <xdr:col>7</xdr:col>
      <xdr:colOff>636708</xdr:colOff>
      <xdr:row>65</xdr:row>
      <xdr:rowOff>103732</xdr:rowOff>
    </xdr:to>
    <xdr:pic>
      <xdr:nvPicPr>
        <xdr:cNvPr id="3" name="图片 2">
          <a:extLst>
            <a:ext uri="{FF2B5EF4-FFF2-40B4-BE49-F238E27FC236}">
              <a16:creationId xmlns:a16="http://schemas.microsoft.com/office/drawing/2014/main" id="{F85E1892-6542-4DE9-A6C3-DEE6991751B0}"/>
            </a:ext>
          </a:extLst>
        </xdr:cNvPr>
        <xdr:cNvPicPr>
          <a:picLocks noChangeAspect="1"/>
        </xdr:cNvPicPr>
      </xdr:nvPicPr>
      <xdr:blipFill>
        <a:blip xmlns:r="http://schemas.openxmlformats.org/officeDocument/2006/relationships" r:embed="rId2"/>
        <a:stretch>
          <a:fillRect/>
        </a:stretch>
      </xdr:blipFill>
      <xdr:spPr>
        <a:xfrm>
          <a:off x="0" y="5542499"/>
          <a:ext cx="8894883" cy="6324608"/>
        </a:xfrm>
        <a:prstGeom prst="rect">
          <a:avLst/>
        </a:prstGeom>
      </xdr:spPr>
    </xdr:pic>
    <xdr:clientData/>
  </xdr:twoCellAnchor>
  <xdr:twoCellAnchor editAs="oneCell">
    <xdr:from>
      <xdr:col>0</xdr:col>
      <xdr:colOff>0</xdr:colOff>
      <xdr:row>65</xdr:row>
      <xdr:rowOff>38100</xdr:rowOff>
    </xdr:from>
    <xdr:to>
      <xdr:col>9</xdr:col>
      <xdr:colOff>217819</xdr:colOff>
      <xdr:row>79</xdr:row>
      <xdr:rowOff>85402</xdr:rowOff>
    </xdr:to>
    <xdr:pic>
      <xdr:nvPicPr>
        <xdr:cNvPr id="4" name="图片 3">
          <a:extLst>
            <a:ext uri="{FF2B5EF4-FFF2-40B4-BE49-F238E27FC236}">
              <a16:creationId xmlns:a16="http://schemas.microsoft.com/office/drawing/2014/main" id="{AD49AE66-A424-4694-88D2-920BACAEB92E}"/>
            </a:ext>
          </a:extLst>
        </xdr:cNvPr>
        <xdr:cNvPicPr>
          <a:picLocks noChangeAspect="1"/>
        </xdr:cNvPicPr>
      </xdr:nvPicPr>
      <xdr:blipFill>
        <a:blip xmlns:r="http://schemas.openxmlformats.org/officeDocument/2006/relationships" r:embed="rId3"/>
        <a:stretch>
          <a:fillRect/>
        </a:stretch>
      </xdr:blipFill>
      <xdr:spPr>
        <a:xfrm>
          <a:off x="0" y="11801475"/>
          <a:ext cx="10047619" cy="2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684333</xdr:colOff>
      <xdr:row>42</xdr:row>
      <xdr:rowOff>112515</xdr:rowOff>
    </xdr:to>
    <xdr:pic>
      <xdr:nvPicPr>
        <xdr:cNvPr id="2" name="图片 1">
          <a:extLst>
            <a:ext uri="{FF2B5EF4-FFF2-40B4-BE49-F238E27FC236}">
              <a16:creationId xmlns:a16="http://schemas.microsoft.com/office/drawing/2014/main" id="{3FB8EDF5-EA2E-4C24-9935-52C98923F068}"/>
            </a:ext>
          </a:extLst>
        </xdr:cNvPr>
        <xdr:cNvPicPr>
          <a:picLocks noChangeAspect="1"/>
        </xdr:cNvPicPr>
      </xdr:nvPicPr>
      <xdr:blipFill>
        <a:blip xmlns:r="http://schemas.openxmlformats.org/officeDocument/2006/relationships" r:embed="rId1"/>
        <a:stretch>
          <a:fillRect/>
        </a:stretch>
      </xdr:blipFill>
      <xdr:spPr>
        <a:xfrm>
          <a:off x="0" y="0"/>
          <a:ext cx="10285533" cy="7313415"/>
        </a:xfrm>
        <a:prstGeom prst="rect">
          <a:avLst/>
        </a:prstGeom>
      </xdr:spPr>
    </xdr:pic>
    <xdr:clientData/>
  </xdr:twoCellAnchor>
  <xdr:twoCellAnchor>
    <xdr:from>
      <xdr:col>0</xdr:col>
      <xdr:colOff>0</xdr:colOff>
      <xdr:row>30</xdr:row>
      <xdr:rowOff>104775</xdr:rowOff>
    </xdr:from>
    <xdr:to>
      <xdr:col>15</xdr:col>
      <xdr:colOff>47624</xdr:colOff>
      <xdr:row>78</xdr:row>
      <xdr:rowOff>132717</xdr:rowOff>
    </xdr:to>
    <xdr:grpSp>
      <xdr:nvGrpSpPr>
        <xdr:cNvPr id="3" name="组合 2">
          <a:extLst>
            <a:ext uri="{FF2B5EF4-FFF2-40B4-BE49-F238E27FC236}">
              <a16:creationId xmlns:a16="http://schemas.microsoft.com/office/drawing/2014/main" id="{FDED53F1-8014-4308-A5E7-10C0A5E1D949}"/>
            </a:ext>
          </a:extLst>
        </xdr:cNvPr>
        <xdr:cNvGrpSpPr/>
      </xdr:nvGrpSpPr>
      <xdr:grpSpPr>
        <a:xfrm>
          <a:off x="0" y="5248275"/>
          <a:ext cx="10334624" cy="8257542"/>
          <a:chOff x="0" y="0"/>
          <a:chExt cx="10334624" cy="8257542"/>
        </a:xfrm>
      </xdr:grpSpPr>
      <xdr:pic>
        <xdr:nvPicPr>
          <xdr:cNvPr id="4" name="图片 3">
            <a:extLst>
              <a:ext uri="{FF2B5EF4-FFF2-40B4-BE49-F238E27FC236}">
                <a16:creationId xmlns:a16="http://schemas.microsoft.com/office/drawing/2014/main" id="{C95A79BA-1D07-B5E8-1494-7B8800B6093A}"/>
              </a:ext>
            </a:extLst>
          </xdr:cNvPr>
          <xdr:cNvPicPr>
            <a:picLocks noChangeAspect="1"/>
          </xdr:cNvPicPr>
        </xdr:nvPicPr>
        <xdr:blipFill>
          <a:blip xmlns:r="http://schemas.openxmlformats.org/officeDocument/2006/relationships" r:embed="rId2"/>
          <a:stretch>
            <a:fillRect/>
          </a:stretch>
        </xdr:blipFill>
        <xdr:spPr>
          <a:xfrm>
            <a:off x="0" y="0"/>
            <a:ext cx="10287001" cy="2571750"/>
          </a:xfrm>
          <a:prstGeom prst="rect">
            <a:avLst/>
          </a:prstGeom>
        </xdr:spPr>
      </xdr:pic>
      <xdr:pic>
        <xdr:nvPicPr>
          <xdr:cNvPr id="5" name="图片 4">
            <a:extLst>
              <a:ext uri="{FF2B5EF4-FFF2-40B4-BE49-F238E27FC236}">
                <a16:creationId xmlns:a16="http://schemas.microsoft.com/office/drawing/2014/main" id="{22BD7B7A-18F5-E61D-2D5C-B21EF0E5D78B}"/>
              </a:ext>
            </a:extLst>
          </xdr:cNvPr>
          <xdr:cNvPicPr>
            <a:picLocks noChangeAspect="1"/>
          </xdr:cNvPicPr>
        </xdr:nvPicPr>
        <xdr:blipFill>
          <a:blip xmlns:r="http://schemas.openxmlformats.org/officeDocument/2006/relationships" r:embed="rId3"/>
          <a:stretch>
            <a:fillRect/>
          </a:stretch>
        </xdr:blipFill>
        <xdr:spPr>
          <a:xfrm>
            <a:off x="0" y="2593780"/>
            <a:ext cx="10264650" cy="1368620"/>
          </a:xfrm>
          <a:prstGeom prst="rect">
            <a:avLst/>
          </a:prstGeom>
        </xdr:spPr>
      </xdr:pic>
      <xdr:pic>
        <xdr:nvPicPr>
          <xdr:cNvPr id="6" name="图片 5">
            <a:extLst>
              <a:ext uri="{FF2B5EF4-FFF2-40B4-BE49-F238E27FC236}">
                <a16:creationId xmlns:a16="http://schemas.microsoft.com/office/drawing/2014/main" id="{62A1813D-8B56-9733-2023-8FA74FCE6CFE}"/>
              </a:ext>
            </a:extLst>
          </xdr:cNvPr>
          <xdr:cNvPicPr>
            <a:picLocks noChangeAspect="1"/>
          </xdr:cNvPicPr>
        </xdr:nvPicPr>
        <xdr:blipFill>
          <a:blip xmlns:r="http://schemas.openxmlformats.org/officeDocument/2006/relationships" r:embed="rId4"/>
          <a:stretch>
            <a:fillRect/>
          </a:stretch>
        </xdr:blipFill>
        <xdr:spPr>
          <a:xfrm>
            <a:off x="0" y="3845006"/>
            <a:ext cx="10334624" cy="4412536"/>
          </a:xfrm>
          <a:prstGeom prst="rect">
            <a:avLst/>
          </a:prstGeom>
        </xdr:spPr>
      </xdr:pic>
    </xdr:grpSp>
    <xdr:clientData/>
  </xdr:twoCellAnchor>
  <xdr:twoCellAnchor editAs="oneCell">
    <xdr:from>
      <xdr:col>0</xdr:col>
      <xdr:colOff>0</xdr:colOff>
      <xdr:row>78</xdr:row>
      <xdr:rowOff>152402</xdr:rowOff>
    </xdr:from>
    <xdr:to>
      <xdr:col>8</xdr:col>
      <xdr:colOff>666750</xdr:colOff>
      <xdr:row>100</xdr:row>
      <xdr:rowOff>30352</xdr:rowOff>
    </xdr:to>
    <xdr:pic>
      <xdr:nvPicPr>
        <xdr:cNvPr id="7" name="图片 6">
          <a:extLst>
            <a:ext uri="{FF2B5EF4-FFF2-40B4-BE49-F238E27FC236}">
              <a16:creationId xmlns:a16="http://schemas.microsoft.com/office/drawing/2014/main" id="{2FDB27AF-16A6-2E98-13BB-CBD39B84F508}"/>
            </a:ext>
          </a:extLst>
        </xdr:cNvPr>
        <xdr:cNvPicPr>
          <a:picLocks noChangeAspect="1"/>
        </xdr:cNvPicPr>
      </xdr:nvPicPr>
      <xdr:blipFill>
        <a:blip xmlns:r="http://schemas.openxmlformats.org/officeDocument/2006/relationships" r:embed="rId5"/>
        <a:stretch>
          <a:fillRect/>
        </a:stretch>
      </xdr:blipFill>
      <xdr:spPr>
        <a:xfrm>
          <a:off x="0" y="13525502"/>
          <a:ext cx="6153150" cy="3649850"/>
        </a:xfrm>
        <a:prstGeom prst="rect">
          <a:avLst/>
        </a:prstGeom>
      </xdr:spPr>
    </xdr:pic>
    <xdr:clientData/>
  </xdr:twoCellAnchor>
  <xdr:twoCellAnchor editAs="oneCell">
    <xdr:from>
      <xdr:col>0</xdr:col>
      <xdr:colOff>0</xdr:colOff>
      <xdr:row>99</xdr:row>
      <xdr:rowOff>48578</xdr:rowOff>
    </xdr:from>
    <xdr:to>
      <xdr:col>9</xdr:col>
      <xdr:colOff>57150</xdr:colOff>
      <xdr:row>113</xdr:row>
      <xdr:rowOff>74973</xdr:rowOff>
    </xdr:to>
    <xdr:pic>
      <xdr:nvPicPr>
        <xdr:cNvPr id="8" name="图片 7">
          <a:extLst>
            <a:ext uri="{FF2B5EF4-FFF2-40B4-BE49-F238E27FC236}">
              <a16:creationId xmlns:a16="http://schemas.microsoft.com/office/drawing/2014/main" id="{CCA7F98E-D8BF-6B71-9627-C786C51C6784}"/>
            </a:ext>
          </a:extLst>
        </xdr:cNvPr>
        <xdr:cNvPicPr>
          <a:picLocks noChangeAspect="1"/>
        </xdr:cNvPicPr>
      </xdr:nvPicPr>
      <xdr:blipFill>
        <a:blip xmlns:r="http://schemas.openxmlformats.org/officeDocument/2006/relationships" r:embed="rId6"/>
        <a:stretch>
          <a:fillRect/>
        </a:stretch>
      </xdr:blipFill>
      <xdr:spPr>
        <a:xfrm>
          <a:off x="0" y="17022128"/>
          <a:ext cx="6229350" cy="2426695"/>
        </a:xfrm>
        <a:prstGeom prst="rect">
          <a:avLst/>
        </a:prstGeom>
      </xdr:spPr>
    </xdr:pic>
    <xdr:clientData/>
  </xdr:twoCellAnchor>
  <xdr:twoCellAnchor editAs="oneCell">
    <xdr:from>
      <xdr:col>8</xdr:col>
      <xdr:colOff>619124</xdr:colOff>
      <xdr:row>78</xdr:row>
      <xdr:rowOff>104775</xdr:rowOff>
    </xdr:from>
    <xdr:to>
      <xdr:col>16</xdr:col>
      <xdr:colOff>186261</xdr:colOff>
      <xdr:row>94</xdr:row>
      <xdr:rowOff>149555</xdr:rowOff>
    </xdr:to>
    <xdr:pic>
      <xdr:nvPicPr>
        <xdr:cNvPr id="9" name="图片 8">
          <a:extLst>
            <a:ext uri="{FF2B5EF4-FFF2-40B4-BE49-F238E27FC236}">
              <a16:creationId xmlns:a16="http://schemas.microsoft.com/office/drawing/2014/main" id="{F5FB4D55-7BA0-F4D5-D495-1B39EB9BB796}"/>
            </a:ext>
          </a:extLst>
        </xdr:cNvPr>
        <xdr:cNvPicPr>
          <a:picLocks noChangeAspect="1"/>
        </xdr:cNvPicPr>
      </xdr:nvPicPr>
      <xdr:blipFill>
        <a:blip xmlns:r="http://schemas.openxmlformats.org/officeDocument/2006/relationships" r:embed="rId7"/>
        <a:stretch>
          <a:fillRect/>
        </a:stretch>
      </xdr:blipFill>
      <xdr:spPr>
        <a:xfrm>
          <a:off x="6105524" y="13477875"/>
          <a:ext cx="5053537" cy="2787980"/>
        </a:xfrm>
        <a:prstGeom prst="rect">
          <a:avLst/>
        </a:prstGeom>
      </xdr:spPr>
    </xdr:pic>
    <xdr:clientData/>
  </xdr:twoCellAnchor>
  <xdr:twoCellAnchor editAs="oneCell">
    <xdr:from>
      <xdr:col>0</xdr:col>
      <xdr:colOff>0</xdr:colOff>
      <xdr:row>150</xdr:row>
      <xdr:rowOff>142875</xdr:rowOff>
    </xdr:from>
    <xdr:to>
      <xdr:col>10</xdr:col>
      <xdr:colOff>51832</xdr:colOff>
      <xdr:row>170</xdr:row>
      <xdr:rowOff>28575</xdr:rowOff>
    </xdr:to>
    <xdr:pic>
      <xdr:nvPicPr>
        <xdr:cNvPr id="10" name="图片 9">
          <a:extLst>
            <a:ext uri="{FF2B5EF4-FFF2-40B4-BE49-F238E27FC236}">
              <a16:creationId xmlns:a16="http://schemas.microsoft.com/office/drawing/2014/main" id="{A4EA055F-9280-B5BE-2624-B3AB3C7E829B}"/>
            </a:ext>
          </a:extLst>
        </xdr:cNvPr>
        <xdr:cNvPicPr>
          <a:picLocks noChangeAspect="1"/>
        </xdr:cNvPicPr>
      </xdr:nvPicPr>
      <xdr:blipFill>
        <a:blip xmlns:r="http://schemas.openxmlformats.org/officeDocument/2006/relationships" r:embed="rId8"/>
        <a:stretch>
          <a:fillRect/>
        </a:stretch>
      </xdr:blipFill>
      <xdr:spPr>
        <a:xfrm>
          <a:off x="0" y="25860375"/>
          <a:ext cx="6909832" cy="3314700"/>
        </a:xfrm>
        <a:prstGeom prst="rect">
          <a:avLst/>
        </a:prstGeom>
      </xdr:spPr>
    </xdr:pic>
    <xdr:clientData/>
  </xdr:twoCellAnchor>
  <xdr:twoCellAnchor editAs="oneCell">
    <xdr:from>
      <xdr:col>0</xdr:col>
      <xdr:colOff>0</xdr:colOff>
      <xdr:row>113</xdr:row>
      <xdr:rowOff>57150</xdr:rowOff>
    </xdr:from>
    <xdr:to>
      <xdr:col>10</xdr:col>
      <xdr:colOff>47625</xdr:colOff>
      <xdr:row>132</xdr:row>
      <xdr:rowOff>18968</xdr:rowOff>
    </xdr:to>
    <xdr:pic>
      <xdr:nvPicPr>
        <xdr:cNvPr id="12" name="图片 11">
          <a:extLst>
            <a:ext uri="{FF2B5EF4-FFF2-40B4-BE49-F238E27FC236}">
              <a16:creationId xmlns:a16="http://schemas.microsoft.com/office/drawing/2014/main" id="{8E321AEA-8610-D324-07BC-1E2D792FF3A6}"/>
            </a:ext>
          </a:extLst>
        </xdr:cNvPr>
        <xdr:cNvPicPr>
          <a:picLocks noChangeAspect="1"/>
        </xdr:cNvPicPr>
      </xdr:nvPicPr>
      <xdr:blipFill>
        <a:blip xmlns:r="http://schemas.openxmlformats.org/officeDocument/2006/relationships" r:embed="rId9"/>
        <a:stretch>
          <a:fillRect/>
        </a:stretch>
      </xdr:blipFill>
      <xdr:spPr>
        <a:xfrm>
          <a:off x="0" y="19431000"/>
          <a:ext cx="6905625" cy="3219368"/>
        </a:xfrm>
        <a:prstGeom prst="rect">
          <a:avLst/>
        </a:prstGeom>
      </xdr:spPr>
    </xdr:pic>
    <xdr:clientData/>
  </xdr:twoCellAnchor>
  <xdr:twoCellAnchor editAs="oneCell">
    <xdr:from>
      <xdr:col>0</xdr:col>
      <xdr:colOff>0</xdr:colOff>
      <xdr:row>132</xdr:row>
      <xdr:rowOff>0</xdr:rowOff>
    </xdr:from>
    <xdr:to>
      <xdr:col>10</xdr:col>
      <xdr:colOff>30426</xdr:colOff>
      <xdr:row>151</xdr:row>
      <xdr:rowOff>5686</xdr:rowOff>
    </xdr:to>
    <xdr:pic>
      <xdr:nvPicPr>
        <xdr:cNvPr id="13" name="图片 12">
          <a:extLst>
            <a:ext uri="{FF2B5EF4-FFF2-40B4-BE49-F238E27FC236}">
              <a16:creationId xmlns:a16="http://schemas.microsoft.com/office/drawing/2014/main" id="{94414E15-4806-5920-6C8E-3109ED70D1BF}"/>
            </a:ext>
          </a:extLst>
        </xdr:cNvPr>
        <xdr:cNvPicPr>
          <a:picLocks noChangeAspect="1"/>
        </xdr:cNvPicPr>
      </xdr:nvPicPr>
      <xdr:blipFill>
        <a:blip xmlns:r="http://schemas.openxmlformats.org/officeDocument/2006/relationships" r:embed="rId10"/>
        <a:stretch>
          <a:fillRect/>
        </a:stretch>
      </xdr:blipFill>
      <xdr:spPr>
        <a:xfrm>
          <a:off x="0" y="22631400"/>
          <a:ext cx="6888426" cy="3263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390525</xdr:colOff>
      <xdr:row>23</xdr:row>
      <xdr:rowOff>152400</xdr:rowOff>
    </xdr:from>
    <xdr:to>
      <xdr:col>10</xdr:col>
      <xdr:colOff>142630</xdr:colOff>
      <xdr:row>37</xdr:row>
      <xdr:rowOff>37814</xdr:rowOff>
    </xdr:to>
    <xdr:pic>
      <xdr:nvPicPr>
        <xdr:cNvPr id="2" name="图片 1">
          <a:extLst>
            <a:ext uri="{FF2B5EF4-FFF2-40B4-BE49-F238E27FC236}">
              <a16:creationId xmlns:a16="http://schemas.microsoft.com/office/drawing/2014/main" id="{8190B083-62E2-5D7D-BA84-F20557CE6AFD}"/>
            </a:ext>
          </a:extLst>
        </xdr:cNvPr>
        <xdr:cNvPicPr>
          <a:picLocks noChangeAspect="1"/>
        </xdr:cNvPicPr>
      </xdr:nvPicPr>
      <xdr:blipFill>
        <a:blip xmlns:r="http://schemas.openxmlformats.org/officeDocument/2006/relationships" r:embed="rId1"/>
        <a:stretch>
          <a:fillRect/>
        </a:stretch>
      </xdr:blipFill>
      <xdr:spPr>
        <a:xfrm>
          <a:off x="5715000" y="4257675"/>
          <a:ext cx="1961905" cy="2285714"/>
        </a:xfrm>
        <a:prstGeom prst="rect">
          <a:avLst/>
        </a:prstGeom>
      </xdr:spPr>
    </xdr:pic>
    <xdr:clientData/>
  </xdr:twoCellAnchor>
  <xdr:twoCellAnchor editAs="oneCell">
    <xdr:from>
      <xdr:col>4</xdr:col>
      <xdr:colOff>666750</xdr:colOff>
      <xdr:row>23</xdr:row>
      <xdr:rowOff>133350</xdr:rowOff>
    </xdr:from>
    <xdr:to>
      <xdr:col>6</xdr:col>
      <xdr:colOff>647480</xdr:colOff>
      <xdr:row>36</xdr:row>
      <xdr:rowOff>123548</xdr:rowOff>
    </xdr:to>
    <xdr:pic>
      <xdr:nvPicPr>
        <xdr:cNvPr id="3" name="图片 2">
          <a:extLst>
            <a:ext uri="{FF2B5EF4-FFF2-40B4-BE49-F238E27FC236}">
              <a16:creationId xmlns:a16="http://schemas.microsoft.com/office/drawing/2014/main" id="{1DDBCA85-44F1-DAC8-251F-C649AFB16E21}"/>
            </a:ext>
          </a:extLst>
        </xdr:cNvPr>
        <xdr:cNvPicPr>
          <a:picLocks noChangeAspect="1"/>
        </xdr:cNvPicPr>
      </xdr:nvPicPr>
      <xdr:blipFill>
        <a:blip xmlns:r="http://schemas.openxmlformats.org/officeDocument/2006/relationships" r:embed="rId2"/>
        <a:stretch>
          <a:fillRect/>
        </a:stretch>
      </xdr:blipFill>
      <xdr:spPr>
        <a:xfrm>
          <a:off x="3409950" y="4238625"/>
          <a:ext cx="1761905" cy="22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171450</xdr:colOff>
      <xdr:row>0</xdr:row>
      <xdr:rowOff>0</xdr:rowOff>
    </xdr:from>
    <xdr:to>
      <xdr:col>28</xdr:col>
      <xdr:colOff>580031</xdr:colOff>
      <xdr:row>1</xdr:row>
      <xdr:rowOff>104720</xdr:rowOff>
    </xdr:to>
    <xdr:pic>
      <xdr:nvPicPr>
        <xdr:cNvPr id="2" name="图片 1">
          <a:extLst>
            <a:ext uri="{FF2B5EF4-FFF2-40B4-BE49-F238E27FC236}">
              <a16:creationId xmlns:a16="http://schemas.microsoft.com/office/drawing/2014/main" id="{12309F72-BDC0-E80B-3798-222055E5CAC6}"/>
            </a:ext>
          </a:extLst>
        </xdr:cNvPr>
        <xdr:cNvPicPr>
          <a:picLocks noChangeAspect="1"/>
        </xdr:cNvPicPr>
      </xdr:nvPicPr>
      <xdr:blipFill>
        <a:blip xmlns:r="http://schemas.openxmlformats.org/officeDocument/2006/relationships" r:embed="rId1"/>
        <a:stretch>
          <a:fillRect/>
        </a:stretch>
      </xdr:blipFill>
      <xdr:spPr>
        <a:xfrm>
          <a:off x="11830050" y="0"/>
          <a:ext cx="7952381" cy="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6242;&#26102;&#25601;&#32622;/&#20445;&#26124;&#29031;&#29255;/&#12304;2024&#12305;&#23545;&#20844;&#20107;&#19994;&#37096;&#8212;&#30005;&#31639;&#34920;-&#25151;&#22320;&#20135;0702.%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华润·未来城市"/>
      <sheetName val="未来科学城"/>
      <sheetName val="昌平绿地中央广场"/>
      <sheetName val="未来中心"/>
      <sheetName val="东方蓝海"/>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案例"/>
      <sheetName val="土地比较法-住宅、综合"/>
      <sheetName val="假设开发法"/>
      <sheetName val="商业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办公收益法"/>
      <sheetName val="酒店收益法"/>
      <sheetName val="地下车库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商业收益法</v>
          </cell>
        </row>
        <row r="20">
          <cell r="A20" t="str">
            <v>食堂</v>
          </cell>
          <cell r="B20" t="str">
            <v>办公收益法</v>
          </cell>
        </row>
        <row r="21">
          <cell r="A21" t="str">
            <v>车库</v>
          </cell>
          <cell r="B21" t="str">
            <v>酒店收益法</v>
          </cell>
        </row>
        <row r="22">
          <cell r="A22" t="str">
            <v>戊类库房</v>
          </cell>
          <cell r="B22" t="str">
            <v>地下车库收益法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酒店</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5" refreshError="1"/>
      <sheetData sheetId="16" refreshError="1"/>
      <sheetData sheetId="17" refreshError="1"/>
      <sheetData sheetId="18" refreshError="1"/>
      <sheetData sheetId="19">
        <row r="17">
          <cell r="C17" t="str">
            <v>项目类型</v>
          </cell>
        </row>
        <row r="19">
          <cell r="C19" t="str">
            <v>办公1、3、4、5</v>
          </cell>
        </row>
        <row r="20">
          <cell r="C20" t="str">
            <v>酒店2</v>
          </cell>
        </row>
        <row r="21">
          <cell r="C21" t="str">
            <v>商业6</v>
          </cell>
        </row>
        <row r="22">
          <cell r="C22" t="str">
            <v>地下车库</v>
          </cell>
        </row>
      </sheetData>
      <sheetData sheetId="2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1" refreshError="1"/>
      <sheetData sheetId="22" refreshError="1"/>
      <sheetData sheetId="23" refreshError="1"/>
      <sheetData sheetId="24" refreshError="1"/>
      <sheetData sheetId="25" refreshError="1"/>
      <sheetData sheetId="26" refreshError="1"/>
      <sheetData sheetId="27">
        <row r="72">
          <cell r="A72" t="str">
            <v>交易情况</v>
          </cell>
          <cell r="C72" t="str">
            <v>正常</v>
          </cell>
        </row>
        <row r="74">
          <cell r="B74" t="str">
            <v>用途</v>
          </cell>
          <cell r="C74" t="str">
            <v>商业</v>
          </cell>
        </row>
        <row r="105">
          <cell r="B105" t="str">
            <v>毗邻道路的类型与等级</v>
          </cell>
        </row>
        <row r="107">
          <cell r="B107" t="str">
            <v>土地级别</v>
          </cell>
        </row>
        <row r="118">
          <cell r="B118" t="str">
            <v>宗地形状</v>
          </cell>
          <cell r="C118" t="str">
            <v>较规则</v>
          </cell>
        </row>
        <row r="120">
          <cell r="B120" t="str">
            <v>临街宽度及深度</v>
          </cell>
          <cell r="C120" t="str">
            <v>较适宜</v>
          </cell>
        </row>
        <row r="122">
          <cell r="B122" t="str">
            <v>宗地开发程度</v>
          </cell>
          <cell r="C122" t="str">
            <v>七通</v>
          </cell>
        </row>
        <row r="124">
          <cell r="B124" t="str">
            <v>工程地质条件</v>
          </cell>
          <cell r="C124" t="str">
            <v>较好</v>
          </cell>
        </row>
      </sheetData>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efreshError="1"/>
      <sheetData sheetId="40" refreshError="1"/>
      <sheetData sheetId="41" refreshError="1"/>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北京市房地产抵押价值预评估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受贵公司委托，我公司对北京市房地产抵押价值进行了预评估。</v>
      </c>
    </row>
    <row r="7" spans="1:2">
      <c r="A7" s="1114" t="s">
        <v>566</v>
      </c>
      <c r="B7" s="1115" t="str">
        <f>'预评函-1'!A7</f>
        <v>估价对象为北京市房地产，为所有。根据《国有土地使用证》[]，估价对象（分摊）出让国有建设用地使用权面积为28700平方米，建筑面积为232700.46平方米。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估价对象为北京市房地产,属开发建设的，该项目尚在开发建设中。根据《国有土地使用证》[]，估价对象（分摊）出让国有建设用地使用权面积为28700平方米，规划建筑面积为232700.46平方米。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2024年7月19日（评估专业人员实地查勘之日）</v>
      </c>
    </row>
    <row r="13" spans="1:2">
      <c r="A13" s="1114" t="s">
        <v>529</v>
      </c>
      <c r="B13" s="1115" t="str">
        <f>'预评函-1'!A18</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5" thickBot="1">
      <c r="A18" s="1117" t="s">
        <v>534</v>
      </c>
      <c r="B18" s="1118" t="str">
        <f>'预评函-1'!A24</f>
        <v>本次评估采用的主估价方法为成本法和收益法。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t="e">
        <f ca="1">'预评函-2'!D5</f>
        <v>#REF!</v>
      </c>
    </row>
    <row r="21" spans="1:2">
      <c r="A21" s="1114" t="s">
        <v>537</v>
      </c>
      <c r="B21" s="1115" t="e">
        <f ca="1">'预评函-2'!D7</f>
        <v>#REF!</v>
      </c>
    </row>
    <row r="22" spans="1:2">
      <c r="A22" s="1114" t="s">
        <v>538</v>
      </c>
      <c r="B22" s="1115" t="e">
        <f ca="1">'预评函-2'!D6</f>
        <v>#REF!</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t="e">
        <f ca="1">'预评函-2'!D13</f>
        <v>#REF!</v>
      </c>
    </row>
    <row r="31" spans="1:2">
      <c r="A31" s="1114" t="s">
        <v>576</v>
      </c>
      <c r="B31" s="1115" t="e">
        <f ca="1">'预评函-2'!D15</f>
        <v>#REF!</v>
      </c>
    </row>
    <row r="32" spans="1:2">
      <c r="A32" s="1114" t="s">
        <v>543</v>
      </c>
      <c r="B32" s="1115" t="e">
        <f ca="1">'预评函-2'!D14</f>
        <v>#REF!</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c r="A42" s="1114" t="s">
        <v>590</v>
      </c>
      <c r="B42" s="1115" t="str">
        <f>'预评函-3'!B2</f>
        <v>建筑面积</v>
      </c>
    </row>
    <row r="43" spans="1:2">
      <c r="A43" s="1114" t="s">
        <v>591</v>
      </c>
      <c r="B43" s="1115">
        <f>'预评函-3'!B4</f>
        <v>232700.46000000008</v>
      </c>
    </row>
    <row r="44" spans="1:2">
      <c r="A44" s="1114" t="s">
        <v>575</v>
      </c>
      <c r="B44" s="1115" t="str">
        <f>'预评函-3'!C2</f>
        <v>(分摊)土地面积</v>
      </c>
    </row>
    <row r="45" spans="1:2">
      <c r="A45" s="1114" t="s">
        <v>547</v>
      </c>
      <c r="B45" s="1115">
        <f>'预评函-3'!C4</f>
        <v>28700</v>
      </c>
    </row>
    <row r="46" spans="1:2">
      <c r="A46" s="1114" t="s">
        <v>573</v>
      </c>
      <c r="B46" s="1115" t="str">
        <f>'预评函-3'!D2</f>
        <v>出让国有建设用地使用权价值</v>
      </c>
    </row>
    <row r="47" spans="1:2">
      <c r="A47" s="1114" t="s">
        <v>548</v>
      </c>
      <c r="B47" s="1115" t="e">
        <f ca="1">'预评函-3'!D4</f>
        <v>#REF!</v>
      </c>
    </row>
    <row r="48" spans="1:2">
      <c r="A48" s="1114" t="s">
        <v>549</v>
      </c>
      <c r="B48" s="1115" t="e">
        <f ca="1">'预评函-3'!E4</f>
        <v>#REF!</v>
      </c>
    </row>
    <row r="49" spans="1:2">
      <c r="A49" s="1114" t="s">
        <v>550</v>
      </c>
      <c r="B49" s="1115" t="e">
        <f ca="1">'预评函-3'!D5</f>
        <v>#REF!</v>
      </c>
    </row>
    <row r="50" spans="1:2">
      <c r="A50" s="1114" t="s">
        <v>574</v>
      </c>
      <c r="B50" s="1115" t="str">
        <f>'预评函-3'!F2</f>
        <v>在建建筑物价值</v>
      </c>
    </row>
    <row r="51" spans="1:2">
      <c r="A51" s="1114" t="s">
        <v>551</v>
      </c>
      <c r="B51" s="1115" t="e">
        <f ca="1">'预评函-3'!F4</f>
        <v>#REF!</v>
      </c>
    </row>
    <row r="52" spans="1:2">
      <c r="A52" s="1114" t="s">
        <v>552</v>
      </c>
      <c r="B52" s="1115" t="e">
        <f ca="1">'预评函-3'!G4</f>
        <v>#REF!</v>
      </c>
    </row>
    <row r="53" spans="1:2">
      <c r="A53" s="1114" t="s">
        <v>580</v>
      </c>
      <c r="B53" s="1115" t="e">
        <f ca="1">'预评函-3'!F5</f>
        <v>#REF!</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2489</v>
      </c>
      <c r="B1" s="2750"/>
      <c r="C1" s="2750"/>
      <c r="D1" s="2750"/>
      <c r="E1" s="2750"/>
      <c r="F1" s="2751"/>
      <c r="I1" s="3128" t="s">
        <v>2582</v>
      </c>
      <c r="J1" s="2776"/>
      <c r="K1" s="2776"/>
      <c r="L1" s="2776"/>
      <c r="M1" s="2776"/>
      <c r="N1" s="2961"/>
      <c r="O1" s="2961"/>
      <c r="P1" s="2961"/>
      <c r="Q1" s="2961"/>
      <c r="R1" s="2961"/>
    </row>
    <row r="2" spans="1:18">
      <c r="A2" s="2753"/>
      <c r="B2" s="2754"/>
      <c r="C2" s="2754"/>
      <c r="D2" s="2754"/>
      <c r="E2" s="2754"/>
      <c r="F2" s="2755"/>
      <c r="I2" s="3243" t="s">
        <v>2569</v>
      </c>
      <c r="J2" s="3243"/>
      <c r="K2" s="3243"/>
      <c r="L2" s="3243"/>
      <c r="M2" s="3243"/>
      <c r="N2" s="3243"/>
      <c r="O2" s="3243"/>
      <c r="P2" s="3243"/>
      <c r="Q2" s="3243"/>
      <c r="R2" s="3243"/>
    </row>
    <row r="3" spans="1:18">
      <c r="A3" s="2756" t="s">
        <v>2490</v>
      </c>
      <c r="B3" s="2757">
        <f>项目基本情况!D3</f>
        <v>45492</v>
      </c>
      <c r="C3" s="2759"/>
      <c r="D3" s="2759"/>
      <c r="E3" s="2759"/>
      <c r="F3" s="2755"/>
      <c r="I3" s="2771"/>
      <c r="J3" s="2771" t="s">
        <v>2573</v>
      </c>
      <c r="K3" s="2771" t="s">
        <v>2574</v>
      </c>
      <c r="L3" s="2771" t="s">
        <v>2575</v>
      </c>
      <c r="M3" s="2771" t="s">
        <v>2576</v>
      </c>
      <c r="N3" s="3129" t="s">
        <v>2577</v>
      </c>
      <c r="O3" s="3129" t="s">
        <v>2578</v>
      </c>
      <c r="P3" s="3129" t="s">
        <v>2579</v>
      </c>
      <c r="Q3" s="3129" t="s">
        <v>2580</v>
      </c>
      <c r="R3" s="3129" t="s">
        <v>2581</v>
      </c>
    </row>
    <row r="4" spans="1:18">
      <c r="A4" s="2756" t="s">
        <v>2491</v>
      </c>
      <c r="B4" s="2759" t="s">
        <v>2492</v>
      </c>
      <c r="C4" s="2759" t="s">
        <v>2493</v>
      </c>
      <c r="D4" s="2759" t="s">
        <v>2494</v>
      </c>
      <c r="E4" s="2759" t="s">
        <v>2495</v>
      </c>
      <c r="F4" s="2755"/>
      <c r="I4" s="2771" t="s">
        <v>2570</v>
      </c>
      <c r="J4" s="2771">
        <v>80</v>
      </c>
      <c r="K4" s="2771">
        <v>70</v>
      </c>
      <c r="L4" s="2771">
        <v>20</v>
      </c>
      <c r="M4" s="2771">
        <v>30</v>
      </c>
      <c r="N4" s="2759">
        <v>45</v>
      </c>
      <c r="O4" s="2759">
        <v>60</v>
      </c>
      <c r="P4" s="2759">
        <v>50</v>
      </c>
      <c r="Q4" s="2759">
        <v>20</v>
      </c>
      <c r="R4" s="2759">
        <v>375</v>
      </c>
    </row>
    <row r="5" spans="1:18">
      <c r="A5" s="2760">
        <v>40</v>
      </c>
      <c r="B5" s="2757">
        <v>46375</v>
      </c>
      <c r="C5" s="2759">
        <f>ROUNDDOWN(MIN((B5-B3)/365,A5),2)</f>
        <v>2.41</v>
      </c>
      <c r="D5" s="2761">
        <f>IF(ISERROR(ROUND(POWER(1+E5,A5-C5)*(POWER(1+E5,C5)-1)/(POWER(1+E5,A5)-1),3)),0,ROUND(POWER(1+E5,A5-C5)*(POWER(1+E5,C5)-1)/(POWER(1+E5,A5)-1),4))</f>
        <v>0.1139</v>
      </c>
      <c r="E5" s="2762">
        <v>0.04</v>
      </c>
      <c r="F5" s="2755"/>
      <c r="I5" s="2771" t="s">
        <v>2571</v>
      </c>
      <c r="J5" s="2771">
        <v>70</v>
      </c>
      <c r="K5" s="2771">
        <v>60</v>
      </c>
      <c r="L5" s="2771">
        <v>15</v>
      </c>
      <c r="M5" s="2771">
        <v>25</v>
      </c>
      <c r="N5" s="2759">
        <v>40</v>
      </c>
      <c r="O5" s="2759">
        <v>50</v>
      </c>
      <c r="P5" s="2759">
        <v>40</v>
      </c>
      <c r="Q5" s="2759">
        <v>15</v>
      </c>
      <c r="R5" s="2759">
        <v>315</v>
      </c>
    </row>
    <row r="6" spans="1:18">
      <c r="A6" s="2760">
        <v>50</v>
      </c>
      <c r="B6" s="2757">
        <v>50028</v>
      </c>
      <c r="C6" s="2759">
        <f>ROUNDDOWN(MIN((B6-B3)/365,A6),2)</f>
        <v>12.42</v>
      </c>
      <c r="D6" s="2761">
        <f>IF(ISERROR(ROUND(POWER(1+E6,A6-C6)*(POWER(1+E6,C6)-1)/(POWER(1+E6,A6)-1),3)),0,ROUND(POWER(1+E6,A6-C6)*(POWER(1+E6,C6)-1)/(POWER(1+E6,A6)-1),4))</f>
        <v>0.44879999999999998</v>
      </c>
      <c r="E6" s="2762">
        <v>0.04</v>
      </c>
      <c r="F6" s="2755"/>
      <c r="I6" s="2771" t="s">
        <v>2572</v>
      </c>
      <c r="J6" s="2771">
        <v>60</v>
      </c>
      <c r="K6" s="2771">
        <v>50</v>
      </c>
      <c r="L6" s="2771">
        <v>10</v>
      </c>
      <c r="M6" s="2771">
        <v>20</v>
      </c>
      <c r="N6" s="2759">
        <v>35</v>
      </c>
      <c r="O6" s="2759">
        <v>40</v>
      </c>
      <c r="P6" s="2759">
        <v>30</v>
      </c>
      <c r="Q6" s="2759">
        <v>10</v>
      </c>
      <c r="R6" s="2759">
        <v>255</v>
      </c>
    </row>
    <row r="7" spans="1:18">
      <c r="A7" s="2760">
        <v>70</v>
      </c>
      <c r="B7" s="2757">
        <v>57333</v>
      </c>
      <c r="C7" s="2759">
        <f>ROUNDDOWN(MIN((B7-B3)/365,A7),2)</f>
        <v>32.44</v>
      </c>
      <c r="D7" s="2761">
        <f>IF(ISERROR(ROUND(POWER(1+E7,A7-C7)*(POWER(1+E7,C7)-1)/(POWER(1+E7,A7)-1),3)),0,ROUND(POWER(1+E7,A7-C7)*(POWER(1+E7,C7)-1)/(POWER(1+E7,A7)-1),4))</f>
        <v>0.76919999999999999</v>
      </c>
      <c r="E7" s="2762">
        <v>0.04</v>
      </c>
      <c r="F7" s="2755"/>
    </row>
    <row r="8" spans="1:18">
      <c r="A8" s="2753"/>
      <c r="B8" s="2754"/>
      <c r="C8" s="2754"/>
      <c r="D8" s="2754"/>
      <c r="E8" s="2754"/>
      <c r="F8" s="2755"/>
    </row>
    <row r="9" spans="1:18">
      <c r="A9" s="2756" t="s">
        <v>2496</v>
      </c>
      <c r="B9" s="2759"/>
      <c r="C9" s="2759"/>
      <c r="D9" s="2759"/>
      <c r="E9" s="2759"/>
      <c r="F9" s="2763"/>
    </row>
    <row r="10" spans="1:18">
      <c r="A10" s="2756" t="s">
        <v>2497</v>
      </c>
      <c r="B10" s="2759"/>
      <c r="C10" s="2759"/>
      <c r="D10" s="2759" t="s">
        <v>2495</v>
      </c>
      <c r="E10" s="2759"/>
      <c r="F10" s="2763" t="s">
        <v>2494</v>
      </c>
    </row>
    <row r="11" spans="1:18">
      <c r="A11" s="2756" t="s">
        <v>2498</v>
      </c>
      <c r="B11" s="2764">
        <v>70</v>
      </c>
      <c r="C11" s="2759" t="s">
        <v>2499</v>
      </c>
      <c r="D11" s="2764">
        <v>4.4999999999999998E-2</v>
      </c>
      <c r="E11" s="2759" t="s">
        <v>2500</v>
      </c>
      <c r="F11" s="2765">
        <f>ROUND(1-(1/(POWER(1+D11,B11))),4)</f>
        <v>0.95409999999999995</v>
      </c>
    </row>
    <row r="12" spans="1:18">
      <c r="A12" s="2756" t="s">
        <v>2501</v>
      </c>
      <c r="B12" s="2764">
        <v>40</v>
      </c>
      <c r="C12" s="2759" t="s">
        <v>2502</v>
      </c>
      <c r="D12" s="2764">
        <v>4.4999999999999998E-2</v>
      </c>
      <c r="E12" s="2759" t="s">
        <v>2503</v>
      </c>
      <c r="F12" s="2765">
        <f>ROUND(1-(1/(POWER(1+D12,B12))),4)</f>
        <v>0.82809999999999995</v>
      </c>
    </row>
    <row r="13" spans="1:18">
      <c r="A13" s="2756" t="s">
        <v>2504</v>
      </c>
      <c r="B13" s="2759"/>
      <c r="C13" s="2759"/>
      <c r="D13" s="2754"/>
      <c r="E13" s="2754"/>
      <c r="F13" s="2755"/>
    </row>
    <row r="14" spans="1:18">
      <c r="A14" s="2756" t="s">
        <v>2505</v>
      </c>
      <c r="B14" s="2764">
        <v>5000</v>
      </c>
      <c r="C14" s="2758"/>
      <c r="D14" s="2754"/>
      <c r="E14" s="2754"/>
      <c r="F14" s="2755"/>
    </row>
    <row r="15" spans="1:18">
      <c r="A15" s="2756" t="s">
        <v>2506</v>
      </c>
      <c r="B15" s="2759">
        <f>ROUND(B14*F12/F11,2)</f>
        <v>4339.6899999999996</v>
      </c>
      <c r="C15" s="2759">
        <f>ROUND(F12/F11,4)</f>
        <v>0.8679</v>
      </c>
      <c r="D15" s="2754"/>
      <c r="E15" s="2754"/>
      <c r="F15" s="2755"/>
    </row>
    <row r="16" spans="1:18">
      <c r="A16" s="2756" t="s">
        <v>2507</v>
      </c>
      <c r="B16" s="2759"/>
      <c r="C16" s="2759"/>
      <c r="D16" s="2754"/>
      <c r="E16" s="2754"/>
      <c r="F16" s="2755"/>
    </row>
    <row r="17" spans="1:13">
      <c r="A17" s="2756" t="s">
        <v>2506</v>
      </c>
      <c r="B17" s="2764">
        <v>4810</v>
      </c>
      <c r="C17" s="2758"/>
      <c r="D17" s="2754"/>
      <c r="E17" s="2754"/>
      <c r="F17" s="2755"/>
    </row>
    <row r="18" spans="1:13" ht="14.25" thickBot="1">
      <c r="A18" s="2766" t="s">
        <v>2505</v>
      </c>
      <c r="B18" s="2767">
        <f>ROUND(B17*F11/F12,2)</f>
        <v>5541.87</v>
      </c>
      <c r="C18" s="2767">
        <f>ROUND(F11/F12,4)</f>
        <v>1.1521999999999999</v>
      </c>
      <c r="D18" s="2768"/>
      <c r="E18" s="2768"/>
      <c r="F18" s="2769"/>
    </row>
    <row r="19" spans="1:13" ht="14.25" thickBot="1"/>
    <row r="20" spans="1:13" s="2802" customFormat="1" ht="14.25" thickTop="1">
      <c r="A20" s="2799" t="s">
        <v>2508</v>
      </c>
      <c r="B20" s="2800"/>
      <c r="C20" s="2800"/>
      <c r="D20" s="2800"/>
      <c r="E20" s="2800"/>
      <c r="F20" s="2800"/>
      <c r="G20" s="2801"/>
      <c r="I20" s="2803" t="s">
        <v>2553</v>
      </c>
      <c r="J20" s="2803" t="s">
        <v>2558</v>
      </c>
      <c r="K20" s="2803"/>
      <c r="L20" s="2803"/>
      <c r="M20" s="2803"/>
    </row>
    <row r="21" spans="1:13">
      <c r="A21" s="2770"/>
      <c r="B21" s="2771" t="s">
        <v>2509</v>
      </c>
      <c r="C21" s="2771" t="s">
        <v>2510</v>
      </c>
      <c r="D21" s="2771" t="s">
        <v>2511</v>
      </c>
      <c r="E21" s="2771" t="s">
        <v>2512</v>
      </c>
      <c r="F21" s="2771" t="s">
        <v>2513</v>
      </c>
      <c r="G21" s="2772" t="s">
        <v>2514</v>
      </c>
      <c r="I21" s="2793">
        <v>5</v>
      </c>
      <c r="J21" s="2793">
        <v>54.2</v>
      </c>
    </row>
    <row r="22" spans="1:13">
      <c r="A22" s="2770" t="s">
        <v>2515</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2516</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2556</v>
      </c>
      <c r="M23" s="2793" t="s">
        <v>2557</v>
      </c>
    </row>
    <row r="24" spans="1:13">
      <c r="A24" s="2770" t="s">
        <v>2517</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2555</v>
      </c>
      <c r="M24" s="2793">
        <v>10</v>
      </c>
    </row>
    <row r="25" spans="1:13">
      <c r="A25" s="2770" t="s">
        <v>2518</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2559</v>
      </c>
      <c r="M25" s="2793">
        <v>8</v>
      </c>
    </row>
    <row r="26" spans="1:13">
      <c r="A26" s="2775"/>
      <c r="B26" s="2776"/>
      <c r="C26" s="2776"/>
      <c r="D26" s="2776"/>
      <c r="E26" s="2776"/>
      <c r="F26" s="2776"/>
      <c r="G26" s="2777"/>
      <c r="I26" s="2793">
        <v>30</v>
      </c>
      <c r="J26" s="2793">
        <v>90.5</v>
      </c>
      <c r="K26" s="2793">
        <f t="shared" si="2"/>
        <v>4.2000000000000028</v>
      </c>
      <c r="L26" s="2793" t="s">
        <v>2560</v>
      </c>
      <c r="M26" s="2793">
        <v>5</v>
      </c>
    </row>
    <row r="27" spans="1:13">
      <c r="A27" s="2775" t="s">
        <v>2519</v>
      </c>
      <c r="B27" s="2776"/>
      <c r="C27" s="2776"/>
      <c r="D27" s="2776"/>
      <c r="E27" s="2776"/>
      <c r="F27" s="2776"/>
      <c r="G27" s="2777"/>
      <c r="I27" s="2793">
        <v>35</v>
      </c>
      <c r="J27" s="2793">
        <v>93.8</v>
      </c>
      <c r="K27" s="2793">
        <f t="shared" si="2"/>
        <v>3.2999999999999972</v>
      </c>
      <c r="L27" s="2793" t="s">
        <v>2561</v>
      </c>
      <c r="M27" s="2793">
        <v>3</v>
      </c>
    </row>
    <row r="28" spans="1:13">
      <c r="A28" s="2775" t="s">
        <v>2520</v>
      </c>
      <c r="B28" s="2776"/>
      <c r="C28" s="2776"/>
      <c r="D28" s="2776"/>
      <c r="E28" s="2776"/>
      <c r="F28" s="2776"/>
      <c r="G28" s="2777"/>
      <c r="I28" s="2793">
        <v>40</v>
      </c>
      <c r="J28" s="2793">
        <v>96.4</v>
      </c>
      <c r="K28" s="2793">
        <f t="shared" si="2"/>
        <v>2.6000000000000085</v>
      </c>
      <c r="L28" s="2793" t="s">
        <v>2562</v>
      </c>
      <c r="M28" s="2793">
        <v>2</v>
      </c>
    </row>
    <row r="29" spans="1:13">
      <c r="A29" s="2775" t="s">
        <v>2521</v>
      </c>
      <c r="B29" s="2776"/>
      <c r="C29" s="2776"/>
      <c r="D29" s="2776"/>
      <c r="E29" s="2776"/>
      <c r="F29" s="2776"/>
      <c r="G29" s="2777"/>
      <c r="I29" s="2793">
        <v>45</v>
      </c>
      <c r="J29" s="2793">
        <v>98.4</v>
      </c>
      <c r="K29" s="2793">
        <f t="shared" si="2"/>
        <v>2</v>
      </c>
    </row>
    <row r="30" spans="1:13">
      <c r="A30" s="2775" t="s">
        <v>2522</v>
      </c>
      <c r="B30" s="2776"/>
      <c r="C30" s="2776"/>
      <c r="D30" s="2776"/>
      <c r="E30" s="2776"/>
      <c r="F30" s="2776"/>
      <c r="G30" s="2777"/>
      <c r="I30" s="2793">
        <v>50</v>
      </c>
      <c r="J30" s="2793">
        <v>100</v>
      </c>
      <c r="K30" s="2793">
        <f t="shared" si="2"/>
        <v>1.5999999999999943</v>
      </c>
    </row>
    <row r="31" spans="1:13">
      <c r="A31" s="2775" t="s">
        <v>2523</v>
      </c>
      <c r="B31" s="2776"/>
      <c r="C31" s="2776"/>
      <c r="D31" s="2776"/>
      <c r="E31" s="2776"/>
      <c r="F31" s="2776"/>
      <c r="G31" s="2777"/>
      <c r="I31" s="2793" t="s">
        <v>2554</v>
      </c>
    </row>
    <row r="32" spans="1:13">
      <c r="A32" s="2775" t="s">
        <v>2524</v>
      </c>
      <c r="B32" s="2776"/>
      <c r="C32" s="2776"/>
      <c r="D32" s="2776"/>
      <c r="E32" s="2776"/>
      <c r="F32" s="2776"/>
      <c r="G32" s="2777"/>
    </row>
    <row r="33" spans="1:13">
      <c r="A33" s="2775" t="s">
        <v>2525</v>
      </c>
      <c r="B33" s="2776"/>
      <c r="C33" s="2776"/>
      <c r="D33" s="2776"/>
      <c r="E33" s="2776"/>
      <c r="F33" s="2776"/>
      <c r="G33" s="2777"/>
      <c r="I33" s="2793" t="s">
        <v>2553</v>
      </c>
      <c r="J33" s="2793" t="s">
        <v>2563</v>
      </c>
    </row>
    <row r="34" spans="1:13">
      <c r="A34" s="2775" t="s">
        <v>2526</v>
      </c>
      <c r="B34" s="2776"/>
      <c r="C34" s="2776"/>
      <c r="D34" s="2776"/>
      <c r="E34" s="2776"/>
      <c r="F34" s="2776"/>
      <c r="G34" s="2777"/>
      <c r="I34" s="2793">
        <v>5</v>
      </c>
      <c r="J34" s="2793">
        <v>55.1</v>
      </c>
    </row>
    <row r="35" spans="1:13">
      <c r="A35" s="2775" t="s">
        <v>2527</v>
      </c>
      <c r="B35" s="2776"/>
      <c r="C35" s="2776"/>
      <c r="D35" s="2776"/>
      <c r="E35" s="2776"/>
      <c r="F35" s="2776"/>
      <c r="G35" s="2777"/>
      <c r="I35" s="2793">
        <v>10</v>
      </c>
      <c r="J35" s="2793">
        <v>67</v>
      </c>
      <c r="K35" s="2793">
        <f>J35-J34</f>
        <v>11.899999999999999</v>
      </c>
    </row>
    <row r="36" spans="1:13">
      <c r="A36" s="2775" t="s">
        <v>2528</v>
      </c>
      <c r="B36" s="2776"/>
      <c r="C36" s="2776"/>
      <c r="D36" s="2776"/>
      <c r="E36" s="2776"/>
      <c r="F36" s="2776"/>
      <c r="G36" s="2777"/>
      <c r="I36" s="2793">
        <v>15</v>
      </c>
      <c r="J36" s="2793">
        <v>76.3</v>
      </c>
      <c r="K36" s="2793">
        <f t="shared" ref="K36:K41" si="3">J36-J35</f>
        <v>9.2999999999999972</v>
      </c>
      <c r="L36" s="2793" t="s">
        <v>2556</v>
      </c>
      <c r="M36" s="2793" t="s">
        <v>2557</v>
      </c>
    </row>
    <row r="37" spans="1:13">
      <c r="A37" s="2775" t="s">
        <v>2529</v>
      </c>
      <c r="B37" s="2776"/>
      <c r="C37" s="2776"/>
      <c r="D37" s="2776"/>
      <c r="E37" s="2776"/>
      <c r="F37" s="2776"/>
      <c r="G37" s="2777"/>
      <c r="I37" s="2793">
        <v>20</v>
      </c>
      <c r="J37" s="2793">
        <v>83.6</v>
      </c>
      <c r="K37" s="2793">
        <f t="shared" si="3"/>
        <v>7.2999999999999972</v>
      </c>
      <c r="L37" s="2793" t="s">
        <v>2555</v>
      </c>
      <c r="M37" s="2793">
        <v>10</v>
      </c>
    </row>
    <row r="38" spans="1:13">
      <c r="A38" s="2775" t="s">
        <v>2530</v>
      </c>
      <c r="B38" s="2776"/>
      <c r="C38" s="2776"/>
      <c r="D38" s="2776"/>
      <c r="E38" s="2776"/>
      <c r="F38" s="2776"/>
      <c r="G38" s="2777"/>
      <c r="I38" s="2793">
        <v>25</v>
      </c>
      <c r="J38" s="2793">
        <v>89.3</v>
      </c>
      <c r="K38" s="2793">
        <f t="shared" si="3"/>
        <v>5.7000000000000028</v>
      </c>
      <c r="L38" s="2793" t="s">
        <v>2559</v>
      </c>
      <c r="M38" s="2793">
        <v>8</v>
      </c>
    </row>
    <row r="39" spans="1:13">
      <c r="A39" s="2775"/>
      <c r="B39" s="2776"/>
      <c r="C39" s="2776"/>
      <c r="D39" s="2776"/>
      <c r="E39" s="2776"/>
      <c r="F39" s="2776"/>
      <c r="G39" s="2777"/>
      <c r="I39" s="2793">
        <v>30</v>
      </c>
      <c r="J39" s="2793">
        <v>93.8</v>
      </c>
      <c r="K39" s="2793">
        <f t="shared" si="3"/>
        <v>4.5</v>
      </c>
      <c r="L39" s="2793" t="s">
        <v>2560</v>
      </c>
      <c r="M39" s="2793">
        <v>6</v>
      </c>
    </row>
    <row r="40" spans="1:13">
      <c r="A40" s="2778" t="s">
        <v>2531</v>
      </c>
      <c r="B40" s="2779"/>
      <c r="C40" s="2779"/>
      <c r="D40" s="2779"/>
      <c r="E40" s="2779"/>
      <c r="F40" s="2779"/>
      <c r="G40" s="2780"/>
      <c r="I40" s="2793">
        <v>35</v>
      </c>
      <c r="J40" s="2793">
        <v>97.2</v>
      </c>
      <c r="K40" s="2793">
        <f t="shared" si="3"/>
        <v>3.4000000000000057</v>
      </c>
      <c r="L40" s="2793" t="s">
        <v>2561</v>
      </c>
      <c r="M40" s="2793">
        <v>3</v>
      </c>
    </row>
    <row r="41" spans="1:13">
      <c r="A41" s="2781" t="s">
        <v>2532</v>
      </c>
      <c r="B41" s="2782" t="s">
        <v>2533</v>
      </c>
      <c r="C41" s="2783" t="s">
        <v>2534</v>
      </c>
      <c r="D41" s="2783" t="s">
        <v>2535</v>
      </c>
      <c r="E41" s="2784"/>
      <c r="F41" s="2785"/>
      <c r="G41" s="2786"/>
      <c r="I41" s="2793">
        <v>40</v>
      </c>
      <c r="J41" s="2793">
        <v>100</v>
      </c>
      <c r="K41" s="2793">
        <f t="shared" si="3"/>
        <v>2.7999999999999972</v>
      </c>
    </row>
    <row r="42" spans="1:13">
      <c r="A42" s="2781" t="s">
        <v>2536</v>
      </c>
      <c r="B42" s="2782" t="s">
        <v>2537</v>
      </c>
      <c r="C42" s="2783" t="s">
        <v>2538</v>
      </c>
      <c r="D42" s="2787" t="s">
        <v>2539</v>
      </c>
      <c r="E42" s="2779" t="s">
        <v>2540</v>
      </c>
      <c r="F42" s="2779"/>
      <c r="G42" s="2780"/>
    </row>
    <row r="43" spans="1:13">
      <c r="A43" s="2781" t="s">
        <v>2541</v>
      </c>
      <c r="B43" s="2782" t="s">
        <v>2542</v>
      </c>
      <c r="C43" s="2783" t="s">
        <v>2543</v>
      </c>
      <c r="D43" s="2783" t="s">
        <v>2544</v>
      </c>
      <c r="E43" s="2784" t="s">
        <v>2545</v>
      </c>
      <c r="F43" s="2785"/>
      <c r="G43" s="2786"/>
      <c r="I43" s="2793" t="s">
        <v>2553</v>
      </c>
      <c r="J43" s="2793" t="s">
        <v>2564</v>
      </c>
    </row>
    <row r="44" spans="1:13">
      <c r="A44" s="2781" t="s">
        <v>2546</v>
      </c>
      <c r="B44" s="2782" t="s">
        <v>2547</v>
      </c>
      <c r="C44" s="2783" t="s">
        <v>2548</v>
      </c>
      <c r="D44" s="2787">
        <v>0.5</v>
      </c>
      <c r="E44" s="2784" t="s">
        <v>2549</v>
      </c>
      <c r="F44" s="2785"/>
      <c r="G44" s="2786"/>
      <c r="I44" s="2793">
        <v>30</v>
      </c>
      <c r="J44" s="2793">
        <v>81.7</v>
      </c>
    </row>
    <row r="45" spans="1:13" ht="14.25" thickBot="1">
      <c r="A45" s="2788" t="s">
        <v>2550</v>
      </c>
      <c r="B45" s="2789" t="s">
        <v>2537</v>
      </c>
      <c r="C45" s="2790" t="s">
        <v>2537</v>
      </c>
      <c r="D45" s="2790" t="s">
        <v>2551</v>
      </c>
      <c r="E45" s="2791" t="s">
        <v>2552</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J100"/>
  <sheetViews>
    <sheetView topLeftCell="A115" workbookViewId="0">
      <selection activeCell="M19" sqref="M19"/>
    </sheetView>
  </sheetViews>
  <sheetFormatPr defaultRowHeight="14.25"/>
  <cols>
    <col min="1" max="1" width="10.5" style="3162" bestFit="1" customWidth="1"/>
    <col min="2" max="3" width="13.875" style="3162" bestFit="1" customWidth="1"/>
    <col min="4" max="4" width="17.25" style="3162" bestFit="1" customWidth="1"/>
    <col min="5" max="5" width="16.125" style="3162" bestFit="1" customWidth="1"/>
    <col min="6" max="7" width="18.375" style="3162" bestFit="1" customWidth="1"/>
    <col min="8" max="16384" width="9" style="3162"/>
  </cols>
  <sheetData>
    <row r="3" spans="1:1">
      <c r="A3" s="3163"/>
    </row>
    <row r="4" spans="1:1">
      <c r="A4" s="3163"/>
    </row>
    <row r="5" spans="1:1">
      <c r="A5" s="3163"/>
    </row>
    <row r="6" spans="1:1">
      <c r="A6" s="3163"/>
    </row>
    <row r="7" spans="1:1">
      <c r="A7" s="3163"/>
    </row>
    <row r="8" spans="1:1">
      <c r="A8" s="3163"/>
    </row>
    <row r="9" spans="1:1">
      <c r="A9" s="3163"/>
    </row>
    <row r="10" spans="1:1">
      <c r="A10" s="3163"/>
    </row>
    <row r="11" spans="1:1">
      <c r="A11" s="3163"/>
    </row>
    <row r="12" spans="1:1">
      <c r="A12" s="3163"/>
    </row>
    <row r="13" spans="1:1">
      <c r="A13" s="3163"/>
    </row>
    <row r="14" spans="1:1">
      <c r="A14" s="3163"/>
    </row>
    <row r="15" spans="1:1">
      <c r="A15" s="3163"/>
    </row>
    <row r="16" spans="1:1">
      <c r="A16" s="3163"/>
    </row>
    <row r="17" spans="1:1">
      <c r="A17" s="3163"/>
    </row>
    <row r="100" spans="10:10">
      <c r="J100" s="3162" t="s">
        <v>4420</v>
      </c>
    </row>
  </sheetData>
  <phoneticPr fontId="1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K70"/>
  <sheetViews>
    <sheetView topLeftCell="A49" workbookViewId="0">
      <selection activeCell="B104" sqref="B104"/>
    </sheetView>
  </sheetViews>
  <sheetFormatPr defaultRowHeight="14.25"/>
  <cols>
    <col min="1" max="1" width="10.5" style="3162" bestFit="1" customWidth="1"/>
    <col min="2" max="3" width="13.875" style="3162" bestFit="1" customWidth="1"/>
    <col min="4" max="4" width="17.25" style="3162" bestFit="1" customWidth="1"/>
    <col min="5" max="5" width="16.125" style="3162" bestFit="1" customWidth="1"/>
    <col min="6" max="7" width="18.375" style="3162" bestFit="1" customWidth="1"/>
    <col min="8" max="16384" width="9" style="3162"/>
  </cols>
  <sheetData>
    <row r="3" spans="1:1">
      <c r="A3" s="3163"/>
    </row>
    <row r="4" spans="1:1">
      <c r="A4" s="3163"/>
    </row>
    <row r="5" spans="1:1">
      <c r="A5" s="3163"/>
    </row>
    <row r="6" spans="1:1">
      <c r="A6" s="3163"/>
    </row>
    <row r="7" spans="1:1">
      <c r="A7" s="3163"/>
    </row>
    <row r="70" spans="11:11">
      <c r="K70" s="3162" t="s">
        <v>4420</v>
      </c>
    </row>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6"/>
  <sheetViews>
    <sheetView topLeftCell="A58" workbookViewId="0">
      <selection activeCell="E4" sqref="E4"/>
    </sheetView>
  </sheetViews>
  <sheetFormatPr defaultRowHeight="14.25"/>
  <cols>
    <col min="1" max="1" width="10.5" style="3162" bestFit="1" customWidth="1"/>
    <col min="2" max="3" width="13.875" style="3162" bestFit="1" customWidth="1"/>
    <col min="4" max="4" width="17.25" style="3162" bestFit="1" customWidth="1"/>
    <col min="5" max="5" width="16.125" style="3162" bestFit="1" customWidth="1"/>
    <col min="6" max="7" width="18.375" style="3162" bestFit="1" customWidth="1"/>
    <col min="8" max="8" width="11.625" style="3162" bestFit="1" customWidth="1"/>
    <col min="9" max="16384" width="9" style="3162"/>
  </cols>
  <sheetData>
    <row r="1" spans="1:8">
      <c r="A1" s="3162" t="s">
        <v>4219</v>
      </c>
      <c r="B1" s="3162" t="s">
        <v>4220</v>
      </c>
      <c r="C1" s="3162" t="s">
        <v>4221</v>
      </c>
      <c r="D1" s="3162" t="s">
        <v>4222</v>
      </c>
      <c r="E1" s="3162" t="s">
        <v>4223</v>
      </c>
      <c r="F1" s="3162" t="s">
        <v>4224</v>
      </c>
      <c r="G1" s="3162" t="s">
        <v>4225</v>
      </c>
    </row>
    <row r="2" spans="1:8">
      <c r="A2" s="3162" t="s">
        <v>4226</v>
      </c>
      <c r="B2" s="3162">
        <v>56</v>
      </c>
      <c r="C2" s="3162">
        <v>24195</v>
      </c>
      <c r="D2" s="3162">
        <v>31349</v>
      </c>
      <c r="E2" s="3162">
        <v>75849.89</v>
      </c>
      <c r="F2" s="3162" t="s">
        <v>633</v>
      </c>
      <c r="G2" s="3162" t="s">
        <v>633</v>
      </c>
    </row>
    <row r="3" spans="1:8">
      <c r="A3" s="3163">
        <v>45078.333831018521</v>
      </c>
      <c r="B3" s="3162">
        <v>3</v>
      </c>
      <c r="C3" s="3162">
        <v>1243</v>
      </c>
      <c r="D3" s="3162">
        <v>30000</v>
      </c>
      <c r="E3" s="3162">
        <v>3729.51</v>
      </c>
      <c r="F3" s="3162" t="s">
        <v>633</v>
      </c>
      <c r="G3" s="3162" t="s">
        <v>633</v>
      </c>
      <c r="H3" s="3162" t="s">
        <v>2801</v>
      </c>
    </row>
    <row r="4" spans="1:8">
      <c r="A4" s="3163">
        <v>45047.333831018521</v>
      </c>
      <c r="B4" s="3162">
        <v>51</v>
      </c>
      <c r="C4" s="3162">
        <v>21796</v>
      </c>
      <c r="D4" s="3162">
        <v>30000</v>
      </c>
      <c r="E4" s="3162">
        <v>65387.34</v>
      </c>
      <c r="F4" s="3162" t="s">
        <v>633</v>
      </c>
      <c r="G4" s="3162" t="s">
        <v>633</v>
      </c>
      <c r="H4" s="3162" t="s">
        <v>4227</v>
      </c>
    </row>
    <row r="5" spans="1:8">
      <c r="A5" s="3163">
        <v>44166.333831018521</v>
      </c>
      <c r="B5" s="3162">
        <v>1</v>
      </c>
      <c r="C5" s="3162">
        <v>307</v>
      </c>
      <c r="D5" s="3162">
        <v>58026</v>
      </c>
      <c r="E5" s="3162">
        <v>1782.49</v>
      </c>
      <c r="F5" s="3162" t="s">
        <v>633</v>
      </c>
      <c r="G5" s="3162" t="s">
        <v>633</v>
      </c>
      <c r="H5" s="3162" t="s">
        <v>4136</v>
      </c>
    </row>
    <row r="6" spans="1:8">
      <c r="A6" s="3163">
        <v>44136.333831018521</v>
      </c>
      <c r="B6" s="3162">
        <v>1</v>
      </c>
      <c r="C6" s="3162">
        <v>849</v>
      </c>
      <c r="D6" s="3162">
        <v>58290</v>
      </c>
      <c r="E6" s="3162">
        <v>4950.55</v>
      </c>
      <c r="F6" s="3162" t="s">
        <v>633</v>
      </c>
      <c r="G6" s="3162" t="s">
        <v>633</v>
      </c>
      <c r="H6" s="3162" t="s">
        <v>4136</v>
      </c>
    </row>
  </sheetData>
  <phoneticPr fontId="1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L119:N157"/>
  <sheetViews>
    <sheetView topLeftCell="A67" workbookViewId="0">
      <selection activeCell="N156" sqref="N156"/>
    </sheetView>
  </sheetViews>
  <sheetFormatPr defaultRowHeight="13.5"/>
  <sheetData>
    <row r="119" spans="12:14">
      <c r="L119" s="1398" t="s">
        <v>4462</v>
      </c>
      <c r="N119">
        <f>25000/30/120</f>
        <v>6.9444444444444446</v>
      </c>
    </row>
    <row r="120" spans="12:14">
      <c r="L120" s="1398" t="s">
        <v>4465</v>
      </c>
    </row>
    <row r="136" spans="12:14">
      <c r="L136" s="1398" t="s">
        <v>4463</v>
      </c>
      <c r="N136">
        <f>25000/30/180</f>
        <v>4.6296296296296298</v>
      </c>
    </row>
    <row r="137" spans="12:14">
      <c r="L137" s="1398" t="s">
        <v>4465</v>
      </c>
    </row>
    <row r="156" spans="12:12">
      <c r="L156">
        <v>6.89</v>
      </c>
    </row>
    <row r="157" spans="12:12">
      <c r="L157" s="1398" t="s">
        <v>4465</v>
      </c>
    </row>
  </sheetData>
  <phoneticPr fontId="1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78437-AF5C-48B7-8457-A281C5BC6146}">
  <dimension ref="A1:Z753"/>
  <sheetViews>
    <sheetView topLeftCell="J34" workbookViewId="0">
      <selection activeCell="X4" sqref="X4:Y753"/>
    </sheetView>
  </sheetViews>
  <sheetFormatPr defaultRowHeight="13.5"/>
  <cols>
    <col min="1" max="2" width="9" style="2807"/>
    <col min="3" max="3" width="10.5" style="2807" bestFit="1" customWidth="1"/>
    <col min="4" max="4" width="9" style="2807"/>
    <col min="5" max="5" width="12.75" style="2807" bestFit="1" customWidth="1"/>
    <col min="6" max="16384" width="9" style="2807"/>
  </cols>
  <sheetData>
    <row r="1" spans="1:26">
      <c r="A1" s="1414" t="s">
        <v>4146</v>
      </c>
      <c r="B1" s="1414"/>
      <c r="C1" s="2807">
        <f>SUM(C4:C57)</f>
        <v>42171.11</v>
      </c>
      <c r="E1" s="2807">
        <f>SUM(E4:E57)</f>
        <v>84843</v>
      </c>
      <c r="H1" s="2807">
        <f>SUM(H4:H57)</f>
        <v>25524.139999999989</v>
      </c>
      <c r="J1" s="2807">
        <f>SUM(J4:J57)</f>
        <v>51555</v>
      </c>
      <c r="M1" s="2807">
        <f>SUM(M4:M57)</f>
        <v>25425.37</v>
      </c>
      <c r="O1" s="2807">
        <f>SUM(O4:O57)</f>
        <v>51347</v>
      </c>
      <c r="R1" s="2807">
        <f>SUM(R4:R57)</f>
        <v>43414.549999999974</v>
      </c>
      <c r="T1" s="2807">
        <f>SUM(T4:T57)</f>
        <v>87345</v>
      </c>
      <c r="W1" s="2807">
        <f>SUM(W4:W753)</f>
        <v>96165.289999996487</v>
      </c>
      <c r="Y1" s="2807">
        <f>SUM(Y4:Y753)</f>
        <v>100173.01869999639</v>
      </c>
    </row>
    <row r="2" spans="1:26">
      <c r="A2" s="1414"/>
      <c r="B2" s="1414"/>
      <c r="C2" s="2807">
        <f>C1+H1+M1+R1+W1</f>
        <v>232700.45999999644</v>
      </c>
      <c r="E2" s="2807">
        <f>ROUND(E1+J1+O1+T1+Y1,0)</f>
        <v>375263</v>
      </c>
    </row>
    <row r="3" spans="1:26">
      <c r="A3" s="1414" t="s">
        <v>4140</v>
      </c>
      <c r="B3" s="1414"/>
      <c r="C3" s="1414" t="s">
        <v>4548</v>
      </c>
      <c r="D3" s="1414" t="s">
        <v>4865</v>
      </c>
      <c r="E3" s="1414" t="s">
        <v>4856</v>
      </c>
      <c r="G3" s="1414" t="s">
        <v>4140</v>
      </c>
      <c r="H3" s="1414" t="s">
        <v>4548</v>
      </c>
      <c r="I3" s="1414" t="s">
        <v>4865</v>
      </c>
      <c r="J3" s="1414" t="s">
        <v>4856</v>
      </c>
      <c r="K3" s="1414"/>
      <c r="L3" s="1414" t="s">
        <v>4140</v>
      </c>
      <c r="M3" s="1414" t="s">
        <v>4548</v>
      </c>
      <c r="N3" s="1414" t="s">
        <v>4865</v>
      </c>
      <c r="O3" s="1414" t="s">
        <v>4856</v>
      </c>
      <c r="P3" s="1414"/>
      <c r="Q3" s="1414" t="s">
        <v>4140</v>
      </c>
      <c r="R3" s="1414" t="s">
        <v>4548</v>
      </c>
      <c r="S3" s="1414" t="s">
        <v>4865</v>
      </c>
      <c r="T3" s="1414" t="s">
        <v>4856</v>
      </c>
      <c r="U3" s="1414"/>
      <c r="V3" s="1414" t="s">
        <v>4140</v>
      </c>
      <c r="W3" s="1414" t="s">
        <v>4548</v>
      </c>
      <c r="X3" s="1414" t="s">
        <v>4865</v>
      </c>
      <c r="Y3" s="1414" t="s">
        <v>4856</v>
      </c>
      <c r="Z3" s="1414" t="s">
        <v>2532</v>
      </c>
    </row>
    <row r="4" spans="1:26">
      <c r="A4" s="1414" t="s">
        <v>4238</v>
      </c>
      <c r="B4" s="1414"/>
      <c r="C4" s="2807">
        <v>754.84</v>
      </c>
      <c r="D4" s="2807">
        <v>19023</v>
      </c>
      <c r="E4" s="2807">
        <v>1436</v>
      </c>
      <c r="G4" s="2807" t="s">
        <v>4292</v>
      </c>
      <c r="H4" s="2807">
        <v>728.32</v>
      </c>
      <c r="I4" s="2807">
        <v>19023</v>
      </c>
      <c r="J4" s="2807">
        <v>1385</v>
      </c>
      <c r="K4" s="1414"/>
      <c r="L4" s="2807" t="s">
        <v>4326</v>
      </c>
      <c r="M4" s="2807">
        <v>725.98</v>
      </c>
      <c r="N4" s="2807">
        <v>19023</v>
      </c>
      <c r="O4" s="2807">
        <v>1381</v>
      </c>
      <c r="P4" s="1414"/>
      <c r="Q4" s="2807" t="s">
        <v>4360</v>
      </c>
      <c r="R4" s="2807">
        <v>800.8</v>
      </c>
      <c r="S4" s="2807">
        <v>19023</v>
      </c>
      <c r="T4" s="2807">
        <v>1523</v>
      </c>
      <c r="U4" s="1414"/>
      <c r="V4" s="1414" t="s">
        <v>4866</v>
      </c>
      <c r="W4" s="2807">
        <v>56346.270000000004</v>
      </c>
      <c r="X4" s="2807">
        <v>15436</v>
      </c>
      <c r="Y4" s="2807">
        <v>86974</v>
      </c>
    </row>
    <row r="5" spans="1:26">
      <c r="A5" s="2807" t="s">
        <v>4239</v>
      </c>
      <c r="C5" s="2807">
        <v>776.82</v>
      </c>
      <c r="D5" s="2807">
        <v>19023</v>
      </c>
      <c r="E5" s="2807">
        <v>1478</v>
      </c>
      <c r="G5" s="2807" t="s">
        <v>4293</v>
      </c>
      <c r="H5" s="2807">
        <v>773.1</v>
      </c>
      <c r="I5" s="2807">
        <v>19023</v>
      </c>
      <c r="J5" s="2807">
        <v>1471</v>
      </c>
      <c r="K5" s="1414"/>
      <c r="L5" s="2807" t="s">
        <v>4327</v>
      </c>
      <c r="M5" s="2807">
        <v>769.63</v>
      </c>
      <c r="N5" s="2807">
        <v>19023</v>
      </c>
      <c r="O5" s="2807">
        <v>1464</v>
      </c>
      <c r="P5" s="1414"/>
      <c r="Q5" s="2807" t="s">
        <v>4361</v>
      </c>
      <c r="R5" s="2807">
        <v>775.93</v>
      </c>
      <c r="S5" s="2807">
        <v>19023</v>
      </c>
      <c r="T5" s="2807">
        <v>1476</v>
      </c>
      <c r="U5" s="1414"/>
      <c r="V5" s="2807" t="s">
        <v>4592</v>
      </c>
      <c r="W5" s="2807">
        <v>52.93</v>
      </c>
      <c r="X5" s="2807">
        <f>ROUND(Y5/W5*10000,0)</f>
        <v>3510</v>
      </c>
      <c r="Y5" s="2807">
        <v>18.577999999999999</v>
      </c>
    </row>
    <row r="6" spans="1:26">
      <c r="A6" s="2807" t="s">
        <v>4240</v>
      </c>
      <c r="C6" s="2807">
        <v>780.05</v>
      </c>
      <c r="D6" s="2807">
        <v>19023</v>
      </c>
      <c r="E6" s="2807">
        <v>1484</v>
      </c>
      <c r="G6" s="2807" t="s">
        <v>4294</v>
      </c>
      <c r="H6" s="2807">
        <v>728.32</v>
      </c>
      <c r="I6" s="2807">
        <v>19023</v>
      </c>
      <c r="J6" s="2807">
        <v>1385</v>
      </c>
      <c r="K6" s="1414"/>
      <c r="L6" s="2807" t="s">
        <v>4328</v>
      </c>
      <c r="M6" s="2807">
        <v>725.98</v>
      </c>
      <c r="N6" s="2807">
        <v>19023</v>
      </c>
      <c r="O6" s="2807">
        <v>1381</v>
      </c>
      <c r="P6" s="1414"/>
      <c r="Q6" s="2807" t="s">
        <v>4362</v>
      </c>
      <c r="R6" s="2807">
        <v>803.05</v>
      </c>
      <c r="S6" s="2807">
        <v>19023</v>
      </c>
      <c r="T6" s="2807">
        <v>1528</v>
      </c>
      <c r="U6" s="1414"/>
      <c r="V6" s="2807" t="s">
        <v>3957</v>
      </c>
      <c r="W6" s="2807">
        <v>52.93</v>
      </c>
      <c r="X6" s="2807">
        <f t="shared" ref="X6:X69" si="0">ROUND(Y6/W6*10000,0)</f>
        <v>3510</v>
      </c>
      <c r="Y6" s="2807">
        <v>18.577999999999999</v>
      </c>
    </row>
    <row r="7" spans="1:26">
      <c r="A7" s="2807" t="s">
        <v>4241</v>
      </c>
      <c r="C7" s="2807">
        <v>772.92</v>
      </c>
      <c r="D7" s="2807">
        <v>19023</v>
      </c>
      <c r="E7" s="2807">
        <v>1470</v>
      </c>
      <c r="G7" s="2807" t="s">
        <v>4295</v>
      </c>
      <c r="H7" s="2807">
        <v>773.1</v>
      </c>
      <c r="I7" s="2807">
        <v>19023</v>
      </c>
      <c r="J7" s="2807">
        <v>1471</v>
      </c>
      <c r="K7" s="1414"/>
      <c r="L7" s="2807" t="s">
        <v>4329</v>
      </c>
      <c r="M7" s="2807">
        <v>769.63</v>
      </c>
      <c r="N7" s="2807">
        <v>19023</v>
      </c>
      <c r="O7" s="2807">
        <v>1464</v>
      </c>
      <c r="P7" s="1414"/>
      <c r="Q7" s="2807" t="s">
        <v>4363</v>
      </c>
      <c r="R7" s="2807">
        <v>795.71</v>
      </c>
      <c r="S7" s="2807">
        <v>19023</v>
      </c>
      <c r="T7" s="2807">
        <v>1514</v>
      </c>
      <c r="U7" s="1414"/>
      <c r="V7" s="2807" t="s">
        <v>3958</v>
      </c>
      <c r="W7" s="2807">
        <v>52.93</v>
      </c>
      <c r="X7" s="2807">
        <f t="shared" si="0"/>
        <v>3510</v>
      </c>
      <c r="Y7" s="2807">
        <v>18.577999999999999</v>
      </c>
    </row>
    <row r="8" spans="1:26">
      <c r="A8" s="2807" t="s">
        <v>4242</v>
      </c>
      <c r="C8" s="2807">
        <v>780.05</v>
      </c>
      <c r="D8" s="2807">
        <v>19023</v>
      </c>
      <c r="E8" s="2807">
        <v>1484</v>
      </c>
      <c r="G8" s="2807" t="s">
        <v>4296</v>
      </c>
      <c r="H8" s="2807">
        <v>728.32</v>
      </c>
      <c r="I8" s="2807">
        <v>19023</v>
      </c>
      <c r="J8" s="2807">
        <v>1385</v>
      </c>
      <c r="K8" s="1414"/>
      <c r="L8" s="2807" t="s">
        <v>4330</v>
      </c>
      <c r="M8" s="2807">
        <v>725.98</v>
      </c>
      <c r="N8" s="2807">
        <v>19023</v>
      </c>
      <c r="O8" s="2807">
        <v>1381</v>
      </c>
      <c r="P8" s="1414"/>
      <c r="Q8" s="2807" t="s">
        <v>4364</v>
      </c>
      <c r="R8" s="2807">
        <v>803.05</v>
      </c>
      <c r="S8" s="2807">
        <v>19023</v>
      </c>
      <c r="T8" s="2807">
        <v>1528</v>
      </c>
      <c r="U8" s="1414"/>
      <c r="V8" s="2807" t="s">
        <v>3959</v>
      </c>
      <c r="W8" s="2807">
        <v>52.93</v>
      </c>
      <c r="X8" s="2807">
        <f t="shared" si="0"/>
        <v>3510</v>
      </c>
      <c r="Y8" s="2807">
        <v>18.577999999999999</v>
      </c>
    </row>
    <row r="9" spans="1:26">
      <c r="A9" s="2807" t="s">
        <v>4243</v>
      </c>
      <c r="C9" s="2807">
        <v>772.92</v>
      </c>
      <c r="D9" s="2807">
        <v>19023</v>
      </c>
      <c r="E9" s="2807">
        <v>1470</v>
      </c>
      <c r="G9" s="2807" t="s">
        <v>4297</v>
      </c>
      <c r="H9" s="2807">
        <v>773.1</v>
      </c>
      <c r="I9" s="2807">
        <v>19023</v>
      </c>
      <c r="J9" s="2807">
        <v>1471</v>
      </c>
      <c r="K9" s="1414"/>
      <c r="L9" s="2807" t="s">
        <v>4331</v>
      </c>
      <c r="M9" s="2807">
        <v>769.63</v>
      </c>
      <c r="N9" s="2807">
        <v>19023</v>
      </c>
      <c r="O9" s="2807">
        <v>1464</v>
      </c>
      <c r="P9" s="1414"/>
      <c r="Q9" s="2807" t="s">
        <v>4365</v>
      </c>
      <c r="R9" s="2807">
        <v>795.71</v>
      </c>
      <c r="S9" s="2807">
        <v>19023</v>
      </c>
      <c r="T9" s="2807">
        <v>1514</v>
      </c>
      <c r="U9" s="1414"/>
      <c r="V9" s="2807" t="s">
        <v>3960</v>
      </c>
      <c r="W9" s="2807">
        <v>52.93</v>
      </c>
      <c r="X9" s="2807">
        <f t="shared" si="0"/>
        <v>3510</v>
      </c>
      <c r="Y9" s="2807">
        <v>18.577999999999999</v>
      </c>
    </row>
    <row r="10" spans="1:26">
      <c r="A10" s="2807" t="s">
        <v>4244</v>
      </c>
      <c r="C10" s="2807">
        <v>780.05</v>
      </c>
      <c r="D10" s="2807">
        <v>19023</v>
      </c>
      <c r="E10" s="2807">
        <v>1484</v>
      </c>
      <c r="G10" s="2807" t="s">
        <v>4298</v>
      </c>
      <c r="H10" s="2807">
        <v>728.32</v>
      </c>
      <c r="I10" s="2807">
        <v>19974</v>
      </c>
      <c r="J10" s="2807">
        <v>1455</v>
      </c>
      <c r="K10" s="1414"/>
      <c r="L10" s="2807" t="s">
        <v>4332</v>
      </c>
      <c r="M10" s="2807">
        <v>725.98</v>
      </c>
      <c r="N10" s="2807">
        <v>19974</v>
      </c>
      <c r="O10" s="2807">
        <v>1450</v>
      </c>
      <c r="P10" s="1414"/>
      <c r="Q10" s="2807" t="s">
        <v>4366</v>
      </c>
      <c r="R10" s="2807">
        <v>803.05</v>
      </c>
      <c r="S10" s="2807">
        <v>19023</v>
      </c>
      <c r="T10" s="2807">
        <v>1528</v>
      </c>
      <c r="U10" s="1414"/>
      <c r="V10" s="2807" t="s">
        <v>3961</v>
      </c>
      <c r="W10" s="2807">
        <v>52.93</v>
      </c>
      <c r="X10" s="2807">
        <f t="shared" si="0"/>
        <v>3510</v>
      </c>
      <c r="Y10" s="2807">
        <v>18.577999999999999</v>
      </c>
    </row>
    <row r="11" spans="1:26">
      <c r="A11" s="2807" t="s">
        <v>4245</v>
      </c>
      <c r="C11" s="2807">
        <v>772.92</v>
      </c>
      <c r="D11" s="2807">
        <v>19023</v>
      </c>
      <c r="E11" s="2807">
        <v>1470</v>
      </c>
      <c r="G11" s="2807" t="s">
        <v>4299</v>
      </c>
      <c r="H11" s="2807">
        <v>773.1</v>
      </c>
      <c r="I11" s="2807">
        <v>19974</v>
      </c>
      <c r="J11" s="2807">
        <v>1544</v>
      </c>
      <c r="K11" s="1414"/>
      <c r="L11" s="2807" t="s">
        <v>4333</v>
      </c>
      <c r="M11" s="2807">
        <v>769.63</v>
      </c>
      <c r="N11" s="2807">
        <v>19974</v>
      </c>
      <c r="O11" s="2807">
        <v>1537</v>
      </c>
      <c r="P11" s="1414"/>
      <c r="Q11" s="2807" t="s">
        <v>4367</v>
      </c>
      <c r="R11" s="2807">
        <v>795.71</v>
      </c>
      <c r="S11" s="2807">
        <v>19023</v>
      </c>
      <c r="T11" s="2807">
        <v>1514</v>
      </c>
      <c r="U11" s="1414"/>
      <c r="V11" s="2807" t="s">
        <v>3962</v>
      </c>
      <c r="W11" s="2807">
        <v>52.93</v>
      </c>
      <c r="X11" s="2807">
        <f t="shared" si="0"/>
        <v>3510</v>
      </c>
      <c r="Y11" s="2807">
        <v>18.577999999999999</v>
      </c>
    </row>
    <row r="12" spans="1:26">
      <c r="A12" s="2807" t="s">
        <v>4246</v>
      </c>
      <c r="C12" s="2807">
        <v>780.05</v>
      </c>
      <c r="D12" s="2807">
        <v>19023</v>
      </c>
      <c r="E12" s="2807">
        <v>1484</v>
      </c>
      <c r="G12" s="2807" t="s">
        <v>4300</v>
      </c>
      <c r="H12" s="2807">
        <v>728.32</v>
      </c>
      <c r="I12" s="2807">
        <v>19974</v>
      </c>
      <c r="J12" s="2807">
        <v>1455</v>
      </c>
      <c r="K12" s="1414"/>
      <c r="L12" s="2807" t="s">
        <v>4334</v>
      </c>
      <c r="M12" s="2807">
        <v>725.98</v>
      </c>
      <c r="N12" s="2807">
        <v>19974</v>
      </c>
      <c r="O12" s="2807">
        <v>1450</v>
      </c>
      <c r="P12" s="1414"/>
      <c r="Q12" s="2807" t="s">
        <v>4368</v>
      </c>
      <c r="R12" s="2807">
        <v>803.05</v>
      </c>
      <c r="S12" s="2807">
        <v>19023</v>
      </c>
      <c r="T12" s="2807">
        <v>1528</v>
      </c>
      <c r="U12" s="1414"/>
      <c r="V12" s="2807" t="s">
        <v>3963</v>
      </c>
      <c r="W12" s="2807">
        <v>52.93</v>
      </c>
      <c r="X12" s="2807">
        <f t="shared" si="0"/>
        <v>3510</v>
      </c>
      <c r="Y12" s="2807">
        <v>18.577999999999999</v>
      </c>
    </row>
    <row r="13" spans="1:26">
      <c r="A13" s="2807" t="s">
        <v>4247</v>
      </c>
      <c r="C13" s="2807">
        <v>772.92</v>
      </c>
      <c r="D13" s="2807">
        <v>19023</v>
      </c>
      <c r="E13" s="2807">
        <v>1470</v>
      </c>
      <c r="G13" s="2807" t="s">
        <v>4301</v>
      </c>
      <c r="H13" s="2807">
        <v>773.1</v>
      </c>
      <c r="I13" s="2807">
        <v>19974</v>
      </c>
      <c r="J13" s="2807">
        <v>1544</v>
      </c>
      <c r="K13" s="1414"/>
      <c r="L13" s="2807" t="s">
        <v>4335</v>
      </c>
      <c r="M13" s="2807">
        <v>769.63</v>
      </c>
      <c r="N13" s="2807">
        <v>19974</v>
      </c>
      <c r="O13" s="2807">
        <v>1537</v>
      </c>
      <c r="P13" s="1414"/>
      <c r="Q13" s="2807" t="s">
        <v>4369</v>
      </c>
      <c r="R13" s="2807">
        <v>795.71</v>
      </c>
      <c r="S13" s="2807">
        <v>19023</v>
      </c>
      <c r="T13" s="2807">
        <v>1514</v>
      </c>
      <c r="U13" s="1414"/>
      <c r="V13" s="2807" t="s">
        <v>3964</v>
      </c>
      <c r="W13" s="2807">
        <v>52.93</v>
      </c>
      <c r="X13" s="2807">
        <f t="shared" si="0"/>
        <v>3510</v>
      </c>
      <c r="Y13" s="2807">
        <v>18.577999999999999</v>
      </c>
    </row>
    <row r="14" spans="1:26">
      <c r="A14" s="2807" t="s">
        <v>4248</v>
      </c>
      <c r="C14" s="2807">
        <v>780.05</v>
      </c>
      <c r="D14" s="2807">
        <v>19023</v>
      </c>
      <c r="E14" s="2807">
        <v>1484</v>
      </c>
      <c r="G14" s="2807" t="s">
        <v>4302</v>
      </c>
      <c r="H14" s="2807">
        <v>728.32</v>
      </c>
      <c r="I14" s="2807">
        <v>19974</v>
      </c>
      <c r="J14" s="2807">
        <v>1455</v>
      </c>
      <c r="K14" s="1414"/>
      <c r="L14" s="2807" t="s">
        <v>4336</v>
      </c>
      <c r="M14" s="2807">
        <v>725.98</v>
      </c>
      <c r="N14" s="2807">
        <v>19974</v>
      </c>
      <c r="O14" s="2807">
        <v>1450</v>
      </c>
      <c r="P14" s="1414"/>
      <c r="Q14" s="2807" t="s">
        <v>4370</v>
      </c>
      <c r="R14" s="2807">
        <v>803.05</v>
      </c>
      <c r="S14" s="2807">
        <v>19023</v>
      </c>
      <c r="T14" s="2807">
        <v>1528</v>
      </c>
      <c r="U14" s="1414"/>
      <c r="V14" s="2807" t="s">
        <v>3965</v>
      </c>
      <c r="W14" s="2807">
        <v>52.93</v>
      </c>
      <c r="X14" s="2807">
        <f t="shared" si="0"/>
        <v>3510</v>
      </c>
      <c r="Y14" s="2807">
        <v>18.577999999999999</v>
      </c>
    </row>
    <row r="15" spans="1:26">
      <c r="A15" s="2807" t="s">
        <v>4249</v>
      </c>
      <c r="C15" s="2807">
        <v>772.92</v>
      </c>
      <c r="D15" s="2807">
        <v>19023</v>
      </c>
      <c r="E15" s="2807">
        <v>1470</v>
      </c>
      <c r="G15" s="2807" t="s">
        <v>4303</v>
      </c>
      <c r="H15" s="2807">
        <v>773.1</v>
      </c>
      <c r="I15" s="2807">
        <v>19974</v>
      </c>
      <c r="J15" s="2807">
        <v>1544</v>
      </c>
      <c r="K15" s="1414"/>
      <c r="L15" s="2807" t="s">
        <v>4337</v>
      </c>
      <c r="M15" s="2807">
        <v>769.63</v>
      </c>
      <c r="N15" s="2807">
        <v>19974</v>
      </c>
      <c r="O15" s="2807">
        <v>1537</v>
      </c>
      <c r="P15" s="1414"/>
      <c r="Q15" s="2807" t="s">
        <v>4371</v>
      </c>
      <c r="R15" s="2807">
        <v>795.71</v>
      </c>
      <c r="S15" s="2807">
        <v>19023</v>
      </c>
      <c r="T15" s="2807">
        <v>1514</v>
      </c>
      <c r="U15" s="1414"/>
      <c r="V15" s="2807" t="s">
        <v>3966</v>
      </c>
      <c r="W15" s="2807">
        <v>52.93</v>
      </c>
      <c r="X15" s="2807">
        <f t="shared" si="0"/>
        <v>3510</v>
      </c>
      <c r="Y15" s="2807">
        <v>18.577999999999999</v>
      </c>
    </row>
    <row r="16" spans="1:26">
      <c r="A16" s="2807" t="s">
        <v>4250</v>
      </c>
      <c r="C16" s="2807">
        <v>780.05</v>
      </c>
      <c r="D16" s="2807">
        <v>19974</v>
      </c>
      <c r="E16" s="2807">
        <v>1558</v>
      </c>
      <c r="G16" s="2807" t="s">
        <v>4304</v>
      </c>
      <c r="H16" s="2807">
        <v>728.32</v>
      </c>
      <c r="I16" s="2807">
        <v>19974</v>
      </c>
      <c r="J16" s="2807">
        <v>1455</v>
      </c>
      <c r="K16" s="1414"/>
      <c r="L16" s="2807" t="s">
        <v>4338</v>
      </c>
      <c r="M16" s="2807">
        <v>725.98</v>
      </c>
      <c r="N16" s="2807">
        <v>19974</v>
      </c>
      <c r="O16" s="2807">
        <v>1450</v>
      </c>
      <c r="P16" s="1414"/>
      <c r="Q16" s="2807" t="s">
        <v>4372</v>
      </c>
      <c r="R16" s="2807">
        <v>803.05</v>
      </c>
      <c r="S16" s="2807">
        <v>19974</v>
      </c>
      <c r="T16" s="2807">
        <v>1604</v>
      </c>
      <c r="U16" s="1414"/>
      <c r="V16" s="2807" t="s">
        <v>3967</v>
      </c>
      <c r="W16" s="2807">
        <v>52.93</v>
      </c>
      <c r="X16" s="2807">
        <f t="shared" si="0"/>
        <v>3510</v>
      </c>
      <c r="Y16" s="2807">
        <v>18.577999999999999</v>
      </c>
    </row>
    <row r="17" spans="1:25">
      <c r="A17" s="2807" t="s">
        <v>4251</v>
      </c>
      <c r="C17" s="2807">
        <v>772.92</v>
      </c>
      <c r="D17" s="2807">
        <v>19974</v>
      </c>
      <c r="E17" s="2807">
        <v>1544</v>
      </c>
      <c r="G17" s="2807" t="s">
        <v>4305</v>
      </c>
      <c r="H17" s="2807">
        <v>773.1</v>
      </c>
      <c r="I17" s="2807">
        <v>19974</v>
      </c>
      <c r="J17" s="2807">
        <v>1544</v>
      </c>
      <c r="K17" s="1414"/>
      <c r="L17" s="2807" t="s">
        <v>4339</v>
      </c>
      <c r="M17" s="2807">
        <v>769.63</v>
      </c>
      <c r="N17" s="2807">
        <v>19974</v>
      </c>
      <c r="O17" s="2807">
        <v>1537</v>
      </c>
      <c r="P17" s="1414"/>
      <c r="Q17" s="2807" t="s">
        <v>4373</v>
      </c>
      <c r="R17" s="2807">
        <v>795.71</v>
      </c>
      <c r="S17" s="2807">
        <v>19974</v>
      </c>
      <c r="T17" s="2807">
        <v>1589</v>
      </c>
      <c r="U17" s="1414"/>
      <c r="V17" s="2807" t="s">
        <v>3968</v>
      </c>
      <c r="W17" s="2807">
        <v>52.93</v>
      </c>
      <c r="X17" s="2807">
        <f t="shared" si="0"/>
        <v>3510</v>
      </c>
      <c r="Y17" s="2807">
        <v>18.577999999999999</v>
      </c>
    </row>
    <row r="18" spans="1:25">
      <c r="A18" s="2807" t="s">
        <v>4252</v>
      </c>
      <c r="C18" s="2807">
        <v>780.05</v>
      </c>
      <c r="D18" s="2807">
        <v>19974</v>
      </c>
      <c r="E18" s="2807">
        <v>1558</v>
      </c>
      <c r="G18" s="2807" t="s">
        <v>4306</v>
      </c>
      <c r="H18" s="2807">
        <v>728.32</v>
      </c>
      <c r="I18" s="2807">
        <v>19974</v>
      </c>
      <c r="J18" s="2807">
        <v>1455</v>
      </c>
      <c r="K18" s="1414"/>
      <c r="L18" s="2807" t="s">
        <v>4340</v>
      </c>
      <c r="M18" s="2807">
        <v>725.98</v>
      </c>
      <c r="N18" s="2807">
        <v>19974</v>
      </c>
      <c r="O18" s="2807">
        <v>1450</v>
      </c>
      <c r="P18" s="1414"/>
      <c r="Q18" s="2807" t="s">
        <v>4374</v>
      </c>
      <c r="R18" s="2807">
        <v>803.05</v>
      </c>
      <c r="S18" s="2807">
        <v>19974</v>
      </c>
      <c r="T18" s="2807">
        <v>1604</v>
      </c>
      <c r="U18" s="1414"/>
      <c r="V18" s="2807" t="s">
        <v>3969</v>
      </c>
      <c r="W18" s="2807">
        <v>52.93</v>
      </c>
      <c r="X18" s="2807">
        <f t="shared" si="0"/>
        <v>3510</v>
      </c>
      <c r="Y18" s="2807">
        <v>18.577999999999999</v>
      </c>
    </row>
    <row r="19" spans="1:25">
      <c r="A19" s="2807" t="s">
        <v>4253</v>
      </c>
      <c r="C19" s="2807">
        <v>772.92</v>
      </c>
      <c r="D19" s="2807">
        <v>19974</v>
      </c>
      <c r="E19" s="2807">
        <v>1544</v>
      </c>
      <c r="G19" s="2807" t="s">
        <v>4307</v>
      </c>
      <c r="H19" s="2807">
        <v>773.1</v>
      </c>
      <c r="I19" s="2807">
        <v>19974</v>
      </c>
      <c r="J19" s="2807">
        <v>1544</v>
      </c>
      <c r="K19" s="1414"/>
      <c r="L19" s="2807" t="s">
        <v>4341</v>
      </c>
      <c r="M19" s="2807">
        <v>769.63</v>
      </c>
      <c r="N19" s="2807">
        <v>19974</v>
      </c>
      <c r="O19" s="2807">
        <v>1537</v>
      </c>
      <c r="P19" s="1414"/>
      <c r="Q19" s="2807" t="s">
        <v>4375</v>
      </c>
      <c r="R19" s="2807">
        <v>795.71</v>
      </c>
      <c r="S19" s="2807">
        <v>19974</v>
      </c>
      <c r="T19" s="2807">
        <v>1589</v>
      </c>
      <c r="U19" s="1414"/>
      <c r="V19" s="2807" t="s">
        <v>3970</v>
      </c>
      <c r="W19" s="2807">
        <v>52.93</v>
      </c>
      <c r="X19" s="2807">
        <f t="shared" si="0"/>
        <v>3510</v>
      </c>
      <c r="Y19" s="2807">
        <v>18.577999999999999</v>
      </c>
    </row>
    <row r="20" spans="1:25">
      <c r="A20" s="2807" t="s">
        <v>4254</v>
      </c>
      <c r="C20" s="2807">
        <v>780.05</v>
      </c>
      <c r="D20" s="2807">
        <v>19974</v>
      </c>
      <c r="E20" s="2807">
        <v>1558</v>
      </c>
      <c r="G20" s="2807" t="s">
        <v>4308</v>
      </c>
      <c r="H20" s="2807">
        <v>728.32</v>
      </c>
      <c r="I20" s="2807">
        <v>19974</v>
      </c>
      <c r="J20" s="2807">
        <v>1455</v>
      </c>
      <c r="K20" s="1414"/>
      <c r="L20" s="2807" t="s">
        <v>4342</v>
      </c>
      <c r="M20" s="2807">
        <v>725.98</v>
      </c>
      <c r="N20" s="2807">
        <v>19974</v>
      </c>
      <c r="O20" s="2807">
        <v>1450</v>
      </c>
      <c r="P20" s="1414"/>
      <c r="Q20" s="2807" t="s">
        <v>4376</v>
      </c>
      <c r="R20" s="2807">
        <v>803.05</v>
      </c>
      <c r="S20" s="2807">
        <v>19974</v>
      </c>
      <c r="T20" s="2807">
        <v>1604</v>
      </c>
      <c r="U20" s="1414"/>
      <c r="V20" s="2807" t="s">
        <v>3971</v>
      </c>
      <c r="W20" s="2807">
        <v>52.93</v>
      </c>
      <c r="X20" s="2807">
        <f t="shared" si="0"/>
        <v>3510</v>
      </c>
      <c r="Y20" s="2807">
        <v>18.577999999999999</v>
      </c>
    </row>
    <row r="21" spans="1:25">
      <c r="A21" s="2807" t="s">
        <v>4255</v>
      </c>
      <c r="C21" s="2807">
        <v>772.92</v>
      </c>
      <c r="D21" s="2807">
        <v>19974</v>
      </c>
      <c r="E21" s="2807">
        <v>1544</v>
      </c>
      <c r="G21" s="2807" t="s">
        <v>4309</v>
      </c>
      <c r="H21" s="2807">
        <v>773.1</v>
      </c>
      <c r="I21" s="2807">
        <v>19974</v>
      </c>
      <c r="J21" s="2807">
        <v>1544</v>
      </c>
      <c r="K21" s="1414"/>
      <c r="L21" s="2807" t="s">
        <v>4343</v>
      </c>
      <c r="M21" s="2807">
        <v>769.63</v>
      </c>
      <c r="N21" s="2807">
        <v>19974</v>
      </c>
      <c r="O21" s="2807">
        <v>1537</v>
      </c>
      <c r="P21" s="1414"/>
      <c r="Q21" s="2807" t="s">
        <v>4377</v>
      </c>
      <c r="R21" s="2807">
        <v>795.71</v>
      </c>
      <c r="S21" s="2807">
        <v>19974</v>
      </c>
      <c r="T21" s="2807">
        <v>1589</v>
      </c>
      <c r="U21" s="1414"/>
      <c r="V21" s="2807" t="s">
        <v>3972</v>
      </c>
      <c r="W21" s="2807">
        <v>52.93</v>
      </c>
      <c r="X21" s="2807">
        <f t="shared" si="0"/>
        <v>3510</v>
      </c>
      <c r="Y21" s="2807">
        <v>18.577999999999999</v>
      </c>
    </row>
    <row r="22" spans="1:25">
      <c r="A22" s="2807" t="s">
        <v>4256</v>
      </c>
      <c r="C22" s="2807">
        <v>780.05</v>
      </c>
      <c r="D22" s="2807">
        <v>19974</v>
      </c>
      <c r="E22" s="2807">
        <v>1558</v>
      </c>
      <c r="G22" s="2807" t="s">
        <v>4310</v>
      </c>
      <c r="H22" s="2807">
        <v>728.32</v>
      </c>
      <c r="I22" s="2807">
        <v>19974</v>
      </c>
      <c r="J22" s="2807">
        <v>1455</v>
      </c>
      <c r="K22" s="1414"/>
      <c r="L22" s="2807" t="s">
        <v>4344</v>
      </c>
      <c r="M22" s="2807">
        <v>725.98</v>
      </c>
      <c r="N22" s="2807">
        <v>19974</v>
      </c>
      <c r="O22" s="2807">
        <v>1450</v>
      </c>
      <c r="P22" s="1414"/>
      <c r="Q22" s="2807" t="s">
        <v>4378</v>
      </c>
      <c r="R22" s="2807">
        <v>803.05</v>
      </c>
      <c r="S22" s="2807">
        <v>19974</v>
      </c>
      <c r="T22" s="2807">
        <v>1604</v>
      </c>
      <c r="U22" s="1414"/>
      <c r="V22" s="2807" t="s">
        <v>3973</v>
      </c>
      <c r="W22" s="2807">
        <v>52.93</v>
      </c>
      <c r="X22" s="2807">
        <f t="shared" si="0"/>
        <v>3510</v>
      </c>
      <c r="Y22" s="2807">
        <v>18.577999999999999</v>
      </c>
    </row>
    <row r="23" spans="1:25">
      <c r="A23" s="2807" t="s">
        <v>4257</v>
      </c>
      <c r="C23" s="2807">
        <v>772.92</v>
      </c>
      <c r="D23" s="2807">
        <v>19974</v>
      </c>
      <c r="E23" s="2807">
        <v>1544</v>
      </c>
      <c r="G23" s="2807" t="s">
        <v>4311</v>
      </c>
      <c r="H23" s="2807">
        <v>773.1</v>
      </c>
      <c r="I23" s="2807">
        <v>19974</v>
      </c>
      <c r="J23" s="2807">
        <v>1544</v>
      </c>
      <c r="K23" s="1414"/>
      <c r="L23" s="2807" t="s">
        <v>4345</v>
      </c>
      <c r="M23" s="2807">
        <v>769.63</v>
      </c>
      <c r="N23" s="2807">
        <v>19974</v>
      </c>
      <c r="O23" s="2807">
        <v>1537</v>
      </c>
      <c r="P23" s="1414"/>
      <c r="Q23" s="2807" t="s">
        <v>4379</v>
      </c>
      <c r="R23" s="2807">
        <v>795.71</v>
      </c>
      <c r="S23" s="2807">
        <v>19974</v>
      </c>
      <c r="T23" s="2807">
        <v>1589</v>
      </c>
      <c r="U23" s="1414"/>
      <c r="V23" s="2807" t="s">
        <v>3974</v>
      </c>
      <c r="W23" s="2807">
        <v>52.93</v>
      </c>
      <c r="X23" s="2807">
        <f t="shared" si="0"/>
        <v>3510</v>
      </c>
      <c r="Y23" s="2807">
        <v>18.577999999999999</v>
      </c>
    </row>
    <row r="24" spans="1:25">
      <c r="A24" s="2807" t="s">
        <v>4258</v>
      </c>
      <c r="C24" s="2807">
        <v>780.05</v>
      </c>
      <c r="D24" s="2807">
        <v>19974</v>
      </c>
      <c r="E24" s="2807">
        <v>1558</v>
      </c>
      <c r="G24" s="2807" t="s">
        <v>4312</v>
      </c>
      <c r="H24" s="2807">
        <v>728.32</v>
      </c>
      <c r="I24" s="2807">
        <v>20925</v>
      </c>
      <c r="J24" s="2807">
        <v>1524</v>
      </c>
      <c r="K24" s="1414"/>
      <c r="L24" s="2807" t="s">
        <v>4346</v>
      </c>
      <c r="M24" s="2807">
        <v>725.98</v>
      </c>
      <c r="N24" s="2807">
        <v>20925</v>
      </c>
      <c r="O24" s="2807">
        <v>1519</v>
      </c>
      <c r="P24" s="1414"/>
      <c r="Q24" s="2807" t="s">
        <v>4380</v>
      </c>
      <c r="R24" s="2807">
        <v>803.05</v>
      </c>
      <c r="S24" s="2807">
        <v>19974</v>
      </c>
      <c r="T24" s="2807">
        <v>1604</v>
      </c>
      <c r="U24" s="1414"/>
      <c r="V24" s="2807" t="s">
        <v>3975</v>
      </c>
      <c r="W24" s="2807">
        <v>52.93</v>
      </c>
      <c r="X24" s="2807">
        <f t="shared" si="0"/>
        <v>3510</v>
      </c>
      <c r="Y24" s="2807">
        <v>18.577999999999999</v>
      </c>
    </row>
    <row r="25" spans="1:25">
      <c r="A25" s="2807" t="s">
        <v>4259</v>
      </c>
      <c r="C25" s="2807">
        <v>772.92</v>
      </c>
      <c r="D25" s="2807">
        <v>19974</v>
      </c>
      <c r="E25" s="2807">
        <v>1544</v>
      </c>
      <c r="G25" s="2807" t="s">
        <v>4313</v>
      </c>
      <c r="H25" s="2807">
        <v>773.1</v>
      </c>
      <c r="I25" s="2807">
        <v>20925</v>
      </c>
      <c r="J25" s="2807">
        <v>1618</v>
      </c>
      <c r="K25" s="1414"/>
      <c r="L25" s="2807" t="s">
        <v>4347</v>
      </c>
      <c r="M25" s="2807">
        <v>769.63</v>
      </c>
      <c r="N25" s="2807">
        <v>20925</v>
      </c>
      <c r="O25" s="2807">
        <v>1610</v>
      </c>
      <c r="P25" s="1414"/>
      <c r="Q25" s="2807" t="s">
        <v>4381</v>
      </c>
      <c r="R25" s="2807">
        <v>795.71</v>
      </c>
      <c r="S25" s="2807">
        <v>19974</v>
      </c>
      <c r="T25" s="2807">
        <v>1589</v>
      </c>
      <c r="U25" s="1414"/>
      <c r="V25" s="2807" t="s">
        <v>3976</v>
      </c>
      <c r="W25" s="2807">
        <v>52.93</v>
      </c>
      <c r="X25" s="2807">
        <f t="shared" si="0"/>
        <v>3510</v>
      </c>
      <c r="Y25" s="2807">
        <v>18.577999999999999</v>
      </c>
    </row>
    <row r="26" spans="1:25">
      <c r="A26" s="2807" t="s">
        <v>4260</v>
      </c>
      <c r="C26" s="2807">
        <v>780.05</v>
      </c>
      <c r="D26" s="2807">
        <v>19974</v>
      </c>
      <c r="E26" s="2807">
        <v>1558</v>
      </c>
      <c r="G26" s="2807" t="s">
        <v>4314</v>
      </c>
      <c r="H26" s="2807">
        <v>728.32</v>
      </c>
      <c r="I26" s="2807">
        <v>20925</v>
      </c>
      <c r="J26" s="2807">
        <v>1524</v>
      </c>
      <c r="K26" s="1414"/>
      <c r="L26" s="2807" t="s">
        <v>4348</v>
      </c>
      <c r="M26" s="2807">
        <v>725.98</v>
      </c>
      <c r="N26" s="2807">
        <v>20925</v>
      </c>
      <c r="O26" s="2807">
        <v>1519</v>
      </c>
      <c r="P26" s="1414"/>
      <c r="Q26" s="2807" t="s">
        <v>4382</v>
      </c>
      <c r="R26" s="2807">
        <v>803.05</v>
      </c>
      <c r="S26" s="2807">
        <v>19974</v>
      </c>
      <c r="T26" s="2807">
        <v>1604</v>
      </c>
      <c r="U26" s="1414"/>
      <c r="V26" s="2807" t="s">
        <v>3977</v>
      </c>
      <c r="W26" s="2807">
        <v>52.93</v>
      </c>
      <c r="X26" s="2807">
        <f t="shared" si="0"/>
        <v>3510</v>
      </c>
      <c r="Y26" s="2807">
        <v>18.577999999999999</v>
      </c>
    </row>
    <row r="27" spans="1:25">
      <c r="A27" s="2807" t="s">
        <v>4261</v>
      </c>
      <c r="C27" s="2807">
        <v>772.92</v>
      </c>
      <c r="D27" s="2807">
        <v>19974</v>
      </c>
      <c r="E27" s="2807">
        <v>1544</v>
      </c>
      <c r="G27" s="2807" t="s">
        <v>4315</v>
      </c>
      <c r="H27" s="2807">
        <v>773.1</v>
      </c>
      <c r="I27" s="2807">
        <v>20925</v>
      </c>
      <c r="J27" s="2807">
        <v>1618</v>
      </c>
      <c r="K27" s="1414"/>
      <c r="L27" s="2807" t="s">
        <v>4349</v>
      </c>
      <c r="M27" s="2807">
        <v>769.63</v>
      </c>
      <c r="N27" s="2807">
        <v>20925</v>
      </c>
      <c r="O27" s="2807">
        <v>1610</v>
      </c>
      <c r="P27" s="1414"/>
      <c r="Q27" s="2807" t="s">
        <v>4383</v>
      </c>
      <c r="R27" s="2807">
        <v>795.71</v>
      </c>
      <c r="S27" s="2807">
        <v>19974</v>
      </c>
      <c r="T27" s="2807">
        <v>1589</v>
      </c>
      <c r="U27" s="1414"/>
      <c r="V27" s="2807" t="s">
        <v>3978</v>
      </c>
      <c r="W27" s="2807">
        <v>52.93</v>
      </c>
      <c r="X27" s="2807">
        <f t="shared" si="0"/>
        <v>3510</v>
      </c>
      <c r="Y27" s="2807">
        <v>18.577999999999999</v>
      </c>
    </row>
    <row r="28" spans="1:25">
      <c r="A28" s="2807" t="s">
        <v>4262</v>
      </c>
      <c r="C28" s="2807">
        <v>788.94</v>
      </c>
      <c r="D28" s="2807">
        <v>19974</v>
      </c>
      <c r="E28" s="2807">
        <v>1576</v>
      </c>
      <c r="G28" s="2807" t="s">
        <v>4316</v>
      </c>
      <c r="H28" s="2807">
        <v>728.32</v>
      </c>
      <c r="I28" s="2807">
        <v>20925</v>
      </c>
      <c r="J28" s="2807">
        <v>1524</v>
      </c>
      <c r="K28" s="1414"/>
      <c r="L28" s="2807" t="s">
        <v>4350</v>
      </c>
      <c r="M28" s="2807">
        <v>725.98</v>
      </c>
      <c r="N28" s="2807">
        <v>20925</v>
      </c>
      <c r="O28" s="2807">
        <v>1519</v>
      </c>
      <c r="P28" s="1414"/>
      <c r="Q28" s="2807" t="s">
        <v>4384</v>
      </c>
      <c r="R28" s="2807">
        <v>812.21</v>
      </c>
      <c r="S28" s="2807">
        <v>19974</v>
      </c>
      <c r="T28" s="2807">
        <v>1622</v>
      </c>
      <c r="U28" s="1414"/>
      <c r="V28" s="2807" t="s">
        <v>3979</v>
      </c>
      <c r="W28" s="2807">
        <v>52.93</v>
      </c>
      <c r="X28" s="2807">
        <f t="shared" si="0"/>
        <v>3510</v>
      </c>
      <c r="Y28" s="2807">
        <v>18.577999999999999</v>
      </c>
    </row>
    <row r="29" spans="1:25">
      <c r="A29" s="2807" t="s">
        <v>4263</v>
      </c>
      <c r="C29" s="2807">
        <v>780.61</v>
      </c>
      <c r="D29" s="2807">
        <v>19974</v>
      </c>
      <c r="E29" s="2807">
        <v>1559</v>
      </c>
      <c r="G29" s="2807" t="s">
        <v>4317</v>
      </c>
      <c r="H29" s="2807">
        <v>773.1</v>
      </c>
      <c r="I29" s="2807">
        <v>20925</v>
      </c>
      <c r="J29" s="2807">
        <v>1618</v>
      </c>
      <c r="K29" s="1414"/>
      <c r="L29" s="2807" t="s">
        <v>4351</v>
      </c>
      <c r="M29" s="2807">
        <v>769.63</v>
      </c>
      <c r="N29" s="2807">
        <v>20925</v>
      </c>
      <c r="O29" s="2807">
        <v>1610</v>
      </c>
      <c r="P29" s="1414"/>
      <c r="Q29" s="2807" t="s">
        <v>4385</v>
      </c>
      <c r="R29" s="2807">
        <v>803.63</v>
      </c>
      <c r="S29" s="2807">
        <v>19974</v>
      </c>
      <c r="T29" s="2807">
        <v>1605</v>
      </c>
      <c r="U29" s="1414"/>
      <c r="V29" s="2807" t="s">
        <v>3980</v>
      </c>
      <c r="W29" s="2807">
        <v>50.93</v>
      </c>
      <c r="X29" s="2807">
        <f t="shared" si="0"/>
        <v>3648</v>
      </c>
      <c r="Y29" s="2807">
        <v>18.577999999999999</v>
      </c>
    </row>
    <row r="30" spans="1:25">
      <c r="A30" s="2807" t="s">
        <v>4264</v>
      </c>
      <c r="C30" s="2807">
        <v>788.94</v>
      </c>
      <c r="D30" s="2807">
        <v>19974</v>
      </c>
      <c r="E30" s="2807">
        <v>1576</v>
      </c>
      <c r="G30" s="2807" t="s">
        <v>4318</v>
      </c>
      <c r="H30" s="2807">
        <v>728.32</v>
      </c>
      <c r="I30" s="2807">
        <v>20925</v>
      </c>
      <c r="J30" s="2807">
        <v>1524</v>
      </c>
      <c r="K30" s="1414"/>
      <c r="L30" s="2807" t="s">
        <v>4352</v>
      </c>
      <c r="M30" s="2807">
        <v>725.98</v>
      </c>
      <c r="N30" s="2807">
        <v>20925</v>
      </c>
      <c r="O30" s="2807">
        <v>1519</v>
      </c>
      <c r="P30" s="1414"/>
      <c r="Q30" s="2807" t="s">
        <v>4386</v>
      </c>
      <c r="R30" s="2807">
        <v>812.21</v>
      </c>
      <c r="S30" s="2807">
        <v>19974</v>
      </c>
      <c r="T30" s="2807">
        <v>1622</v>
      </c>
      <c r="U30" s="1414"/>
      <c r="V30" s="2807" t="s">
        <v>3981</v>
      </c>
      <c r="W30" s="2807">
        <v>50.93</v>
      </c>
      <c r="X30" s="2807">
        <f t="shared" si="0"/>
        <v>3648</v>
      </c>
      <c r="Y30" s="2807">
        <v>18.577999999999999</v>
      </c>
    </row>
    <row r="31" spans="1:25">
      <c r="A31" s="2807" t="s">
        <v>4265</v>
      </c>
      <c r="C31" s="2807">
        <v>780.61</v>
      </c>
      <c r="D31" s="2807">
        <v>19974</v>
      </c>
      <c r="E31" s="2807">
        <v>1559</v>
      </c>
      <c r="G31" s="2807" t="s">
        <v>4319</v>
      </c>
      <c r="H31" s="2807">
        <v>773.1</v>
      </c>
      <c r="I31" s="2807">
        <v>20925</v>
      </c>
      <c r="J31" s="2807">
        <v>1618</v>
      </c>
      <c r="K31" s="1414"/>
      <c r="L31" s="2807" t="s">
        <v>4353</v>
      </c>
      <c r="M31" s="2807">
        <v>769.63</v>
      </c>
      <c r="N31" s="2807">
        <v>20925</v>
      </c>
      <c r="O31" s="2807">
        <v>1610</v>
      </c>
      <c r="P31" s="1414"/>
      <c r="Q31" s="2807" t="s">
        <v>4387</v>
      </c>
      <c r="R31" s="2807">
        <v>803.63</v>
      </c>
      <c r="S31" s="2807">
        <v>19974</v>
      </c>
      <c r="T31" s="2807">
        <v>1605</v>
      </c>
      <c r="U31" s="1414"/>
      <c r="V31" s="2807" t="s">
        <v>3982</v>
      </c>
      <c r="W31" s="2807">
        <v>50.93</v>
      </c>
      <c r="X31" s="2807">
        <f t="shared" si="0"/>
        <v>3648</v>
      </c>
      <c r="Y31" s="2807">
        <v>18.577999999999999</v>
      </c>
    </row>
    <row r="32" spans="1:25">
      <c r="A32" s="2807" t="s">
        <v>4266</v>
      </c>
      <c r="C32" s="2807">
        <v>788.94</v>
      </c>
      <c r="D32" s="2807">
        <v>19974</v>
      </c>
      <c r="E32" s="2807">
        <v>1576</v>
      </c>
      <c r="G32" s="2807" t="s">
        <v>4320</v>
      </c>
      <c r="H32" s="2807">
        <v>728.32</v>
      </c>
      <c r="I32" s="2807">
        <v>20925</v>
      </c>
      <c r="J32" s="2807">
        <v>1524</v>
      </c>
      <c r="K32" s="1414"/>
      <c r="L32" s="2807" t="s">
        <v>4354</v>
      </c>
      <c r="M32" s="2807">
        <v>725.98</v>
      </c>
      <c r="N32" s="2807">
        <v>20925</v>
      </c>
      <c r="O32" s="2807">
        <v>1519</v>
      </c>
      <c r="P32" s="1414"/>
      <c r="Q32" s="2807" t="s">
        <v>4388</v>
      </c>
      <c r="R32" s="2807">
        <v>812.21</v>
      </c>
      <c r="S32" s="2807">
        <v>19974</v>
      </c>
      <c r="T32" s="2807">
        <v>1622</v>
      </c>
      <c r="U32" s="1414"/>
      <c r="V32" s="2807" t="s">
        <v>3983</v>
      </c>
      <c r="W32" s="2807">
        <v>50.93</v>
      </c>
      <c r="X32" s="2807">
        <f t="shared" si="0"/>
        <v>3648</v>
      </c>
      <c r="Y32" s="2807">
        <v>18.577999999999999</v>
      </c>
    </row>
    <row r="33" spans="1:25">
      <c r="A33" s="2807" t="s">
        <v>4267</v>
      </c>
      <c r="C33" s="2807">
        <v>780.61</v>
      </c>
      <c r="D33" s="2807">
        <v>19974</v>
      </c>
      <c r="E33" s="2807">
        <v>1559</v>
      </c>
      <c r="G33" s="2807" t="s">
        <v>4321</v>
      </c>
      <c r="H33" s="2807">
        <v>773.1</v>
      </c>
      <c r="I33" s="2807">
        <v>20925</v>
      </c>
      <c r="J33" s="2807">
        <v>1618</v>
      </c>
      <c r="K33" s="1414"/>
      <c r="L33" s="2807" t="s">
        <v>4355</v>
      </c>
      <c r="M33" s="2807">
        <v>769.63</v>
      </c>
      <c r="N33" s="2807">
        <v>20925</v>
      </c>
      <c r="O33" s="2807">
        <v>1610</v>
      </c>
      <c r="P33" s="1414"/>
      <c r="Q33" s="2807" t="s">
        <v>4389</v>
      </c>
      <c r="R33" s="2807">
        <v>803.63</v>
      </c>
      <c r="S33" s="2807">
        <v>19974</v>
      </c>
      <c r="T33" s="2807">
        <v>1605</v>
      </c>
      <c r="U33" s="1414"/>
      <c r="V33" s="2807" t="s">
        <v>3984</v>
      </c>
      <c r="W33" s="2807">
        <v>50.93</v>
      </c>
      <c r="X33" s="2807">
        <f t="shared" si="0"/>
        <v>3648</v>
      </c>
      <c r="Y33" s="2807">
        <v>18.577999999999999</v>
      </c>
    </row>
    <row r="34" spans="1:25">
      <c r="A34" s="2807" t="s">
        <v>4268</v>
      </c>
      <c r="C34" s="2807">
        <v>788.94</v>
      </c>
      <c r="D34" s="2807">
        <v>19974</v>
      </c>
      <c r="E34" s="2807">
        <v>1576</v>
      </c>
      <c r="G34" s="2807" t="s">
        <v>4322</v>
      </c>
      <c r="H34" s="2807">
        <v>728.32</v>
      </c>
      <c r="I34" s="2807">
        <v>20925</v>
      </c>
      <c r="J34" s="2807">
        <v>1524</v>
      </c>
      <c r="K34" s="1414"/>
      <c r="L34" s="2807" t="s">
        <v>4356</v>
      </c>
      <c r="M34" s="2807">
        <v>725.98</v>
      </c>
      <c r="N34" s="2807">
        <v>20925</v>
      </c>
      <c r="O34" s="2807">
        <v>1519</v>
      </c>
      <c r="P34" s="1414"/>
      <c r="Q34" s="2807" t="s">
        <v>4390</v>
      </c>
      <c r="R34" s="2807">
        <v>812.21</v>
      </c>
      <c r="S34" s="2807">
        <v>19974</v>
      </c>
      <c r="T34" s="2807">
        <v>1622</v>
      </c>
      <c r="U34" s="1414"/>
      <c r="V34" s="2807" t="s">
        <v>3985</v>
      </c>
      <c r="W34" s="2807">
        <v>50.93</v>
      </c>
      <c r="X34" s="2807">
        <f t="shared" si="0"/>
        <v>3648</v>
      </c>
      <c r="Y34" s="2807">
        <v>18.577999999999999</v>
      </c>
    </row>
    <row r="35" spans="1:25">
      <c r="A35" s="2807" t="s">
        <v>4269</v>
      </c>
      <c r="C35" s="2807">
        <v>780.61</v>
      </c>
      <c r="D35" s="2807">
        <v>19974</v>
      </c>
      <c r="E35" s="2807">
        <v>1559</v>
      </c>
      <c r="G35" s="2807" t="s">
        <v>4323</v>
      </c>
      <c r="H35" s="2807">
        <v>773.1</v>
      </c>
      <c r="I35" s="2807">
        <v>20925</v>
      </c>
      <c r="J35" s="2807">
        <v>1618</v>
      </c>
      <c r="K35" s="1414"/>
      <c r="L35" s="2807" t="s">
        <v>4357</v>
      </c>
      <c r="M35" s="2807">
        <v>769.63</v>
      </c>
      <c r="N35" s="2807">
        <v>20925</v>
      </c>
      <c r="O35" s="2807">
        <v>1610</v>
      </c>
      <c r="P35" s="1414"/>
      <c r="Q35" s="2807" t="s">
        <v>4391</v>
      </c>
      <c r="R35" s="2807">
        <v>803.63</v>
      </c>
      <c r="S35" s="2807">
        <v>19974</v>
      </c>
      <c r="T35" s="2807">
        <v>1605</v>
      </c>
      <c r="U35" s="1414"/>
      <c r="V35" s="2807" t="s">
        <v>3986</v>
      </c>
      <c r="W35" s="2807">
        <v>50.93</v>
      </c>
      <c r="X35" s="2807">
        <f t="shared" si="0"/>
        <v>3648</v>
      </c>
      <c r="Y35" s="2807">
        <v>18.577999999999999</v>
      </c>
    </row>
    <row r="36" spans="1:25">
      <c r="A36" s="2807" t="s">
        <v>4270</v>
      </c>
      <c r="C36" s="2807">
        <v>789.56</v>
      </c>
      <c r="D36" s="2807">
        <v>19974</v>
      </c>
      <c r="E36" s="2807">
        <v>1577</v>
      </c>
      <c r="G36" s="2807" t="s">
        <v>4324</v>
      </c>
      <c r="H36" s="2807">
        <v>728.32</v>
      </c>
      <c r="I36" s="2807">
        <v>20925</v>
      </c>
      <c r="J36" s="2807">
        <v>1524</v>
      </c>
      <c r="K36" s="1414"/>
      <c r="L36" s="2807" t="s">
        <v>4358</v>
      </c>
      <c r="M36" s="2807">
        <v>725.98</v>
      </c>
      <c r="N36" s="2807">
        <v>20925</v>
      </c>
      <c r="O36" s="2807">
        <v>1519</v>
      </c>
      <c r="P36" s="1414"/>
      <c r="Q36" s="2807" t="s">
        <v>4392</v>
      </c>
      <c r="R36" s="2807">
        <v>812.84</v>
      </c>
      <c r="S36" s="2807">
        <v>19974</v>
      </c>
      <c r="T36" s="2807">
        <v>1624</v>
      </c>
      <c r="U36" s="1414"/>
      <c r="V36" s="2807" t="s">
        <v>3987</v>
      </c>
      <c r="W36" s="2807">
        <v>50.93</v>
      </c>
      <c r="X36" s="2807">
        <f t="shared" si="0"/>
        <v>3648</v>
      </c>
      <c r="Y36" s="2807">
        <v>18.577999999999999</v>
      </c>
    </row>
    <row r="37" spans="1:25">
      <c r="A37" s="2807" t="s">
        <v>4271</v>
      </c>
      <c r="C37" s="2807">
        <v>781.22</v>
      </c>
      <c r="D37" s="2807">
        <v>19974</v>
      </c>
      <c r="E37" s="2807">
        <v>1560</v>
      </c>
      <c r="G37" s="2807" t="s">
        <v>4325</v>
      </c>
      <c r="H37" s="2807">
        <v>773.1</v>
      </c>
      <c r="I37" s="2807">
        <v>20925</v>
      </c>
      <c r="J37" s="2807">
        <v>1618</v>
      </c>
      <c r="K37" s="1414"/>
      <c r="L37" s="2807" t="s">
        <v>4359</v>
      </c>
      <c r="M37" s="2807">
        <v>769.63</v>
      </c>
      <c r="N37" s="2807">
        <v>20925</v>
      </c>
      <c r="O37" s="2807">
        <v>1610</v>
      </c>
      <c r="P37" s="1414"/>
      <c r="Q37" s="2807" t="s">
        <v>4393</v>
      </c>
      <c r="R37" s="2807">
        <v>804.26</v>
      </c>
      <c r="S37" s="2807">
        <v>19974</v>
      </c>
      <c r="T37" s="2807">
        <v>1606</v>
      </c>
      <c r="U37" s="1414"/>
      <c r="V37" s="2807" t="s">
        <v>3988</v>
      </c>
      <c r="W37" s="2807">
        <v>50.93</v>
      </c>
      <c r="X37" s="2807">
        <f t="shared" si="0"/>
        <v>3648</v>
      </c>
      <c r="Y37" s="2807">
        <v>18.577999999999999</v>
      </c>
    </row>
    <row r="38" spans="1:25">
      <c r="A38" s="2807" t="s">
        <v>4272</v>
      </c>
      <c r="C38" s="2807">
        <v>789.56</v>
      </c>
      <c r="D38" s="2807">
        <v>20925</v>
      </c>
      <c r="E38" s="2807">
        <v>1652</v>
      </c>
      <c r="P38" s="1414"/>
      <c r="Q38" s="2807" t="s">
        <v>4394</v>
      </c>
      <c r="R38" s="2807">
        <v>812.84</v>
      </c>
      <c r="S38" s="2807">
        <v>20925</v>
      </c>
      <c r="T38" s="2807">
        <v>1701</v>
      </c>
      <c r="U38" s="1414"/>
      <c r="V38" s="2807" t="s">
        <v>3989</v>
      </c>
      <c r="W38" s="2807">
        <v>50.93</v>
      </c>
      <c r="X38" s="2807">
        <f t="shared" si="0"/>
        <v>3648</v>
      </c>
      <c r="Y38" s="2807">
        <v>18.577999999999999</v>
      </c>
    </row>
    <row r="39" spans="1:25">
      <c r="A39" s="2807" t="s">
        <v>4273</v>
      </c>
      <c r="C39" s="2807">
        <v>781.22</v>
      </c>
      <c r="D39" s="2807">
        <v>20925</v>
      </c>
      <c r="E39" s="2807">
        <v>1635</v>
      </c>
      <c r="P39" s="1414"/>
      <c r="Q39" s="2807" t="s">
        <v>4395</v>
      </c>
      <c r="R39" s="2807">
        <v>804.26</v>
      </c>
      <c r="S39" s="2807">
        <v>20925</v>
      </c>
      <c r="T39" s="2807">
        <v>1683</v>
      </c>
      <c r="U39" s="1414"/>
      <c r="V39" s="2807" t="s">
        <v>3990</v>
      </c>
      <c r="W39" s="2807">
        <v>50.93</v>
      </c>
      <c r="X39" s="2807">
        <f t="shared" si="0"/>
        <v>3648</v>
      </c>
      <c r="Y39" s="2807">
        <v>18.577999999999999</v>
      </c>
    </row>
    <row r="40" spans="1:25">
      <c r="A40" s="2807" t="s">
        <v>4274</v>
      </c>
      <c r="C40" s="2807">
        <v>789.56</v>
      </c>
      <c r="D40" s="2807">
        <v>20925</v>
      </c>
      <c r="E40" s="2807">
        <v>1652</v>
      </c>
      <c r="P40" s="1414"/>
      <c r="Q40" s="2807" t="s">
        <v>4396</v>
      </c>
      <c r="R40" s="2807">
        <v>812.84</v>
      </c>
      <c r="S40" s="2807">
        <v>20925</v>
      </c>
      <c r="T40" s="2807">
        <v>1701</v>
      </c>
      <c r="U40" s="1414"/>
      <c r="V40" s="2807" t="s">
        <v>3991</v>
      </c>
      <c r="W40" s="2807">
        <v>50.93</v>
      </c>
      <c r="X40" s="2807">
        <f t="shared" si="0"/>
        <v>3648</v>
      </c>
      <c r="Y40" s="2807">
        <v>18.577999999999999</v>
      </c>
    </row>
    <row r="41" spans="1:25">
      <c r="A41" s="2807" t="s">
        <v>4275</v>
      </c>
      <c r="C41" s="2807">
        <v>781.22</v>
      </c>
      <c r="D41" s="2807">
        <v>20925</v>
      </c>
      <c r="E41" s="2807">
        <v>1635</v>
      </c>
      <c r="P41" s="1414"/>
      <c r="Q41" s="2807" t="s">
        <v>4397</v>
      </c>
      <c r="R41" s="2807">
        <v>804.26</v>
      </c>
      <c r="S41" s="2807">
        <v>20925</v>
      </c>
      <c r="T41" s="2807">
        <v>1683</v>
      </c>
      <c r="U41" s="1414"/>
      <c r="V41" s="2807" t="s">
        <v>3992</v>
      </c>
      <c r="W41" s="2807">
        <v>50.93</v>
      </c>
      <c r="X41" s="2807">
        <f t="shared" si="0"/>
        <v>3648</v>
      </c>
      <c r="Y41" s="2807">
        <v>18.577999999999999</v>
      </c>
    </row>
    <row r="42" spans="1:25">
      <c r="A42" s="2807" t="s">
        <v>4276</v>
      </c>
      <c r="C42" s="2807">
        <v>789.56</v>
      </c>
      <c r="D42" s="2807">
        <v>20925</v>
      </c>
      <c r="E42" s="2807">
        <v>1652</v>
      </c>
      <c r="P42" s="1414"/>
      <c r="Q42" s="2807" t="s">
        <v>4398</v>
      </c>
      <c r="R42" s="2807">
        <v>812.84</v>
      </c>
      <c r="S42" s="2807">
        <v>20925</v>
      </c>
      <c r="T42" s="2807">
        <v>1701</v>
      </c>
      <c r="U42" s="1414"/>
      <c r="V42" s="2807" t="s">
        <v>3993</v>
      </c>
      <c r="W42" s="2807">
        <v>50.93</v>
      </c>
      <c r="X42" s="2807">
        <f t="shared" si="0"/>
        <v>3648</v>
      </c>
      <c r="Y42" s="2807">
        <v>18.577999999999999</v>
      </c>
    </row>
    <row r="43" spans="1:25">
      <c r="A43" s="2807" t="s">
        <v>4277</v>
      </c>
      <c r="C43" s="2807">
        <v>781.22</v>
      </c>
      <c r="D43" s="2807">
        <v>20925</v>
      </c>
      <c r="E43" s="2807">
        <v>1635</v>
      </c>
      <c r="P43" s="1414"/>
      <c r="Q43" s="2807" t="s">
        <v>4399</v>
      </c>
      <c r="R43" s="2807">
        <v>804.26</v>
      </c>
      <c r="S43" s="2807">
        <v>20925</v>
      </c>
      <c r="T43" s="2807">
        <v>1683</v>
      </c>
      <c r="U43" s="1414"/>
      <c r="V43" s="2807" t="s">
        <v>3994</v>
      </c>
      <c r="W43" s="2807">
        <v>50.93</v>
      </c>
      <c r="X43" s="2807">
        <f t="shared" si="0"/>
        <v>3648</v>
      </c>
      <c r="Y43" s="2807">
        <v>18.577999999999999</v>
      </c>
    </row>
    <row r="44" spans="1:25">
      <c r="A44" s="2807" t="s">
        <v>4278</v>
      </c>
      <c r="C44" s="2807">
        <v>789.56</v>
      </c>
      <c r="D44" s="2807">
        <v>20925</v>
      </c>
      <c r="E44" s="2807">
        <v>1652</v>
      </c>
      <c r="P44" s="1414"/>
      <c r="Q44" s="2807" t="s">
        <v>4400</v>
      </c>
      <c r="R44" s="2807">
        <v>812.84</v>
      </c>
      <c r="S44" s="2807">
        <v>20925</v>
      </c>
      <c r="T44" s="2807">
        <v>1701</v>
      </c>
      <c r="U44" s="1414"/>
      <c r="V44" s="2807" t="s">
        <v>3995</v>
      </c>
      <c r="W44" s="2807">
        <v>50.93</v>
      </c>
      <c r="X44" s="2807">
        <f t="shared" si="0"/>
        <v>3648</v>
      </c>
      <c r="Y44" s="2807">
        <v>18.577999999999999</v>
      </c>
    </row>
    <row r="45" spans="1:25">
      <c r="A45" s="2807" t="s">
        <v>4279</v>
      </c>
      <c r="C45" s="2807">
        <v>781.22</v>
      </c>
      <c r="D45" s="2807">
        <v>20925</v>
      </c>
      <c r="E45" s="2807">
        <v>1635</v>
      </c>
      <c r="P45" s="1414"/>
      <c r="Q45" s="2807" t="s">
        <v>4401</v>
      </c>
      <c r="R45" s="2807">
        <v>804.26</v>
      </c>
      <c r="S45" s="2807">
        <v>20925</v>
      </c>
      <c r="T45" s="2807">
        <v>1683</v>
      </c>
      <c r="U45" s="1414"/>
      <c r="V45" s="2807" t="s">
        <v>3996</v>
      </c>
      <c r="W45" s="2807">
        <v>50.93</v>
      </c>
      <c r="X45" s="2807">
        <f t="shared" si="0"/>
        <v>3648</v>
      </c>
      <c r="Y45" s="2807">
        <v>18.577999999999999</v>
      </c>
    </row>
    <row r="46" spans="1:25">
      <c r="A46" s="2807" t="s">
        <v>4280</v>
      </c>
      <c r="C46" s="2807">
        <v>789.56</v>
      </c>
      <c r="D46" s="2807">
        <v>20925</v>
      </c>
      <c r="E46" s="2807">
        <v>1652</v>
      </c>
      <c r="P46" s="1414"/>
      <c r="Q46" s="2807" t="s">
        <v>4402</v>
      </c>
      <c r="R46" s="2807">
        <v>812.84</v>
      </c>
      <c r="S46" s="2807">
        <v>20925</v>
      </c>
      <c r="T46" s="2807">
        <v>1701</v>
      </c>
      <c r="U46" s="1414"/>
      <c r="V46" s="2807" t="s">
        <v>3997</v>
      </c>
      <c r="W46" s="2807">
        <v>50.93</v>
      </c>
      <c r="X46" s="2807">
        <f t="shared" si="0"/>
        <v>3648</v>
      </c>
      <c r="Y46" s="2807">
        <v>18.577999999999999</v>
      </c>
    </row>
    <row r="47" spans="1:25">
      <c r="A47" s="2807" t="s">
        <v>4281</v>
      </c>
      <c r="C47" s="2807">
        <v>781.22</v>
      </c>
      <c r="D47" s="2807">
        <v>20925</v>
      </c>
      <c r="E47" s="2807">
        <v>1635</v>
      </c>
      <c r="P47" s="1414"/>
      <c r="Q47" s="2807" t="s">
        <v>4403</v>
      </c>
      <c r="R47" s="2807">
        <v>804.26</v>
      </c>
      <c r="S47" s="2807">
        <v>20925</v>
      </c>
      <c r="T47" s="2807">
        <v>1683</v>
      </c>
      <c r="U47" s="1414"/>
      <c r="V47" s="2807" t="s">
        <v>3998</v>
      </c>
      <c r="W47" s="2807">
        <v>50.93</v>
      </c>
      <c r="X47" s="2807">
        <f t="shared" si="0"/>
        <v>3648</v>
      </c>
      <c r="Y47" s="2807">
        <v>18.577999999999999</v>
      </c>
    </row>
    <row r="48" spans="1:25">
      <c r="A48" s="2807" t="s">
        <v>4282</v>
      </c>
      <c r="C48" s="2807">
        <v>789.56</v>
      </c>
      <c r="D48" s="2807">
        <v>20925</v>
      </c>
      <c r="E48" s="2807">
        <v>1652</v>
      </c>
      <c r="P48" s="1414"/>
      <c r="Q48" s="2807" t="s">
        <v>4404</v>
      </c>
      <c r="R48" s="2807">
        <v>812.84</v>
      </c>
      <c r="S48" s="2807">
        <v>20925</v>
      </c>
      <c r="T48" s="2807">
        <v>1701</v>
      </c>
      <c r="U48" s="1414"/>
      <c r="V48" s="2807" t="s">
        <v>3999</v>
      </c>
      <c r="W48" s="2807">
        <v>50.93</v>
      </c>
      <c r="X48" s="2807">
        <f t="shared" si="0"/>
        <v>3648</v>
      </c>
      <c r="Y48" s="2807">
        <v>18.577999999999999</v>
      </c>
    </row>
    <row r="49" spans="1:25">
      <c r="A49" s="2807" t="s">
        <v>4283</v>
      </c>
      <c r="C49" s="2807">
        <v>781.22</v>
      </c>
      <c r="D49" s="2807">
        <v>20925</v>
      </c>
      <c r="E49" s="2807">
        <v>1635</v>
      </c>
      <c r="P49" s="1414"/>
      <c r="Q49" s="2807" t="s">
        <v>4405</v>
      </c>
      <c r="R49" s="2807">
        <v>804.26</v>
      </c>
      <c r="S49" s="2807">
        <v>20925</v>
      </c>
      <c r="T49" s="2807">
        <v>1683</v>
      </c>
      <c r="U49" s="1414"/>
      <c r="V49" s="2807" t="s">
        <v>4000</v>
      </c>
      <c r="W49" s="2807">
        <v>50.93</v>
      </c>
      <c r="X49" s="2807">
        <f t="shared" si="0"/>
        <v>3648</v>
      </c>
      <c r="Y49" s="2807">
        <v>18.577999999999999</v>
      </c>
    </row>
    <row r="50" spans="1:25">
      <c r="A50" s="2807" t="s">
        <v>4284</v>
      </c>
      <c r="C50" s="2807">
        <v>789.56</v>
      </c>
      <c r="D50" s="2807">
        <v>20925</v>
      </c>
      <c r="E50" s="2807">
        <v>1652</v>
      </c>
      <c r="P50" s="1414"/>
      <c r="Q50" s="2807" t="s">
        <v>4406</v>
      </c>
      <c r="R50" s="2807">
        <v>812.84</v>
      </c>
      <c r="S50" s="2807">
        <v>20925</v>
      </c>
      <c r="T50" s="2807">
        <v>1701</v>
      </c>
      <c r="U50" s="1414"/>
      <c r="V50" s="2807" t="s">
        <v>4001</v>
      </c>
      <c r="W50" s="2807">
        <v>52.93</v>
      </c>
      <c r="X50" s="2807">
        <f t="shared" si="0"/>
        <v>3510</v>
      </c>
      <c r="Y50" s="2807">
        <v>18.577999999999999</v>
      </c>
    </row>
    <row r="51" spans="1:25">
      <c r="A51" s="2807" t="s">
        <v>4285</v>
      </c>
      <c r="C51" s="2807">
        <v>781.22</v>
      </c>
      <c r="D51" s="2807">
        <v>20925</v>
      </c>
      <c r="E51" s="2807">
        <v>1635</v>
      </c>
      <c r="P51" s="1414"/>
      <c r="Q51" s="2807" t="s">
        <v>4407</v>
      </c>
      <c r="R51" s="2807">
        <v>804.26</v>
      </c>
      <c r="S51" s="2807">
        <v>20925</v>
      </c>
      <c r="T51" s="2807">
        <v>1683</v>
      </c>
      <c r="U51" s="1414"/>
      <c r="V51" s="2807" t="s">
        <v>4002</v>
      </c>
      <c r="W51" s="2807">
        <v>52.93</v>
      </c>
      <c r="X51" s="2807">
        <f t="shared" si="0"/>
        <v>3510</v>
      </c>
      <c r="Y51" s="2807">
        <v>18.577999999999999</v>
      </c>
    </row>
    <row r="52" spans="1:25">
      <c r="A52" s="2807" t="s">
        <v>4286</v>
      </c>
      <c r="C52" s="2807">
        <v>789.56</v>
      </c>
      <c r="D52" s="2807">
        <v>20925</v>
      </c>
      <c r="E52" s="2807">
        <v>1652</v>
      </c>
      <c r="P52" s="1414"/>
      <c r="Q52" s="2807" t="s">
        <v>4408</v>
      </c>
      <c r="R52" s="2807">
        <v>812.84</v>
      </c>
      <c r="S52" s="2807">
        <v>20925</v>
      </c>
      <c r="T52" s="2807">
        <v>1701</v>
      </c>
      <c r="U52" s="1414"/>
      <c r="V52" s="2807" t="s">
        <v>4003</v>
      </c>
      <c r="W52" s="2807">
        <v>52.93</v>
      </c>
      <c r="X52" s="2807">
        <f t="shared" si="0"/>
        <v>3510</v>
      </c>
      <c r="Y52" s="2807">
        <v>18.577999999999999</v>
      </c>
    </row>
    <row r="53" spans="1:25">
      <c r="A53" s="2807" t="s">
        <v>4287</v>
      </c>
      <c r="C53" s="2807">
        <v>781.22</v>
      </c>
      <c r="D53" s="2807">
        <v>20925</v>
      </c>
      <c r="E53" s="2807">
        <v>1635</v>
      </c>
      <c r="P53" s="1414"/>
      <c r="Q53" s="2807" t="s">
        <v>4409</v>
      </c>
      <c r="R53" s="2807">
        <v>804.26</v>
      </c>
      <c r="S53" s="2807">
        <v>20925</v>
      </c>
      <c r="T53" s="2807">
        <v>1683</v>
      </c>
      <c r="U53" s="1414"/>
      <c r="V53" s="2807" t="s">
        <v>4004</v>
      </c>
      <c r="W53" s="2807">
        <v>52.93</v>
      </c>
      <c r="X53" s="2807">
        <f t="shared" si="0"/>
        <v>3510</v>
      </c>
      <c r="Y53" s="2807">
        <v>18.577999999999999</v>
      </c>
    </row>
    <row r="54" spans="1:25">
      <c r="A54" s="2807" t="s">
        <v>4288</v>
      </c>
      <c r="C54" s="2807">
        <v>789.56</v>
      </c>
      <c r="D54" s="2807">
        <v>20925</v>
      </c>
      <c r="E54" s="2807">
        <v>1652</v>
      </c>
      <c r="P54" s="1414"/>
      <c r="Q54" s="2807" t="s">
        <v>4410</v>
      </c>
      <c r="R54" s="2807">
        <v>812.84</v>
      </c>
      <c r="S54" s="2807">
        <v>20925</v>
      </c>
      <c r="T54" s="2807">
        <v>1701</v>
      </c>
      <c r="U54" s="1414"/>
      <c r="V54" s="2807" t="s">
        <v>4005</v>
      </c>
      <c r="W54" s="2807">
        <v>52.93</v>
      </c>
      <c r="X54" s="2807">
        <f t="shared" si="0"/>
        <v>3510</v>
      </c>
      <c r="Y54" s="2807">
        <v>18.577999999999999</v>
      </c>
    </row>
    <row r="55" spans="1:25">
      <c r="A55" s="2807" t="s">
        <v>4289</v>
      </c>
      <c r="C55" s="2807">
        <v>781.22</v>
      </c>
      <c r="D55" s="2807">
        <v>20925</v>
      </c>
      <c r="E55" s="2807">
        <v>1635</v>
      </c>
      <c r="P55" s="1414"/>
      <c r="Q55" s="2807" t="s">
        <v>4411</v>
      </c>
      <c r="R55" s="2807">
        <v>804.26</v>
      </c>
      <c r="S55" s="2807">
        <v>20925</v>
      </c>
      <c r="T55" s="2807">
        <v>1683</v>
      </c>
      <c r="U55" s="1414"/>
      <c r="V55" s="2807" t="s">
        <v>4006</v>
      </c>
      <c r="W55" s="2807">
        <v>52.93</v>
      </c>
      <c r="X55" s="2807">
        <f t="shared" si="0"/>
        <v>3510</v>
      </c>
      <c r="Y55" s="2807">
        <v>18.577999999999999</v>
      </c>
    </row>
    <row r="56" spans="1:25">
      <c r="A56" s="2807" t="s">
        <v>4290</v>
      </c>
      <c r="C56" s="2807">
        <v>789.56</v>
      </c>
      <c r="D56" s="2807">
        <v>20925</v>
      </c>
      <c r="E56" s="2807">
        <v>1652</v>
      </c>
      <c r="P56" s="1414"/>
      <c r="Q56" s="2807" t="s">
        <v>4412</v>
      </c>
      <c r="R56" s="2807">
        <v>812.84</v>
      </c>
      <c r="S56" s="2807">
        <v>20925</v>
      </c>
      <c r="T56" s="2807">
        <v>1701</v>
      </c>
      <c r="U56" s="1414"/>
      <c r="V56" s="2807" t="s">
        <v>4007</v>
      </c>
      <c r="W56" s="2807">
        <v>52.93</v>
      </c>
      <c r="X56" s="2807">
        <f t="shared" si="0"/>
        <v>3510</v>
      </c>
      <c r="Y56" s="2807">
        <v>18.577999999999999</v>
      </c>
    </row>
    <row r="57" spans="1:25">
      <c r="A57" s="2807" t="s">
        <v>4291</v>
      </c>
      <c r="C57" s="2807">
        <v>781.22</v>
      </c>
      <c r="D57" s="2807">
        <v>20925</v>
      </c>
      <c r="E57" s="2807">
        <v>1635</v>
      </c>
      <c r="P57" s="1414"/>
      <c r="Q57" s="2807" t="s">
        <v>4413</v>
      </c>
      <c r="R57" s="2807">
        <v>804.26</v>
      </c>
      <c r="S57" s="2807">
        <v>20925</v>
      </c>
      <c r="T57" s="2807">
        <v>1683</v>
      </c>
      <c r="U57" s="1414"/>
      <c r="V57" s="2807" t="s">
        <v>4008</v>
      </c>
      <c r="W57" s="2807">
        <v>52.93</v>
      </c>
      <c r="X57" s="2807">
        <f t="shared" si="0"/>
        <v>3510</v>
      </c>
      <c r="Y57" s="2807">
        <v>18.577999999999999</v>
      </c>
    </row>
    <row r="58" spans="1:25">
      <c r="V58" s="2807" t="s">
        <v>4009</v>
      </c>
      <c r="W58" s="2807">
        <v>52.93</v>
      </c>
      <c r="X58" s="2807">
        <f t="shared" si="0"/>
        <v>3510</v>
      </c>
      <c r="Y58" s="2807">
        <v>18.577999999999999</v>
      </c>
    </row>
    <row r="59" spans="1:25">
      <c r="V59" s="2807" t="s">
        <v>4010</v>
      </c>
      <c r="W59" s="2807">
        <v>52.93</v>
      </c>
      <c r="X59" s="2807">
        <f t="shared" si="0"/>
        <v>3510</v>
      </c>
      <c r="Y59" s="2807">
        <v>18.577999999999999</v>
      </c>
    </row>
    <row r="60" spans="1:25">
      <c r="V60" s="2807" t="s">
        <v>4011</v>
      </c>
      <c r="W60" s="2807">
        <v>52.93</v>
      </c>
      <c r="X60" s="2807">
        <f t="shared" si="0"/>
        <v>3510</v>
      </c>
      <c r="Y60" s="2807">
        <v>18.577999999999999</v>
      </c>
    </row>
    <row r="61" spans="1:25">
      <c r="V61" s="2807" t="s">
        <v>4012</v>
      </c>
      <c r="W61" s="2807">
        <v>52.93</v>
      </c>
      <c r="X61" s="2807">
        <f t="shared" si="0"/>
        <v>3510</v>
      </c>
      <c r="Y61" s="2807">
        <v>18.577999999999999</v>
      </c>
    </row>
    <row r="62" spans="1:25">
      <c r="V62" s="2807" t="s">
        <v>4013</v>
      </c>
      <c r="W62" s="2807">
        <v>52.93</v>
      </c>
      <c r="X62" s="2807">
        <f t="shared" si="0"/>
        <v>3510</v>
      </c>
      <c r="Y62" s="2807">
        <v>18.577999999999999</v>
      </c>
    </row>
    <row r="63" spans="1:25">
      <c r="V63" s="2807" t="s">
        <v>4014</v>
      </c>
      <c r="W63" s="2807">
        <v>52.93</v>
      </c>
      <c r="X63" s="2807">
        <f t="shared" si="0"/>
        <v>3510</v>
      </c>
      <c r="Y63" s="2807">
        <v>18.577999999999999</v>
      </c>
    </row>
    <row r="64" spans="1:25">
      <c r="V64" s="2807" t="s">
        <v>4015</v>
      </c>
      <c r="W64" s="2807">
        <v>52.93</v>
      </c>
      <c r="X64" s="2807">
        <f t="shared" si="0"/>
        <v>3510</v>
      </c>
      <c r="Y64" s="2807">
        <v>18.577999999999999</v>
      </c>
    </row>
    <row r="65" spans="22:25">
      <c r="V65" s="2807" t="s">
        <v>4016</v>
      </c>
      <c r="W65" s="2807">
        <v>52.93</v>
      </c>
      <c r="X65" s="2807">
        <f t="shared" si="0"/>
        <v>3510</v>
      </c>
      <c r="Y65" s="2807">
        <v>18.577999999999999</v>
      </c>
    </row>
    <row r="66" spans="22:25">
      <c r="V66" s="2807" t="s">
        <v>4017</v>
      </c>
      <c r="W66" s="2807">
        <v>52.93</v>
      </c>
      <c r="X66" s="2807">
        <f t="shared" si="0"/>
        <v>3510</v>
      </c>
      <c r="Y66" s="2807">
        <v>18.577999999999999</v>
      </c>
    </row>
    <row r="67" spans="22:25">
      <c r="V67" s="2807" t="s">
        <v>4018</v>
      </c>
      <c r="W67" s="2807">
        <v>52.93</v>
      </c>
      <c r="X67" s="2807">
        <f t="shared" si="0"/>
        <v>3510</v>
      </c>
      <c r="Y67" s="2807">
        <v>18.577999999999999</v>
      </c>
    </row>
    <row r="68" spans="22:25">
      <c r="V68" s="2807" t="s">
        <v>4019</v>
      </c>
      <c r="W68" s="2807">
        <v>52.93</v>
      </c>
      <c r="X68" s="2807">
        <f t="shared" si="0"/>
        <v>3510</v>
      </c>
      <c r="Y68" s="2807">
        <v>18.577999999999999</v>
      </c>
    </row>
    <row r="69" spans="22:25">
      <c r="V69" s="2807" t="s">
        <v>4020</v>
      </c>
      <c r="W69" s="2807">
        <v>52.93</v>
      </c>
      <c r="X69" s="2807">
        <f t="shared" si="0"/>
        <v>3510</v>
      </c>
      <c r="Y69" s="2807">
        <v>18.577999999999999</v>
      </c>
    </row>
    <row r="70" spans="22:25">
      <c r="V70" s="2807" t="s">
        <v>4021</v>
      </c>
      <c r="W70" s="2807">
        <v>52.93</v>
      </c>
      <c r="X70" s="2807">
        <f t="shared" ref="X70:X133" si="1">ROUND(Y70/W70*10000,0)</f>
        <v>3510</v>
      </c>
      <c r="Y70" s="2807">
        <v>18.577999999999999</v>
      </c>
    </row>
    <row r="71" spans="22:25">
      <c r="V71" s="2807" t="s">
        <v>4022</v>
      </c>
      <c r="W71" s="2807">
        <v>52.93</v>
      </c>
      <c r="X71" s="2807">
        <f t="shared" si="1"/>
        <v>3510</v>
      </c>
      <c r="Y71" s="2807">
        <v>18.577999999999999</v>
      </c>
    </row>
    <row r="72" spans="22:25">
      <c r="V72" s="2807" t="s">
        <v>4023</v>
      </c>
      <c r="W72" s="2807">
        <v>52.93</v>
      </c>
      <c r="X72" s="2807">
        <f t="shared" si="1"/>
        <v>3510</v>
      </c>
      <c r="Y72" s="2807">
        <v>18.577999999999999</v>
      </c>
    </row>
    <row r="73" spans="22:25">
      <c r="V73" s="2807" t="s">
        <v>4024</v>
      </c>
      <c r="W73" s="2807">
        <v>52.93</v>
      </c>
      <c r="X73" s="2807">
        <f t="shared" si="1"/>
        <v>3510</v>
      </c>
      <c r="Y73" s="2807">
        <v>18.577999999999999</v>
      </c>
    </row>
    <row r="74" spans="22:25">
      <c r="V74" s="2807" t="s">
        <v>4025</v>
      </c>
      <c r="W74" s="2807">
        <v>52.93</v>
      </c>
      <c r="X74" s="2807">
        <f t="shared" si="1"/>
        <v>3510</v>
      </c>
      <c r="Y74" s="2807">
        <v>18.577999999999999</v>
      </c>
    </row>
    <row r="75" spans="22:25">
      <c r="V75" s="2807" t="s">
        <v>4026</v>
      </c>
      <c r="W75" s="2807">
        <v>52.93</v>
      </c>
      <c r="X75" s="2807">
        <f t="shared" si="1"/>
        <v>3510</v>
      </c>
      <c r="Y75" s="2807">
        <v>18.577999999999999</v>
      </c>
    </row>
    <row r="76" spans="22:25">
      <c r="V76" s="2807" t="s">
        <v>4027</v>
      </c>
      <c r="W76" s="2807">
        <v>52.93</v>
      </c>
      <c r="X76" s="2807">
        <f t="shared" si="1"/>
        <v>3510</v>
      </c>
      <c r="Y76" s="2807">
        <v>18.577999999999999</v>
      </c>
    </row>
    <row r="77" spans="22:25">
      <c r="V77" s="2807" t="s">
        <v>4028</v>
      </c>
      <c r="W77" s="2807">
        <v>52.93</v>
      </c>
      <c r="X77" s="2807">
        <f t="shared" si="1"/>
        <v>3510</v>
      </c>
      <c r="Y77" s="2807">
        <v>18.577999999999999</v>
      </c>
    </row>
    <row r="78" spans="22:25">
      <c r="V78" s="2807" t="s">
        <v>4029</v>
      </c>
      <c r="W78" s="2807">
        <v>52.93</v>
      </c>
      <c r="X78" s="2807">
        <f t="shared" si="1"/>
        <v>3510</v>
      </c>
      <c r="Y78" s="2807">
        <v>18.577999999999999</v>
      </c>
    </row>
    <row r="79" spans="22:25">
      <c r="V79" s="2807" t="s">
        <v>4030</v>
      </c>
      <c r="W79" s="2807">
        <v>52.93</v>
      </c>
      <c r="X79" s="2807">
        <f t="shared" si="1"/>
        <v>3510</v>
      </c>
      <c r="Y79" s="2807">
        <v>18.577999999999999</v>
      </c>
    </row>
    <row r="80" spans="22:25">
      <c r="V80" s="2807" t="s">
        <v>4031</v>
      </c>
      <c r="W80" s="2807">
        <v>52.93</v>
      </c>
      <c r="X80" s="2807">
        <f t="shared" si="1"/>
        <v>3510</v>
      </c>
      <c r="Y80" s="2807">
        <v>18.577999999999999</v>
      </c>
    </row>
    <row r="81" spans="22:25">
      <c r="V81" s="2807" t="s">
        <v>4032</v>
      </c>
      <c r="W81" s="2807">
        <v>52.93</v>
      </c>
      <c r="X81" s="2807">
        <f t="shared" si="1"/>
        <v>3510</v>
      </c>
      <c r="Y81" s="2807">
        <v>18.577999999999999</v>
      </c>
    </row>
    <row r="82" spans="22:25">
      <c r="V82" s="2807" t="s">
        <v>4033</v>
      </c>
      <c r="W82" s="2807">
        <v>52.93</v>
      </c>
      <c r="X82" s="2807">
        <f t="shared" si="1"/>
        <v>3510</v>
      </c>
      <c r="Y82" s="2807">
        <v>18.577999999999999</v>
      </c>
    </row>
    <row r="83" spans="22:25">
      <c r="V83" s="2807" t="s">
        <v>4034</v>
      </c>
      <c r="W83" s="2807">
        <v>52.93</v>
      </c>
      <c r="X83" s="2807">
        <f t="shared" si="1"/>
        <v>3510</v>
      </c>
      <c r="Y83" s="2807">
        <v>18.577999999999999</v>
      </c>
    </row>
    <row r="84" spans="22:25">
      <c r="V84" s="2807" t="s">
        <v>4035</v>
      </c>
      <c r="W84" s="2807">
        <v>50.93</v>
      </c>
      <c r="X84" s="2807">
        <f t="shared" si="1"/>
        <v>3648</v>
      </c>
      <c r="Y84" s="2807">
        <v>18.577999999999999</v>
      </c>
    </row>
    <row r="85" spans="22:25">
      <c r="V85" s="2807" t="s">
        <v>4036</v>
      </c>
      <c r="W85" s="2807">
        <v>52.93</v>
      </c>
      <c r="X85" s="2807">
        <f t="shared" si="1"/>
        <v>3510</v>
      </c>
      <c r="Y85" s="2807">
        <v>18.577999999999999</v>
      </c>
    </row>
    <row r="86" spans="22:25">
      <c r="V86" s="2807" t="s">
        <v>4037</v>
      </c>
      <c r="W86" s="2807">
        <v>52.93</v>
      </c>
      <c r="X86" s="2807">
        <f t="shared" si="1"/>
        <v>3510</v>
      </c>
      <c r="Y86" s="2807">
        <v>18.577999999999999</v>
      </c>
    </row>
    <row r="87" spans="22:25">
      <c r="V87" s="2807" t="s">
        <v>4038</v>
      </c>
      <c r="W87" s="2807">
        <v>52.93</v>
      </c>
      <c r="X87" s="2807">
        <f t="shared" si="1"/>
        <v>3510</v>
      </c>
      <c r="Y87" s="2807">
        <v>18.577999999999999</v>
      </c>
    </row>
    <row r="88" spans="22:25">
      <c r="V88" s="2807" t="s">
        <v>4039</v>
      </c>
      <c r="W88" s="2807">
        <v>52.93</v>
      </c>
      <c r="X88" s="2807">
        <f t="shared" si="1"/>
        <v>3510</v>
      </c>
      <c r="Y88" s="2807">
        <v>18.577999999999999</v>
      </c>
    </row>
    <row r="89" spans="22:25">
      <c r="V89" s="2807" t="s">
        <v>4040</v>
      </c>
      <c r="W89" s="2807">
        <v>52.93</v>
      </c>
      <c r="X89" s="2807">
        <f t="shared" si="1"/>
        <v>3510</v>
      </c>
      <c r="Y89" s="2807">
        <v>18.577999999999999</v>
      </c>
    </row>
    <row r="90" spans="22:25">
      <c r="V90" s="2807" t="s">
        <v>4041</v>
      </c>
      <c r="W90" s="2807">
        <v>52.93</v>
      </c>
      <c r="X90" s="2807">
        <f t="shared" si="1"/>
        <v>3510</v>
      </c>
      <c r="Y90" s="2807">
        <v>18.577999999999999</v>
      </c>
    </row>
    <row r="91" spans="22:25">
      <c r="V91" s="2807" t="s">
        <v>4042</v>
      </c>
      <c r="W91" s="2807">
        <v>52.93</v>
      </c>
      <c r="X91" s="2807">
        <f t="shared" si="1"/>
        <v>3510</v>
      </c>
      <c r="Y91" s="2807">
        <v>18.577999999999999</v>
      </c>
    </row>
    <row r="92" spans="22:25">
      <c r="V92" s="2807" t="s">
        <v>4043</v>
      </c>
      <c r="W92" s="2807">
        <v>52.93</v>
      </c>
      <c r="X92" s="2807">
        <f t="shared" si="1"/>
        <v>3510</v>
      </c>
      <c r="Y92" s="2807">
        <v>18.577999999999999</v>
      </c>
    </row>
    <row r="93" spans="22:25">
      <c r="V93" s="2807" t="s">
        <v>4044</v>
      </c>
      <c r="W93" s="2807">
        <v>50.93</v>
      </c>
      <c r="X93" s="2807">
        <f t="shared" si="1"/>
        <v>3648</v>
      </c>
      <c r="Y93" s="2807">
        <v>18.577999999999999</v>
      </c>
    </row>
    <row r="94" spans="22:25">
      <c r="V94" s="2807" t="s">
        <v>4045</v>
      </c>
      <c r="W94" s="2807">
        <v>50.93</v>
      </c>
      <c r="X94" s="2807">
        <f t="shared" si="1"/>
        <v>3648</v>
      </c>
      <c r="Y94" s="2807">
        <v>18.577999999999999</v>
      </c>
    </row>
    <row r="95" spans="22:25">
      <c r="V95" s="2807" t="s">
        <v>4046</v>
      </c>
      <c r="W95" s="2807">
        <v>50.93</v>
      </c>
      <c r="X95" s="2807">
        <f t="shared" si="1"/>
        <v>3648</v>
      </c>
      <c r="Y95" s="2807">
        <v>18.577999999999999</v>
      </c>
    </row>
    <row r="96" spans="22:25">
      <c r="V96" s="2807" t="s">
        <v>4047</v>
      </c>
      <c r="W96" s="2807">
        <v>50.93</v>
      </c>
      <c r="X96" s="2807">
        <f t="shared" si="1"/>
        <v>3648</v>
      </c>
      <c r="Y96" s="2807">
        <v>18.577999999999999</v>
      </c>
    </row>
    <row r="97" spans="22:25">
      <c r="V97" s="2807" t="s">
        <v>4048</v>
      </c>
      <c r="W97" s="2807">
        <v>50.93</v>
      </c>
      <c r="X97" s="2807">
        <f t="shared" si="1"/>
        <v>3648</v>
      </c>
      <c r="Y97" s="2807">
        <v>18.577999999999999</v>
      </c>
    </row>
    <row r="98" spans="22:25">
      <c r="V98" s="2807" t="s">
        <v>4049</v>
      </c>
      <c r="W98" s="2807">
        <v>50.93</v>
      </c>
      <c r="X98" s="2807">
        <f t="shared" si="1"/>
        <v>3648</v>
      </c>
      <c r="Y98" s="2807">
        <v>18.577999999999999</v>
      </c>
    </row>
    <row r="99" spans="22:25">
      <c r="V99" s="2807" t="s">
        <v>4050</v>
      </c>
      <c r="W99" s="2807">
        <v>50.93</v>
      </c>
      <c r="X99" s="2807">
        <f t="shared" si="1"/>
        <v>3648</v>
      </c>
      <c r="Y99" s="2807">
        <v>18.577999999999999</v>
      </c>
    </row>
    <row r="100" spans="22:25">
      <c r="V100" s="2807" t="s">
        <v>4051</v>
      </c>
      <c r="W100" s="2807">
        <v>50.93</v>
      </c>
      <c r="X100" s="2807">
        <f t="shared" si="1"/>
        <v>3648</v>
      </c>
      <c r="Y100" s="2807">
        <v>18.577999999999999</v>
      </c>
    </row>
    <row r="101" spans="22:25">
      <c r="V101" s="2807" t="s">
        <v>4052</v>
      </c>
      <c r="W101" s="2807">
        <v>50.93</v>
      </c>
      <c r="X101" s="2807">
        <f t="shared" si="1"/>
        <v>3648</v>
      </c>
      <c r="Y101" s="2807">
        <v>18.577999999999999</v>
      </c>
    </row>
    <row r="102" spans="22:25">
      <c r="V102" s="2807" t="s">
        <v>4053</v>
      </c>
      <c r="W102" s="2807">
        <v>50.93</v>
      </c>
      <c r="X102" s="2807">
        <f t="shared" si="1"/>
        <v>3648</v>
      </c>
      <c r="Y102" s="2807">
        <v>18.577999999999999</v>
      </c>
    </row>
    <row r="103" spans="22:25">
      <c r="V103" s="2807" t="s">
        <v>4054</v>
      </c>
      <c r="W103" s="2807">
        <v>50.93</v>
      </c>
      <c r="X103" s="2807">
        <f t="shared" si="1"/>
        <v>3648</v>
      </c>
      <c r="Y103" s="2807">
        <v>18.577999999999999</v>
      </c>
    </row>
    <row r="104" spans="22:25">
      <c r="V104" s="2807" t="s">
        <v>4055</v>
      </c>
      <c r="W104" s="2807">
        <v>50.93</v>
      </c>
      <c r="X104" s="2807">
        <f t="shared" si="1"/>
        <v>3648</v>
      </c>
      <c r="Y104" s="2807">
        <v>18.577999999999999</v>
      </c>
    </row>
    <row r="105" spans="22:25">
      <c r="V105" s="2807" t="s">
        <v>4056</v>
      </c>
      <c r="W105" s="2807">
        <v>50.93</v>
      </c>
      <c r="X105" s="2807">
        <f t="shared" si="1"/>
        <v>3648</v>
      </c>
      <c r="Y105" s="2807">
        <v>18.577999999999999</v>
      </c>
    </row>
    <row r="106" spans="22:25">
      <c r="V106" s="2807" t="s">
        <v>4057</v>
      </c>
      <c r="W106" s="2807">
        <v>50.93</v>
      </c>
      <c r="X106" s="2807">
        <f t="shared" si="1"/>
        <v>3648</v>
      </c>
      <c r="Y106" s="2807">
        <v>18.577999999999999</v>
      </c>
    </row>
    <row r="107" spans="22:25">
      <c r="V107" s="2807" t="s">
        <v>4058</v>
      </c>
      <c r="W107" s="2807">
        <v>50.93</v>
      </c>
      <c r="X107" s="2807">
        <f t="shared" si="1"/>
        <v>3648</v>
      </c>
      <c r="Y107" s="2807">
        <v>18.577999999999999</v>
      </c>
    </row>
    <row r="108" spans="22:25">
      <c r="V108" s="2807" t="s">
        <v>4059</v>
      </c>
      <c r="W108" s="2807">
        <v>50.93</v>
      </c>
      <c r="X108" s="2807">
        <f t="shared" si="1"/>
        <v>3648</v>
      </c>
      <c r="Y108" s="2807">
        <v>18.577999999999999</v>
      </c>
    </row>
    <row r="109" spans="22:25">
      <c r="V109" s="2807" t="s">
        <v>4060</v>
      </c>
      <c r="W109" s="2807">
        <v>50.93</v>
      </c>
      <c r="X109" s="2807">
        <f t="shared" si="1"/>
        <v>3648</v>
      </c>
      <c r="Y109" s="2807">
        <v>18.577999999999999</v>
      </c>
    </row>
    <row r="110" spans="22:25">
      <c r="V110" s="2807" t="s">
        <v>4061</v>
      </c>
      <c r="W110" s="2807">
        <v>50.93</v>
      </c>
      <c r="X110" s="2807">
        <f t="shared" si="1"/>
        <v>3648</v>
      </c>
      <c r="Y110" s="2807">
        <v>18.577999999999999</v>
      </c>
    </row>
    <row r="111" spans="22:25">
      <c r="V111" s="2807" t="s">
        <v>4062</v>
      </c>
      <c r="W111" s="2807">
        <v>52.93</v>
      </c>
      <c r="X111" s="2807">
        <f t="shared" si="1"/>
        <v>3510</v>
      </c>
      <c r="Y111" s="2807">
        <v>18.577999999999999</v>
      </c>
    </row>
    <row r="112" spans="22:25">
      <c r="V112" s="2807" t="s">
        <v>4063</v>
      </c>
      <c r="W112" s="2807">
        <v>52.93</v>
      </c>
      <c r="X112" s="2807">
        <f t="shared" si="1"/>
        <v>3510</v>
      </c>
      <c r="Y112" s="2807">
        <v>18.577999999999999</v>
      </c>
    </row>
    <row r="113" spans="22:25">
      <c r="V113" s="2807" t="s">
        <v>4064</v>
      </c>
      <c r="W113" s="2807">
        <v>52.93</v>
      </c>
      <c r="X113" s="2807">
        <f t="shared" si="1"/>
        <v>3510</v>
      </c>
      <c r="Y113" s="2807">
        <v>18.577999999999999</v>
      </c>
    </row>
    <row r="114" spans="22:25">
      <c r="V114" s="2807" t="s">
        <v>4065</v>
      </c>
      <c r="W114" s="2807">
        <v>50.93</v>
      </c>
      <c r="X114" s="2807">
        <f t="shared" si="1"/>
        <v>3648</v>
      </c>
      <c r="Y114" s="2807">
        <v>18.577999999999999</v>
      </c>
    </row>
    <row r="115" spans="22:25">
      <c r="V115" s="2807" t="s">
        <v>4066</v>
      </c>
      <c r="W115" s="2807">
        <v>50.93</v>
      </c>
      <c r="X115" s="2807">
        <f t="shared" si="1"/>
        <v>3648</v>
      </c>
      <c r="Y115" s="2807">
        <v>18.577999999999999</v>
      </c>
    </row>
    <row r="116" spans="22:25">
      <c r="V116" s="2807" t="s">
        <v>4067</v>
      </c>
      <c r="W116" s="2807">
        <v>50.93</v>
      </c>
      <c r="X116" s="2807">
        <f t="shared" si="1"/>
        <v>3648</v>
      </c>
      <c r="Y116" s="2807">
        <v>18.577999999999999</v>
      </c>
    </row>
    <row r="117" spans="22:25">
      <c r="V117" s="2807" t="s">
        <v>4068</v>
      </c>
      <c r="W117" s="2807">
        <v>50.93</v>
      </c>
      <c r="X117" s="2807">
        <f t="shared" si="1"/>
        <v>3648</v>
      </c>
      <c r="Y117" s="2807">
        <v>18.577999999999999</v>
      </c>
    </row>
    <row r="118" spans="22:25">
      <c r="V118" s="2807" t="s">
        <v>4069</v>
      </c>
      <c r="W118" s="2807">
        <v>50.93</v>
      </c>
      <c r="X118" s="2807">
        <f t="shared" si="1"/>
        <v>3648</v>
      </c>
      <c r="Y118" s="2807">
        <v>18.577999999999999</v>
      </c>
    </row>
    <row r="119" spans="22:25">
      <c r="V119" s="2807" t="s">
        <v>4070</v>
      </c>
      <c r="W119" s="2807">
        <v>50.93</v>
      </c>
      <c r="X119" s="2807">
        <f t="shared" si="1"/>
        <v>3648</v>
      </c>
      <c r="Y119" s="2807">
        <v>18.577999999999999</v>
      </c>
    </row>
    <row r="120" spans="22:25">
      <c r="V120" s="2807" t="s">
        <v>4071</v>
      </c>
      <c r="W120" s="2807">
        <v>50.93</v>
      </c>
      <c r="X120" s="2807">
        <f t="shared" si="1"/>
        <v>3648</v>
      </c>
      <c r="Y120" s="2807">
        <v>18.577999999999999</v>
      </c>
    </row>
    <row r="121" spans="22:25">
      <c r="V121" s="2807" t="s">
        <v>4072</v>
      </c>
      <c r="W121" s="2807">
        <v>50.93</v>
      </c>
      <c r="X121" s="2807">
        <f t="shared" si="1"/>
        <v>3648</v>
      </c>
      <c r="Y121" s="2807">
        <v>18.577999999999999</v>
      </c>
    </row>
    <row r="122" spans="22:25">
      <c r="V122" s="2807" t="s">
        <v>4073</v>
      </c>
      <c r="W122" s="2807">
        <v>50.93</v>
      </c>
      <c r="X122" s="2807">
        <f t="shared" si="1"/>
        <v>3648</v>
      </c>
      <c r="Y122" s="2807">
        <v>18.577999999999999</v>
      </c>
    </row>
    <row r="123" spans="22:25">
      <c r="V123" s="2807" t="s">
        <v>4074</v>
      </c>
      <c r="W123" s="2807">
        <v>50.93</v>
      </c>
      <c r="X123" s="2807">
        <f t="shared" si="1"/>
        <v>3648</v>
      </c>
      <c r="Y123" s="2807">
        <v>18.577999999999999</v>
      </c>
    </row>
    <row r="124" spans="22:25">
      <c r="V124" s="2807" t="s">
        <v>4075</v>
      </c>
      <c r="W124" s="2807">
        <v>50.93</v>
      </c>
      <c r="X124" s="2807">
        <f t="shared" si="1"/>
        <v>3648</v>
      </c>
      <c r="Y124" s="2807">
        <v>18.577999999999999</v>
      </c>
    </row>
    <row r="125" spans="22:25">
      <c r="V125" s="2807" t="s">
        <v>4076</v>
      </c>
      <c r="W125" s="2807">
        <v>50.93</v>
      </c>
      <c r="X125" s="2807">
        <f t="shared" si="1"/>
        <v>3648</v>
      </c>
      <c r="Y125" s="2807">
        <v>18.577999999999999</v>
      </c>
    </row>
    <row r="126" spans="22:25">
      <c r="V126" s="2807" t="s">
        <v>4077</v>
      </c>
      <c r="W126" s="2807">
        <v>50.93</v>
      </c>
      <c r="X126" s="2807">
        <f t="shared" si="1"/>
        <v>3648</v>
      </c>
      <c r="Y126" s="2807">
        <v>18.577999999999999</v>
      </c>
    </row>
    <row r="127" spans="22:25">
      <c r="V127" s="2807" t="s">
        <v>4078</v>
      </c>
      <c r="W127" s="2807">
        <v>50.93</v>
      </c>
      <c r="X127" s="2807">
        <f t="shared" si="1"/>
        <v>3648</v>
      </c>
      <c r="Y127" s="2807">
        <v>18.577999999999999</v>
      </c>
    </row>
    <row r="128" spans="22:25">
      <c r="V128" s="2807" t="s">
        <v>4079</v>
      </c>
      <c r="W128" s="2807">
        <v>50.93</v>
      </c>
      <c r="X128" s="2807">
        <f t="shared" si="1"/>
        <v>3648</v>
      </c>
      <c r="Y128" s="2807">
        <v>18.577999999999999</v>
      </c>
    </row>
    <row r="129" spans="22:25">
      <c r="V129" s="2807" t="s">
        <v>4080</v>
      </c>
      <c r="W129" s="2807">
        <v>50.93</v>
      </c>
      <c r="X129" s="2807">
        <f t="shared" si="1"/>
        <v>3648</v>
      </c>
      <c r="Y129" s="2807">
        <v>18.577999999999999</v>
      </c>
    </row>
    <row r="130" spans="22:25">
      <c r="V130" s="2807" t="s">
        <v>4081</v>
      </c>
      <c r="W130" s="2807">
        <v>50.93</v>
      </c>
      <c r="X130" s="2807">
        <f t="shared" si="1"/>
        <v>3648</v>
      </c>
      <c r="Y130" s="2807">
        <v>18.577999999999999</v>
      </c>
    </row>
    <row r="131" spans="22:25">
      <c r="V131" s="2807" t="s">
        <v>4082</v>
      </c>
      <c r="W131" s="2807">
        <v>50.93</v>
      </c>
      <c r="X131" s="2807">
        <f t="shared" si="1"/>
        <v>3648</v>
      </c>
      <c r="Y131" s="2807">
        <v>18.577999999999999</v>
      </c>
    </row>
    <row r="132" spans="22:25">
      <c r="V132" s="2807" t="s">
        <v>4083</v>
      </c>
      <c r="W132" s="2807">
        <v>59.92</v>
      </c>
      <c r="X132" s="2807">
        <f t="shared" si="1"/>
        <v>3100</v>
      </c>
      <c r="Y132" s="2807">
        <v>18.577999999999999</v>
      </c>
    </row>
    <row r="133" spans="22:25">
      <c r="V133" s="2807" t="s">
        <v>4084</v>
      </c>
      <c r="W133" s="2807">
        <v>52.93</v>
      </c>
      <c r="X133" s="2807">
        <f t="shared" si="1"/>
        <v>3510</v>
      </c>
      <c r="Y133" s="2807">
        <v>18.577999999999999</v>
      </c>
    </row>
    <row r="134" spans="22:25">
      <c r="V134" s="2807" t="s">
        <v>4085</v>
      </c>
      <c r="W134" s="2807">
        <v>52.93</v>
      </c>
      <c r="X134" s="2807">
        <f t="shared" ref="X134:X197" si="2">ROUND(Y134/W134*10000,0)</f>
        <v>3510</v>
      </c>
      <c r="Y134" s="2807">
        <v>18.577999999999999</v>
      </c>
    </row>
    <row r="135" spans="22:25">
      <c r="V135" s="2807" t="s">
        <v>4086</v>
      </c>
      <c r="W135" s="2807">
        <v>52.93</v>
      </c>
      <c r="X135" s="2807">
        <f t="shared" si="2"/>
        <v>3510</v>
      </c>
      <c r="Y135" s="2807">
        <v>18.577999999999999</v>
      </c>
    </row>
    <row r="136" spans="22:25">
      <c r="V136" s="2807" t="s">
        <v>4087</v>
      </c>
      <c r="W136" s="2807">
        <v>52.93</v>
      </c>
      <c r="X136" s="2807">
        <f t="shared" si="2"/>
        <v>3510</v>
      </c>
      <c r="Y136" s="2807">
        <v>18.577999999999999</v>
      </c>
    </row>
    <row r="137" spans="22:25">
      <c r="V137" s="2807" t="s">
        <v>4088</v>
      </c>
      <c r="W137" s="2807">
        <v>52.93</v>
      </c>
      <c r="X137" s="2807">
        <f t="shared" si="2"/>
        <v>3510</v>
      </c>
      <c r="Y137" s="2807">
        <v>18.577999999999999</v>
      </c>
    </row>
    <row r="138" spans="22:25">
      <c r="V138" s="2807" t="s">
        <v>4089</v>
      </c>
      <c r="W138" s="2807">
        <v>50.93</v>
      </c>
      <c r="X138" s="2807">
        <f t="shared" si="2"/>
        <v>3648</v>
      </c>
      <c r="Y138" s="2807">
        <v>18.577999999999999</v>
      </c>
    </row>
    <row r="139" spans="22:25">
      <c r="V139" s="2807" t="s">
        <v>4090</v>
      </c>
      <c r="W139" s="2807">
        <v>50.93</v>
      </c>
      <c r="X139" s="2807">
        <f t="shared" si="2"/>
        <v>3648</v>
      </c>
      <c r="Y139" s="2807">
        <v>18.577999999999999</v>
      </c>
    </row>
    <row r="140" spans="22:25">
      <c r="V140" s="2807" t="s">
        <v>4091</v>
      </c>
      <c r="W140" s="2807">
        <v>50.93</v>
      </c>
      <c r="X140" s="2807">
        <f t="shared" si="2"/>
        <v>3648</v>
      </c>
      <c r="Y140" s="2807">
        <v>18.577999999999999</v>
      </c>
    </row>
    <row r="141" spans="22:25">
      <c r="V141" s="2807" t="s">
        <v>4092</v>
      </c>
      <c r="W141" s="2807">
        <v>50.93</v>
      </c>
      <c r="X141" s="2807">
        <f t="shared" si="2"/>
        <v>3648</v>
      </c>
      <c r="Y141" s="2807">
        <v>18.577999999999999</v>
      </c>
    </row>
    <row r="142" spans="22:25">
      <c r="V142" s="2807" t="s">
        <v>4093</v>
      </c>
      <c r="W142" s="2807">
        <v>50.93</v>
      </c>
      <c r="X142" s="2807">
        <f t="shared" si="2"/>
        <v>3648</v>
      </c>
      <c r="Y142" s="2807">
        <v>18.577999999999999</v>
      </c>
    </row>
    <row r="143" spans="22:25">
      <c r="V143" s="2807" t="s">
        <v>4094</v>
      </c>
      <c r="W143" s="2807">
        <v>50.93</v>
      </c>
      <c r="X143" s="2807">
        <f t="shared" si="2"/>
        <v>3648</v>
      </c>
      <c r="Y143" s="2807">
        <v>18.577999999999999</v>
      </c>
    </row>
    <row r="144" spans="22:25">
      <c r="V144" s="2807" t="s">
        <v>4095</v>
      </c>
      <c r="W144" s="2807">
        <v>50.93</v>
      </c>
      <c r="X144" s="2807">
        <f t="shared" si="2"/>
        <v>3648</v>
      </c>
      <c r="Y144" s="2807">
        <v>18.577999999999999</v>
      </c>
    </row>
    <row r="145" spans="22:25">
      <c r="V145" s="2807" t="s">
        <v>4096</v>
      </c>
      <c r="W145" s="2807">
        <v>50.93</v>
      </c>
      <c r="X145" s="2807">
        <f t="shared" si="2"/>
        <v>3648</v>
      </c>
      <c r="Y145" s="2807">
        <v>18.577999999999999</v>
      </c>
    </row>
    <row r="146" spans="22:25">
      <c r="V146" s="2807" t="s">
        <v>4097</v>
      </c>
      <c r="W146" s="2807">
        <v>50.93</v>
      </c>
      <c r="X146" s="2807">
        <f t="shared" si="2"/>
        <v>3648</v>
      </c>
      <c r="Y146" s="2807">
        <v>18.577999999999999</v>
      </c>
    </row>
    <row r="147" spans="22:25">
      <c r="V147" s="2807" t="s">
        <v>4098</v>
      </c>
      <c r="W147" s="2807">
        <v>50.93</v>
      </c>
      <c r="X147" s="2807">
        <f t="shared" si="2"/>
        <v>3648</v>
      </c>
      <c r="Y147" s="2807">
        <v>18.577999999999999</v>
      </c>
    </row>
    <row r="148" spans="22:25">
      <c r="V148" s="2807" t="s">
        <v>4099</v>
      </c>
      <c r="W148" s="2807">
        <v>50.93</v>
      </c>
      <c r="X148" s="2807">
        <f t="shared" si="2"/>
        <v>3648</v>
      </c>
      <c r="Y148" s="2807">
        <v>18.577999999999999</v>
      </c>
    </row>
    <row r="149" spans="22:25">
      <c r="V149" s="2807" t="s">
        <v>4100</v>
      </c>
      <c r="W149" s="2807">
        <v>50.93</v>
      </c>
      <c r="X149" s="2807">
        <f t="shared" si="2"/>
        <v>3648</v>
      </c>
      <c r="Y149" s="2807">
        <v>18.577999999999999</v>
      </c>
    </row>
    <row r="150" spans="22:25">
      <c r="V150" s="2807" t="s">
        <v>4101</v>
      </c>
      <c r="W150" s="2807">
        <v>50.93</v>
      </c>
      <c r="X150" s="2807">
        <f t="shared" si="2"/>
        <v>3648</v>
      </c>
      <c r="Y150" s="2807">
        <v>18.577999999999999</v>
      </c>
    </row>
    <row r="151" spans="22:25">
      <c r="V151" s="2807" t="s">
        <v>4102</v>
      </c>
      <c r="W151" s="2807">
        <v>59.92</v>
      </c>
      <c r="X151" s="2807">
        <f t="shared" si="2"/>
        <v>3100</v>
      </c>
      <c r="Y151" s="2807">
        <v>18.577999999999999</v>
      </c>
    </row>
    <row r="152" spans="22:25">
      <c r="V152" s="2807" t="s">
        <v>4103</v>
      </c>
      <c r="W152" s="2807">
        <v>50.93</v>
      </c>
      <c r="X152" s="2807">
        <f t="shared" si="2"/>
        <v>3648</v>
      </c>
      <c r="Y152" s="2807">
        <v>18.577999999999999</v>
      </c>
    </row>
    <row r="153" spans="22:25">
      <c r="V153" s="2807" t="s">
        <v>4104</v>
      </c>
      <c r="W153" s="2807">
        <v>50.93</v>
      </c>
      <c r="X153" s="2807">
        <f t="shared" si="2"/>
        <v>3648</v>
      </c>
      <c r="Y153" s="2807">
        <v>18.577999999999999</v>
      </c>
    </row>
    <row r="154" spans="22:25">
      <c r="V154" s="2807" t="s">
        <v>4105</v>
      </c>
      <c r="W154" s="2807">
        <v>50.93</v>
      </c>
      <c r="X154" s="2807">
        <f t="shared" si="2"/>
        <v>3648</v>
      </c>
      <c r="Y154" s="2807">
        <v>18.577999999999999</v>
      </c>
    </row>
    <row r="155" spans="22:25">
      <c r="V155" s="2807" t="s">
        <v>4106</v>
      </c>
      <c r="W155" s="2807">
        <v>50.93</v>
      </c>
      <c r="X155" s="2807">
        <f t="shared" si="2"/>
        <v>3648</v>
      </c>
      <c r="Y155" s="2807">
        <v>18.577999999999999</v>
      </c>
    </row>
    <row r="156" spans="22:25">
      <c r="V156" s="2807" t="s">
        <v>4107</v>
      </c>
      <c r="W156" s="2807">
        <v>50.93</v>
      </c>
      <c r="X156" s="2807">
        <f t="shared" si="2"/>
        <v>3648</v>
      </c>
      <c r="Y156" s="2807">
        <v>18.577999999999999</v>
      </c>
    </row>
    <row r="157" spans="22:25">
      <c r="V157" s="2807" t="s">
        <v>4108</v>
      </c>
      <c r="W157" s="2807">
        <v>50.93</v>
      </c>
      <c r="X157" s="2807">
        <f t="shared" si="2"/>
        <v>3648</v>
      </c>
      <c r="Y157" s="2807">
        <v>18.577999999999999</v>
      </c>
    </row>
    <row r="158" spans="22:25">
      <c r="V158" s="2807" t="s">
        <v>4109</v>
      </c>
      <c r="W158" s="2807">
        <v>50.93</v>
      </c>
      <c r="X158" s="2807">
        <f t="shared" si="2"/>
        <v>3648</v>
      </c>
      <c r="Y158" s="2807">
        <v>18.577999999999999</v>
      </c>
    </row>
    <row r="159" spans="22:25">
      <c r="V159" s="2807" t="s">
        <v>4110</v>
      </c>
      <c r="W159" s="2807">
        <v>50.93</v>
      </c>
      <c r="X159" s="2807">
        <f t="shared" si="2"/>
        <v>3648</v>
      </c>
      <c r="Y159" s="2807">
        <v>18.577999999999999</v>
      </c>
    </row>
    <row r="160" spans="22:25">
      <c r="V160" s="2807" t="s">
        <v>4111</v>
      </c>
      <c r="W160" s="2807">
        <v>50.93</v>
      </c>
      <c r="X160" s="2807">
        <f t="shared" si="2"/>
        <v>3648</v>
      </c>
      <c r="Y160" s="2807">
        <v>18.577999999999999</v>
      </c>
    </row>
    <row r="161" spans="22:25">
      <c r="V161" s="2807" t="s">
        <v>4112</v>
      </c>
      <c r="W161" s="2807">
        <v>50.93</v>
      </c>
      <c r="X161" s="2807">
        <f t="shared" si="2"/>
        <v>3648</v>
      </c>
      <c r="Y161" s="2807">
        <v>18.577999999999999</v>
      </c>
    </row>
    <row r="162" spans="22:25">
      <c r="V162" s="2807" t="s">
        <v>4113</v>
      </c>
      <c r="W162" s="2807">
        <v>50.93</v>
      </c>
      <c r="X162" s="2807">
        <f t="shared" si="2"/>
        <v>3648</v>
      </c>
      <c r="Y162" s="2807">
        <v>18.577999999999999</v>
      </c>
    </row>
    <row r="163" spans="22:25">
      <c r="V163" s="2807" t="s">
        <v>4114</v>
      </c>
      <c r="W163" s="2807">
        <v>50.93</v>
      </c>
      <c r="X163" s="2807">
        <f t="shared" si="2"/>
        <v>3648</v>
      </c>
      <c r="Y163" s="2807">
        <v>18.577999999999999</v>
      </c>
    </row>
    <row r="164" spans="22:25">
      <c r="V164" s="2807" t="s">
        <v>4115</v>
      </c>
      <c r="W164" s="2807">
        <v>50.93</v>
      </c>
      <c r="X164" s="2807">
        <f t="shared" si="2"/>
        <v>3648</v>
      </c>
      <c r="Y164" s="2807">
        <v>18.577999999999999</v>
      </c>
    </row>
    <row r="165" spans="22:25">
      <c r="V165" s="2807" t="s">
        <v>4116</v>
      </c>
      <c r="W165" s="2807">
        <v>52.93</v>
      </c>
      <c r="X165" s="2807">
        <f t="shared" si="2"/>
        <v>3510</v>
      </c>
      <c r="Y165" s="2807">
        <v>18.577999999999999</v>
      </c>
    </row>
    <row r="166" spans="22:25">
      <c r="V166" s="2807" t="s">
        <v>4117</v>
      </c>
      <c r="W166" s="2807">
        <v>52.93</v>
      </c>
      <c r="X166" s="2807">
        <f t="shared" si="2"/>
        <v>3510</v>
      </c>
      <c r="Y166" s="2807">
        <v>18.577999999999999</v>
      </c>
    </row>
    <row r="167" spans="22:25">
      <c r="V167" s="2807" t="s">
        <v>4118</v>
      </c>
      <c r="W167" s="2807">
        <v>52.93</v>
      </c>
      <c r="X167" s="2807">
        <f t="shared" si="2"/>
        <v>3510</v>
      </c>
      <c r="Y167" s="2807">
        <v>18.577999999999999</v>
      </c>
    </row>
    <row r="168" spans="22:25">
      <c r="V168" s="2807" t="s">
        <v>4119</v>
      </c>
      <c r="W168" s="2807">
        <v>52.93</v>
      </c>
      <c r="X168" s="2807">
        <f t="shared" si="2"/>
        <v>3510</v>
      </c>
      <c r="Y168" s="2807">
        <v>18.577999999999999</v>
      </c>
    </row>
    <row r="169" spans="22:25">
      <c r="V169" s="2807" t="s">
        <v>4120</v>
      </c>
      <c r="W169" s="2807">
        <v>52.93</v>
      </c>
      <c r="X169" s="2807">
        <f t="shared" si="2"/>
        <v>3510</v>
      </c>
      <c r="Y169" s="2807">
        <v>18.577999999999999</v>
      </c>
    </row>
    <row r="170" spans="22:25">
      <c r="V170" s="2807" t="s">
        <v>4121</v>
      </c>
      <c r="W170" s="2807">
        <v>52.93</v>
      </c>
      <c r="X170" s="2807">
        <f t="shared" si="2"/>
        <v>3510</v>
      </c>
      <c r="Y170" s="2807">
        <v>18.577999999999999</v>
      </c>
    </row>
    <row r="171" spans="22:25">
      <c r="V171" s="2807" t="s">
        <v>4122</v>
      </c>
      <c r="W171" s="2807">
        <v>52.93</v>
      </c>
      <c r="X171" s="2807">
        <f t="shared" si="2"/>
        <v>3510</v>
      </c>
      <c r="Y171" s="2807">
        <v>18.577999999999999</v>
      </c>
    </row>
    <row r="172" spans="22:25">
      <c r="V172" s="2807" t="s">
        <v>4123</v>
      </c>
      <c r="W172" s="2807">
        <v>52.93</v>
      </c>
      <c r="X172" s="2807">
        <f t="shared" si="2"/>
        <v>3510</v>
      </c>
      <c r="Y172" s="2807">
        <v>18.577999999999999</v>
      </c>
    </row>
    <row r="173" spans="22:25">
      <c r="V173" s="2807" t="s">
        <v>4124</v>
      </c>
      <c r="W173" s="2807">
        <v>52.93</v>
      </c>
      <c r="X173" s="2807">
        <f t="shared" si="2"/>
        <v>3510</v>
      </c>
      <c r="Y173" s="2807">
        <v>18.577999999999999</v>
      </c>
    </row>
    <row r="174" spans="22:25">
      <c r="V174" s="2807" t="s">
        <v>4125</v>
      </c>
      <c r="W174" s="2807">
        <v>52.93</v>
      </c>
      <c r="X174" s="2807">
        <f t="shared" si="2"/>
        <v>3510</v>
      </c>
      <c r="Y174" s="2807">
        <v>18.577999999999999</v>
      </c>
    </row>
    <row r="175" spans="22:25">
      <c r="V175" s="2807" t="s">
        <v>4126</v>
      </c>
      <c r="W175" s="2807">
        <v>52.93</v>
      </c>
      <c r="X175" s="2807">
        <f t="shared" si="2"/>
        <v>3510</v>
      </c>
      <c r="Y175" s="2807">
        <v>18.577999999999999</v>
      </c>
    </row>
    <row r="176" spans="22:25">
      <c r="V176" s="2807" t="s">
        <v>4127</v>
      </c>
      <c r="W176" s="2807">
        <v>52.93</v>
      </c>
      <c r="X176" s="2807">
        <f t="shared" si="2"/>
        <v>3510</v>
      </c>
      <c r="Y176" s="2807">
        <v>18.577999999999999</v>
      </c>
    </row>
    <row r="177" spans="22:25">
      <c r="V177" s="2807" t="s">
        <v>4128</v>
      </c>
      <c r="W177" s="2807">
        <v>52.93</v>
      </c>
      <c r="X177" s="2807">
        <f t="shared" si="2"/>
        <v>3510</v>
      </c>
      <c r="Y177" s="2807">
        <v>18.577999999999999</v>
      </c>
    </row>
    <row r="178" spans="22:25">
      <c r="V178" s="2807" t="s">
        <v>4129</v>
      </c>
      <c r="W178" s="2807">
        <v>52.93</v>
      </c>
      <c r="X178" s="2807">
        <f t="shared" si="2"/>
        <v>3510</v>
      </c>
      <c r="Y178" s="2807">
        <v>18.577999999999999</v>
      </c>
    </row>
    <row r="179" spans="22:25">
      <c r="V179" s="2807" t="s">
        <v>4130</v>
      </c>
      <c r="W179" s="2807">
        <v>59.92</v>
      </c>
      <c r="X179" s="2807">
        <f t="shared" si="2"/>
        <v>3100</v>
      </c>
      <c r="Y179" s="2807">
        <v>18.577999999999999</v>
      </c>
    </row>
    <row r="180" spans="22:25">
      <c r="V180" s="2807" t="s">
        <v>4131</v>
      </c>
      <c r="W180" s="2807">
        <v>50.93</v>
      </c>
      <c r="X180" s="2807">
        <f t="shared" si="2"/>
        <v>3648</v>
      </c>
      <c r="Y180" s="2807">
        <v>18.577999999999999</v>
      </c>
    </row>
    <row r="181" spans="22:25">
      <c r="V181" s="2807" t="s">
        <v>4132</v>
      </c>
      <c r="W181" s="2807">
        <v>50.93</v>
      </c>
      <c r="X181" s="2807">
        <f t="shared" si="2"/>
        <v>3648</v>
      </c>
      <c r="Y181" s="2807">
        <v>18.577999999999999</v>
      </c>
    </row>
    <row r="182" spans="22:25">
      <c r="V182" s="2807" t="s">
        <v>4133</v>
      </c>
      <c r="W182" s="2807">
        <v>50.93</v>
      </c>
      <c r="X182" s="2807">
        <f t="shared" si="2"/>
        <v>3648</v>
      </c>
      <c r="Y182" s="2807">
        <v>18.577999999999999</v>
      </c>
    </row>
    <row r="183" spans="22:25">
      <c r="V183" s="2807" t="s">
        <v>4134</v>
      </c>
      <c r="W183" s="2807">
        <v>50.93</v>
      </c>
      <c r="X183" s="2807">
        <f t="shared" si="2"/>
        <v>3648</v>
      </c>
      <c r="Y183" s="2807">
        <v>18.577999999999999</v>
      </c>
    </row>
    <row r="184" spans="22:25">
      <c r="V184" s="2807" t="s">
        <v>4135</v>
      </c>
      <c r="W184" s="2807">
        <v>50.93</v>
      </c>
      <c r="X184" s="2807">
        <f t="shared" si="2"/>
        <v>3648</v>
      </c>
      <c r="Y184" s="2807">
        <v>18.577999999999999</v>
      </c>
    </row>
    <row r="185" spans="22:25">
      <c r="V185" s="2807" t="s">
        <v>4594</v>
      </c>
      <c r="W185" s="2807">
        <v>59.92</v>
      </c>
      <c r="X185" s="2807">
        <f t="shared" si="2"/>
        <v>2945</v>
      </c>
      <c r="Y185" s="2807">
        <v>17.649100000000001</v>
      </c>
    </row>
    <row r="186" spans="22:25">
      <c r="V186" s="2807" t="s">
        <v>3629</v>
      </c>
      <c r="W186" s="2807">
        <v>59.92</v>
      </c>
      <c r="X186" s="2807">
        <f t="shared" si="2"/>
        <v>2945</v>
      </c>
      <c r="Y186" s="2807">
        <v>17.649100000000001</v>
      </c>
    </row>
    <row r="187" spans="22:25">
      <c r="V187" s="2807" t="s">
        <v>3630</v>
      </c>
      <c r="W187" s="2807">
        <v>59.92</v>
      </c>
      <c r="X187" s="2807">
        <f t="shared" si="2"/>
        <v>2945</v>
      </c>
      <c r="Y187" s="2807">
        <v>17.649100000000001</v>
      </c>
    </row>
    <row r="188" spans="22:25">
      <c r="V188" s="2807" t="s">
        <v>3631</v>
      </c>
      <c r="W188" s="2807">
        <v>52.93</v>
      </c>
      <c r="X188" s="2807">
        <f t="shared" si="2"/>
        <v>3334</v>
      </c>
      <c r="Y188" s="2807">
        <v>17.649100000000001</v>
      </c>
    </row>
    <row r="189" spans="22:25">
      <c r="V189" s="2807" t="s">
        <v>3632</v>
      </c>
      <c r="W189" s="2807">
        <v>52.93</v>
      </c>
      <c r="X189" s="2807">
        <f t="shared" si="2"/>
        <v>3334</v>
      </c>
      <c r="Y189" s="2807">
        <v>17.649100000000001</v>
      </c>
    </row>
    <row r="190" spans="22:25">
      <c r="V190" s="2807" t="s">
        <v>3633</v>
      </c>
      <c r="W190" s="2807">
        <v>52.93</v>
      </c>
      <c r="X190" s="2807">
        <f t="shared" si="2"/>
        <v>3334</v>
      </c>
      <c r="Y190" s="2807">
        <v>17.649100000000001</v>
      </c>
    </row>
    <row r="191" spans="22:25">
      <c r="V191" s="2807" t="s">
        <v>3634</v>
      </c>
      <c r="W191" s="2807">
        <v>52.93</v>
      </c>
      <c r="X191" s="2807">
        <f t="shared" si="2"/>
        <v>3334</v>
      </c>
      <c r="Y191" s="2807">
        <v>17.649100000000001</v>
      </c>
    </row>
    <row r="192" spans="22:25">
      <c r="V192" s="2807" t="s">
        <v>3635</v>
      </c>
      <c r="W192" s="2807">
        <v>52.93</v>
      </c>
      <c r="X192" s="2807">
        <f t="shared" si="2"/>
        <v>3334</v>
      </c>
      <c r="Y192" s="2807">
        <v>17.649100000000001</v>
      </c>
    </row>
    <row r="193" spans="22:25">
      <c r="V193" s="2807" t="s">
        <v>3636</v>
      </c>
      <c r="W193" s="2807">
        <v>52.93</v>
      </c>
      <c r="X193" s="2807">
        <f t="shared" si="2"/>
        <v>3334</v>
      </c>
      <c r="Y193" s="2807">
        <v>17.649100000000001</v>
      </c>
    </row>
    <row r="194" spans="22:25">
      <c r="V194" s="2807" t="s">
        <v>3637</v>
      </c>
      <c r="W194" s="2807">
        <v>52.93</v>
      </c>
      <c r="X194" s="2807">
        <f t="shared" si="2"/>
        <v>3334</v>
      </c>
      <c r="Y194" s="2807">
        <v>17.649100000000001</v>
      </c>
    </row>
    <row r="195" spans="22:25">
      <c r="V195" s="2807" t="s">
        <v>3638</v>
      </c>
      <c r="W195" s="2807">
        <v>52.93</v>
      </c>
      <c r="X195" s="2807">
        <f t="shared" si="2"/>
        <v>3334</v>
      </c>
      <c r="Y195" s="2807">
        <v>17.649100000000001</v>
      </c>
    </row>
    <row r="196" spans="22:25">
      <c r="V196" s="2807" t="s">
        <v>3639</v>
      </c>
      <c r="W196" s="2807">
        <v>52.93</v>
      </c>
      <c r="X196" s="2807">
        <f t="shared" si="2"/>
        <v>3334</v>
      </c>
      <c r="Y196" s="2807">
        <v>17.649100000000001</v>
      </c>
    </row>
    <row r="197" spans="22:25">
      <c r="V197" s="2807" t="s">
        <v>3640</v>
      </c>
      <c r="W197" s="2807">
        <v>52.93</v>
      </c>
      <c r="X197" s="2807">
        <f t="shared" si="2"/>
        <v>3334</v>
      </c>
      <c r="Y197" s="2807">
        <v>17.649100000000001</v>
      </c>
    </row>
    <row r="198" spans="22:25">
      <c r="V198" s="2807" t="s">
        <v>3641</v>
      </c>
      <c r="W198" s="2807">
        <v>52.93</v>
      </c>
      <c r="X198" s="2807">
        <f t="shared" ref="X198:X261" si="3">ROUND(Y198/W198*10000,0)</f>
        <v>3334</v>
      </c>
      <c r="Y198" s="2807">
        <v>17.649100000000001</v>
      </c>
    </row>
    <row r="199" spans="22:25">
      <c r="V199" s="2807" t="s">
        <v>3642</v>
      </c>
      <c r="W199" s="2807">
        <v>52.93</v>
      </c>
      <c r="X199" s="2807">
        <f t="shared" si="3"/>
        <v>3334</v>
      </c>
      <c r="Y199" s="2807">
        <v>17.649100000000001</v>
      </c>
    </row>
    <row r="200" spans="22:25">
      <c r="V200" s="2807" t="s">
        <v>3643</v>
      </c>
      <c r="W200" s="2807">
        <v>52.93</v>
      </c>
      <c r="X200" s="2807">
        <f t="shared" si="3"/>
        <v>3334</v>
      </c>
      <c r="Y200" s="2807">
        <v>17.649100000000001</v>
      </c>
    </row>
    <row r="201" spans="22:25">
      <c r="V201" s="2807" t="s">
        <v>3644</v>
      </c>
      <c r="W201" s="2807">
        <v>52.93</v>
      </c>
      <c r="X201" s="2807">
        <f t="shared" si="3"/>
        <v>3334</v>
      </c>
      <c r="Y201" s="2807">
        <v>17.649100000000001</v>
      </c>
    </row>
    <row r="202" spans="22:25">
      <c r="V202" s="2807" t="s">
        <v>3645</v>
      </c>
      <c r="W202" s="2807">
        <v>52.93</v>
      </c>
      <c r="X202" s="2807">
        <f t="shared" si="3"/>
        <v>3334</v>
      </c>
      <c r="Y202" s="2807">
        <v>17.649100000000001</v>
      </c>
    </row>
    <row r="203" spans="22:25">
      <c r="V203" s="2807" t="s">
        <v>3646</v>
      </c>
      <c r="W203" s="2807">
        <v>52.93</v>
      </c>
      <c r="X203" s="2807">
        <f t="shared" si="3"/>
        <v>3334</v>
      </c>
      <c r="Y203" s="2807">
        <v>17.649100000000001</v>
      </c>
    </row>
    <row r="204" spans="22:25">
      <c r="V204" s="2807" t="s">
        <v>3647</v>
      </c>
      <c r="W204" s="2807">
        <v>52.93</v>
      </c>
      <c r="X204" s="2807">
        <f t="shared" si="3"/>
        <v>3334</v>
      </c>
      <c r="Y204" s="2807">
        <v>17.649100000000001</v>
      </c>
    </row>
    <row r="205" spans="22:25">
      <c r="V205" s="2807" t="s">
        <v>3648</v>
      </c>
      <c r="W205" s="2807">
        <v>52.93</v>
      </c>
      <c r="X205" s="2807">
        <f t="shared" si="3"/>
        <v>3334</v>
      </c>
      <c r="Y205" s="2807">
        <v>17.649100000000001</v>
      </c>
    </row>
    <row r="206" spans="22:25">
      <c r="V206" s="2807" t="s">
        <v>3649</v>
      </c>
      <c r="W206" s="2807">
        <v>52.93</v>
      </c>
      <c r="X206" s="2807">
        <f t="shared" si="3"/>
        <v>3334</v>
      </c>
      <c r="Y206" s="2807">
        <v>17.649100000000001</v>
      </c>
    </row>
    <row r="207" spans="22:25">
      <c r="V207" s="2807" t="s">
        <v>3650</v>
      </c>
      <c r="W207" s="2807">
        <v>52.93</v>
      </c>
      <c r="X207" s="2807">
        <f t="shared" si="3"/>
        <v>3334</v>
      </c>
      <c r="Y207" s="2807">
        <v>17.649100000000001</v>
      </c>
    </row>
    <row r="208" spans="22:25">
      <c r="V208" s="2807" t="s">
        <v>3651</v>
      </c>
      <c r="W208" s="2807">
        <v>52.93</v>
      </c>
      <c r="X208" s="2807">
        <f t="shared" si="3"/>
        <v>3334</v>
      </c>
      <c r="Y208" s="2807">
        <v>17.649100000000001</v>
      </c>
    </row>
    <row r="209" spans="22:25">
      <c r="V209" s="2807" t="s">
        <v>3652</v>
      </c>
      <c r="W209" s="2807">
        <v>52.93</v>
      </c>
      <c r="X209" s="2807">
        <f t="shared" si="3"/>
        <v>3334</v>
      </c>
      <c r="Y209" s="2807">
        <v>17.649100000000001</v>
      </c>
    </row>
    <row r="210" spans="22:25">
      <c r="V210" s="2807" t="s">
        <v>3653</v>
      </c>
      <c r="W210" s="2807">
        <v>52.93</v>
      </c>
      <c r="X210" s="2807">
        <f t="shared" si="3"/>
        <v>3334</v>
      </c>
      <c r="Y210" s="2807">
        <v>17.649100000000001</v>
      </c>
    </row>
    <row r="211" spans="22:25">
      <c r="V211" s="2807" t="s">
        <v>3654</v>
      </c>
      <c r="W211" s="2807">
        <v>52.93</v>
      </c>
      <c r="X211" s="2807">
        <f t="shared" si="3"/>
        <v>3334</v>
      </c>
      <c r="Y211" s="2807">
        <v>17.649100000000001</v>
      </c>
    </row>
    <row r="212" spans="22:25">
      <c r="V212" s="2807" t="s">
        <v>3655</v>
      </c>
      <c r="W212" s="2807">
        <v>52.93</v>
      </c>
      <c r="X212" s="2807">
        <f t="shared" si="3"/>
        <v>3334</v>
      </c>
      <c r="Y212" s="2807">
        <v>17.649100000000001</v>
      </c>
    </row>
    <row r="213" spans="22:25">
      <c r="V213" s="2807" t="s">
        <v>3656</v>
      </c>
      <c r="W213" s="2807">
        <v>52.93</v>
      </c>
      <c r="X213" s="2807">
        <f t="shared" si="3"/>
        <v>3334</v>
      </c>
      <c r="Y213" s="2807">
        <v>17.649100000000001</v>
      </c>
    </row>
    <row r="214" spans="22:25">
      <c r="V214" s="2807" t="s">
        <v>3657</v>
      </c>
      <c r="W214" s="2807">
        <v>52.93</v>
      </c>
      <c r="X214" s="2807">
        <f t="shared" si="3"/>
        <v>3334</v>
      </c>
      <c r="Y214" s="2807">
        <v>17.649100000000001</v>
      </c>
    </row>
    <row r="215" spans="22:25">
      <c r="V215" s="2807" t="s">
        <v>3658</v>
      </c>
      <c r="W215" s="2807">
        <v>52.93</v>
      </c>
      <c r="X215" s="2807">
        <f t="shared" si="3"/>
        <v>3334</v>
      </c>
      <c r="Y215" s="2807">
        <v>17.649100000000001</v>
      </c>
    </row>
    <row r="216" spans="22:25">
      <c r="V216" s="2807" t="s">
        <v>3659</v>
      </c>
      <c r="W216" s="2807">
        <v>52.93</v>
      </c>
      <c r="X216" s="2807">
        <f t="shared" si="3"/>
        <v>3334</v>
      </c>
      <c r="Y216" s="2807">
        <v>17.649100000000001</v>
      </c>
    </row>
    <row r="217" spans="22:25">
      <c r="V217" s="2807" t="s">
        <v>3660</v>
      </c>
      <c r="W217" s="2807">
        <v>52.93</v>
      </c>
      <c r="X217" s="2807">
        <f t="shared" si="3"/>
        <v>3334</v>
      </c>
      <c r="Y217" s="2807">
        <v>17.649100000000001</v>
      </c>
    </row>
    <row r="218" spans="22:25">
      <c r="V218" s="2807" t="s">
        <v>3661</v>
      </c>
      <c r="W218" s="2807">
        <v>52.93</v>
      </c>
      <c r="X218" s="2807">
        <f t="shared" si="3"/>
        <v>3334</v>
      </c>
      <c r="Y218" s="2807">
        <v>17.649100000000001</v>
      </c>
    </row>
    <row r="219" spans="22:25">
      <c r="V219" s="2807" t="s">
        <v>3662</v>
      </c>
      <c r="W219" s="2807">
        <v>59.92</v>
      </c>
      <c r="X219" s="2807">
        <f t="shared" si="3"/>
        <v>2945</v>
      </c>
      <c r="Y219" s="2807">
        <v>17.649100000000001</v>
      </c>
    </row>
    <row r="220" spans="22:25">
      <c r="V220" s="2807" t="s">
        <v>3663</v>
      </c>
      <c r="W220" s="2807">
        <v>59.92</v>
      </c>
      <c r="X220" s="2807">
        <f t="shared" si="3"/>
        <v>2945</v>
      </c>
      <c r="Y220" s="2807">
        <v>17.649100000000001</v>
      </c>
    </row>
    <row r="221" spans="22:25">
      <c r="V221" s="2807" t="s">
        <v>3664</v>
      </c>
      <c r="W221" s="2807">
        <v>59.92</v>
      </c>
      <c r="X221" s="2807">
        <f t="shared" si="3"/>
        <v>2945</v>
      </c>
      <c r="Y221" s="2807">
        <v>17.649100000000001</v>
      </c>
    </row>
    <row r="222" spans="22:25">
      <c r="V222" s="2807" t="s">
        <v>3665</v>
      </c>
      <c r="W222" s="2807">
        <v>59.92</v>
      </c>
      <c r="X222" s="2807">
        <f t="shared" si="3"/>
        <v>2945</v>
      </c>
      <c r="Y222" s="2807">
        <v>17.649100000000001</v>
      </c>
    </row>
    <row r="223" spans="22:25">
      <c r="V223" s="2807" t="s">
        <v>3666</v>
      </c>
      <c r="W223" s="2807">
        <v>59.92</v>
      </c>
      <c r="X223" s="2807">
        <f t="shared" si="3"/>
        <v>2945</v>
      </c>
      <c r="Y223" s="2807">
        <v>17.649100000000001</v>
      </c>
    </row>
    <row r="224" spans="22:25">
      <c r="V224" s="2807" t="s">
        <v>3667</v>
      </c>
      <c r="W224" s="2807">
        <v>52.93</v>
      </c>
      <c r="X224" s="2807">
        <f t="shared" si="3"/>
        <v>3334</v>
      </c>
      <c r="Y224" s="2807">
        <v>17.649100000000001</v>
      </c>
    </row>
    <row r="225" spans="22:25">
      <c r="V225" s="2807" t="s">
        <v>3668</v>
      </c>
      <c r="W225" s="2807">
        <v>52.93</v>
      </c>
      <c r="X225" s="2807">
        <f t="shared" si="3"/>
        <v>3334</v>
      </c>
      <c r="Y225" s="2807">
        <v>17.649100000000001</v>
      </c>
    </row>
    <row r="226" spans="22:25">
      <c r="V226" s="2807" t="s">
        <v>3669</v>
      </c>
      <c r="W226" s="2807">
        <v>52.93</v>
      </c>
      <c r="X226" s="2807">
        <f t="shared" si="3"/>
        <v>3334</v>
      </c>
      <c r="Y226" s="2807">
        <v>17.649100000000001</v>
      </c>
    </row>
    <row r="227" spans="22:25">
      <c r="V227" s="2807" t="s">
        <v>3670</v>
      </c>
      <c r="W227" s="2807">
        <v>52.93</v>
      </c>
      <c r="X227" s="2807">
        <f t="shared" si="3"/>
        <v>3334</v>
      </c>
      <c r="Y227" s="2807">
        <v>17.649100000000001</v>
      </c>
    </row>
    <row r="228" spans="22:25">
      <c r="V228" s="2807" t="s">
        <v>3671</v>
      </c>
      <c r="W228" s="2807">
        <v>52.93</v>
      </c>
      <c r="X228" s="2807">
        <f t="shared" si="3"/>
        <v>3334</v>
      </c>
      <c r="Y228" s="2807">
        <v>17.649100000000001</v>
      </c>
    </row>
    <row r="229" spans="22:25">
      <c r="V229" s="2807" t="s">
        <v>3672</v>
      </c>
      <c r="W229" s="2807">
        <v>59.92</v>
      </c>
      <c r="X229" s="2807">
        <f t="shared" si="3"/>
        <v>2945</v>
      </c>
      <c r="Y229" s="2807">
        <v>17.649100000000001</v>
      </c>
    </row>
    <row r="230" spans="22:25">
      <c r="V230" s="2807" t="s">
        <v>3673</v>
      </c>
      <c r="W230" s="2807">
        <v>59.92</v>
      </c>
      <c r="X230" s="2807">
        <f t="shared" si="3"/>
        <v>2945</v>
      </c>
      <c r="Y230" s="2807">
        <v>17.649100000000001</v>
      </c>
    </row>
    <row r="231" spans="22:25">
      <c r="V231" s="2807" t="s">
        <v>3674</v>
      </c>
      <c r="W231" s="2807">
        <v>59.92</v>
      </c>
      <c r="X231" s="2807">
        <f t="shared" si="3"/>
        <v>2945</v>
      </c>
      <c r="Y231" s="2807">
        <v>17.649100000000001</v>
      </c>
    </row>
    <row r="232" spans="22:25">
      <c r="V232" s="2807" t="s">
        <v>3675</v>
      </c>
      <c r="W232" s="2807">
        <v>59.92</v>
      </c>
      <c r="X232" s="2807">
        <f t="shared" si="3"/>
        <v>2945</v>
      </c>
      <c r="Y232" s="2807">
        <v>17.649100000000001</v>
      </c>
    </row>
    <row r="233" spans="22:25">
      <c r="V233" s="2807" t="s">
        <v>3676</v>
      </c>
      <c r="W233" s="2807">
        <v>50.93</v>
      </c>
      <c r="X233" s="2807">
        <f t="shared" si="3"/>
        <v>3465</v>
      </c>
      <c r="Y233" s="2807">
        <v>17.649100000000001</v>
      </c>
    </row>
    <row r="234" spans="22:25">
      <c r="V234" s="2807" t="s">
        <v>3677</v>
      </c>
      <c r="W234" s="2807">
        <v>50.93</v>
      </c>
      <c r="X234" s="2807">
        <f t="shared" si="3"/>
        <v>3465</v>
      </c>
      <c r="Y234" s="2807">
        <v>17.649100000000001</v>
      </c>
    </row>
    <row r="235" spans="22:25">
      <c r="V235" s="2807" t="s">
        <v>3678</v>
      </c>
      <c r="W235" s="2807">
        <v>50.93</v>
      </c>
      <c r="X235" s="2807">
        <f t="shared" si="3"/>
        <v>3465</v>
      </c>
      <c r="Y235" s="2807">
        <v>17.649100000000001</v>
      </c>
    </row>
    <row r="236" spans="22:25">
      <c r="V236" s="2807" t="s">
        <v>3679</v>
      </c>
      <c r="W236" s="2807">
        <v>50.93</v>
      </c>
      <c r="X236" s="2807">
        <f t="shared" si="3"/>
        <v>3465</v>
      </c>
      <c r="Y236" s="2807">
        <v>17.649100000000001</v>
      </c>
    </row>
    <row r="237" spans="22:25">
      <c r="V237" s="2807" t="s">
        <v>3680</v>
      </c>
      <c r="W237" s="2807">
        <v>50.93</v>
      </c>
      <c r="X237" s="2807">
        <f t="shared" si="3"/>
        <v>3465</v>
      </c>
      <c r="Y237" s="2807">
        <v>17.649100000000001</v>
      </c>
    </row>
    <row r="238" spans="22:25">
      <c r="V238" s="2807" t="s">
        <v>3681</v>
      </c>
      <c r="W238" s="2807">
        <v>50.93</v>
      </c>
      <c r="X238" s="2807">
        <f t="shared" si="3"/>
        <v>3465</v>
      </c>
      <c r="Y238" s="2807">
        <v>17.649100000000001</v>
      </c>
    </row>
    <row r="239" spans="22:25">
      <c r="V239" s="2807" t="s">
        <v>3682</v>
      </c>
      <c r="W239" s="2807">
        <v>50.93</v>
      </c>
      <c r="X239" s="2807">
        <f t="shared" si="3"/>
        <v>3465</v>
      </c>
      <c r="Y239" s="2807">
        <v>17.649100000000001</v>
      </c>
    </row>
    <row r="240" spans="22:25">
      <c r="V240" s="2807" t="s">
        <v>3683</v>
      </c>
      <c r="W240" s="2807">
        <v>50.93</v>
      </c>
      <c r="X240" s="2807">
        <f t="shared" si="3"/>
        <v>3465</v>
      </c>
      <c r="Y240" s="2807">
        <v>17.649100000000001</v>
      </c>
    </row>
    <row r="241" spans="22:25">
      <c r="V241" s="2807" t="s">
        <v>3684</v>
      </c>
      <c r="W241" s="2807">
        <v>50.93</v>
      </c>
      <c r="X241" s="2807">
        <f t="shared" si="3"/>
        <v>3465</v>
      </c>
      <c r="Y241" s="2807">
        <v>17.649100000000001</v>
      </c>
    </row>
    <row r="242" spans="22:25">
      <c r="V242" s="2807" t="s">
        <v>3685</v>
      </c>
      <c r="W242" s="2807">
        <v>50.93</v>
      </c>
      <c r="X242" s="2807">
        <f t="shared" si="3"/>
        <v>3465</v>
      </c>
      <c r="Y242" s="2807">
        <v>17.649100000000001</v>
      </c>
    </row>
    <row r="243" spans="22:25">
      <c r="V243" s="2807" t="s">
        <v>3686</v>
      </c>
      <c r="W243" s="2807">
        <v>59.92</v>
      </c>
      <c r="X243" s="2807">
        <f t="shared" si="3"/>
        <v>2945</v>
      </c>
      <c r="Y243" s="2807">
        <v>17.649100000000001</v>
      </c>
    </row>
    <row r="244" spans="22:25">
      <c r="V244" s="2807" t="s">
        <v>3687</v>
      </c>
      <c r="W244" s="2807">
        <v>50.93</v>
      </c>
      <c r="X244" s="2807">
        <f t="shared" si="3"/>
        <v>3465</v>
      </c>
      <c r="Y244" s="2807">
        <v>17.649100000000001</v>
      </c>
    </row>
    <row r="245" spans="22:25">
      <c r="V245" s="2807" t="s">
        <v>3688</v>
      </c>
      <c r="W245" s="2807">
        <v>50.93</v>
      </c>
      <c r="X245" s="2807">
        <f t="shared" si="3"/>
        <v>3465</v>
      </c>
      <c r="Y245" s="2807">
        <v>17.649100000000001</v>
      </c>
    </row>
    <row r="246" spans="22:25">
      <c r="V246" s="2807" t="s">
        <v>3689</v>
      </c>
      <c r="W246" s="2807">
        <v>50.93</v>
      </c>
      <c r="X246" s="2807">
        <f t="shared" si="3"/>
        <v>3465</v>
      </c>
      <c r="Y246" s="2807">
        <v>17.649100000000001</v>
      </c>
    </row>
    <row r="247" spans="22:25">
      <c r="V247" s="2807" t="s">
        <v>3690</v>
      </c>
      <c r="W247" s="2807">
        <v>50.93</v>
      </c>
      <c r="X247" s="2807">
        <f t="shared" si="3"/>
        <v>3465</v>
      </c>
      <c r="Y247" s="2807">
        <v>17.649100000000001</v>
      </c>
    </row>
    <row r="248" spans="22:25">
      <c r="V248" s="2807" t="s">
        <v>3691</v>
      </c>
      <c r="W248" s="2807">
        <v>50.93</v>
      </c>
      <c r="X248" s="2807">
        <f t="shared" si="3"/>
        <v>3465</v>
      </c>
      <c r="Y248" s="2807">
        <v>17.649100000000001</v>
      </c>
    </row>
    <row r="249" spans="22:25">
      <c r="V249" s="2807" t="s">
        <v>3692</v>
      </c>
      <c r="W249" s="2807">
        <v>50.93</v>
      </c>
      <c r="X249" s="2807">
        <f t="shared" si="3"/>
        <v>3465</v>
      </c>
      <c r="Y249" s="2807">
        <v>17.649100000000001</v>
      </c>
    </row>
    <row r="250" spans="22:25">
      <c r="V250" s="2807" t="s">
        <v>3693</v>
      </c>
      <c r="W250" s="2807">
        <v>50.93</v>
      </c>
      <c r="X250" s="2807">
        <f t="shared" si="3"/>
        <v>3465</v>
      </c>
      <c r="Y250" s="2807">
        <v>17.649100000000001</v>
      </c>
    </row>
    <row r="251" spans="22:25">
      <c r="V251" s="2807" t="s">
        <v>3694</v>
      </c>
      <c r="W251" s="2807">
        <v>50.93</v>
      </c>
      <c r="X251" s="2807">
        <f t="shared" si="3"/>
        <v>3465</v>
      </c>
      <c r="Y251" s="2807">
        <v>17.649100000000001</v>
      </c>
    </row>
    <row r="252" spans="22:25">
      <c r="V252" s="2807" t="s">
        <v>3695</v>
      </c>
      <c r="W252" s="2807">
        <v>50.93</v>
      </c>
      <c r="X252" s="2807">
        <f t="shared" si="3"/>
        <v>3465</v>
      </c>
      <c r="Y252" s="2807">
        <v>17.649100000000001</v>
      </c>
    </row>
    <row r="253" spans="22:25">
      <c r="V253" s="2807" t="s">
        <v>3696</v>
      </c>
      <c r="W253" s="2807">
        <v>50.93</v>
      </c>
      <c r="X253" s="2807">
        <f t="shared" si="3"/>
        <v>3465</v>
      </c>
      <c r="Y253" s="2807">
        <v>17.649100000000001</v>
      </c>
    </row>
    <row r="254" spans="22:25">
      <c r="V254" s="2807" t="s">
        <v>3697</v>
      </c>
      <c r="W254" s="2807">
        <v>52.93</v>
      </c>
      <c r="X254" s="2807">
        <f t="shared" si="3"/>
        <v>3334</v>
      </c>
      <c r="Y254" s="2807">
        <v>17.649100000000001</v>
      </c>
    </row>
    <row r="255" spans="22:25">
      <c r="V255" s="2807" t="s">
        <v>3698</v>
      </c>
      <c r="W255" s="2807">
        <v>59.92</v>
      </c>
      <c r="X255" s="2807">
        <f t="shared" si="3"/>
        <v>2945</v>
      </c>
      <c r="Y255" s="2807">
        <v>17.649100000000001</v>
      </c>
    </row>
    <row r="256" spans="22:25">
      <c r="V256" s="2807" t="s">
        <v>3699</v>
      </c>
      <c r="W256" s="2807">
        <v>59.92</v>
      </c>
      <c r="X256" s="2807">
        <f t="shared" si="3"/>
        <v>2945</v>
      </c>
      <c r="Y256" s="2807">
        <v>17.649100000000001</v>
      </c>
    </row>
    <row r="257" spans="22:25">
      <c r="V257" s="2807" t="s">
        <v>3700</v>
      </c>
      <c r="W257" s="2807">
        <v>59.92</v>
      </c>
      <c r="X257" s="2807">
        <f t="shared" si="3"/>
        <v>2945</v>
      </c>
      <c r="Y257" s="2807">
        <v>17.649100000000001</v>
      </c>
    </row>
    <row r="258" spans="22:25">
      <c r="V258" s="2807" t="s">
        <v>3701</v>
      </c>
      <c r="W258" s="2807">
        <v>52.93</v>
      </c>
      <c r="X258" s="2807">
        <f t="shared" si="3"/>
        <v>3334</v>
      </c>
      <c r="Y258" s="2807">
        <v>17.649100000000001</v>
      </c>
    </row>
    <row r="259" spans="22:25">
      <c r="V259" s="2807" t="s">
        <v>3702</v>
      </c>
      <c r="W259" s="2807">
        <v>52.93</v>
      </c>
      <c r="X259" s="2807">
        <f t="shared" si="3"/>
        <v>3334</v>
      </c>
      <c r="Y259" s="2807">
        <v>17.649100000000001</v>
      </c>
    </row>
    <row r="260" spans="22:25">
      <c r="V260" s="2807" t="s">
        <v>3703</v>
      </c>
      <c r="W260" s="2807">
        <v>52.93</v>
      </c>
      <c r="X260" s="2807">
        <f t="shared" si="3"/>
        <v>3334</v>
      </c>
      <c r="Y260" s="2807">
        <v>17.649100000000001</v>
      </c>
    </row>
    <row r="261" spans="22:25">
      <c r="V261" s="2807" t="s">
        <v>3704</v>
      </c>
      <c r="W261" s="2807">
        <v>52.93</v>
      </c>
      <c r="X261" s="2807">
        <f t="shared" si="3"/>
        <v>3334</v>
      </c>
      <c r="Y261" s="2807">
        <v>17.649100000000001</v>
      </c>
    </row>
    <row r="262" spans="22:25">
      <c r="V262" s="2807" t="s">
        <v>3705</v>
      </c>
      <c r="W262" s="2807">
        <v>52.93</v>
      </c>
      <c r="X262" s="2807">
        <f t="shared" ref="X262:X325" si="4">ROUND(Y262/W262*10000,0)</f>
        <v>3334</v>
      </c>
      <c r="Y262" s="2807">
        <v>17.649100000000001</v>
      </c>
    </row>
    <row r="263" spans="22:25">
      <c r="V263" s="2807" t="s">
        <v>3706</v>
      </c>
      <c r="W263" s="2807">
        <v>52.93</v>
      </c>
      <c r="X263" s="2807">
        <f t="shared" si="4"/>
        <v>3334</v>
      </c>
      <c r="Y263" s="2807">
        <v>17.649100000000001</v>
      </c>
    </row>
    <row r="264" spans="22:25">
      <c r="V264" s="2807" t="s">
        <v>3707</v>
      </c>
      <c r="W264" s="2807">
        <v>52.93</v>
      </c>
      <c r="X264" s="2807">
        <f t="shared" si="4"/>
        <v>3334</v>
      </c>
      <c r="Y264" s="2807">
        <v>17.649100000000001</v>
      </c>
    </row>
    <row r="265" spans="22:25">
      <c r="V265" s="2807" t="s">
        <v>3708</v>
      </c>
      <c r="W265" s="2807">
        <v>52.93</v>
      </c>
      <c r="X265" s="2807">
        <f t="shared" si="4"/>
        <v>3334</v>
      </c>
      <c r="Y265" s="2807">
        <v>17.649100000000001</v>
      </c>
    </row>
    <row r="266" spans="22:25">
      <c r="V266" s="2807" t="s">
        <v>3709</v>
      </c>
      <c r="W266" s="2807">
        <v>50.93</v>
      </c>
      <c r="X266" s="2807">
        <f t="shared" si="4"/>
        <v>3465</v>
      </c>
      <c r="Y266" s="2807">
        <v>17.649100000000001</v>
      </c>
    </row>
    <row r="267" spans="22:25">
      <c r="V267" s="2807" t="s">
        <v>3710</v>
      </c>
      <c r="W267" s="2807">
        <v>50.93</v>
      </c>
      <c r="X267" s="2807">
        <f t="shared" si="4"/>
        <v>3465</v>
      </c>
      <c r="Y267" s="2807">
        <v>17.649100000000001</v>
      </c>
    </row>
    <row r="268" spans="22:25">
      <c r="V268" s="2807" t="s">
        <v>3711</v>
      </c>
      <c r="W268" s="2807">
        <v>50.93</v>
      </c>
      <c r="X268" s="2807">
        <f t="shared" si="4"/>
        <v>3465</v>
      </c>
      <c r="Y268" s="2807">
        <v>17.649100000000001</v>
      </c>
    </row>
    <row r="269" spans="22:25">
      <c r="V269" s="2807" t="s">
        <v>3712</v>
      </c>
      <c r="W269" s="2807">
        <v>50.93</v>
      </c>
      <c r="X269" s="2807">
        <f t="shared" si="4"/>
        <v>3465</v>
      </c>
      <c r="Y269" s="2807">
        <v>17.649100000000001</v>
      </c>
    </row>
    <row r="270" spans="22:25">
      <c r="V270" s="2807" t="s">
        <v>3713</v>
      </c>
      <c r="W270" s="2807">
        <v>50.93</v>
      </c>
      <c r="X270" s="2807">
        <f t="shared" si="4"/>
        <v>3465</v>
      </c>
      <c r="Y270" s="2807">
        <v>17.649100000000001</v>
      </c>
    </row>
    <row r="271" spans="22:25">
      <c r="V271" s="2807" t="s">
        <v>3714</v>
      </c>
      <c r="W271" s="2807">
        <v>50.93</v>
      </c>
      <c r="X271" s="2807">
        <f t="shared" si="4"/>
        <v>3465</v>
      </c>
      <c r="Y271" s="2807">
        <v>17.649100000000001</v>
      </c>
    </row>
    <row r="272" spans="22:25">
      <c r="V272" s="2807" t="s">
        <v>3715</v>
      </c>
      <c r="W272" s="2807">
        <v>59.92</v>
      </c>
      <c r="X272" s="2807">
        <f t="shared" si="4"/>
        <v>2945</v>
      </c>
      <c r="Y272" s="2807">
        <v>17.649100000000001</v>
      </c>
    </row>
    <row r="273" spans="22:25">
      <c r="V273" s="2807" t="s">
        <v>3716</v>
      </c>
      <c r="W273" s="2807">
        <v>59.92</v>
      </c>
      <c r="X273" s="2807">
        <f t="shared" si="4"/>
        <v>2945</v>
      </c>
      <c r="Y273" s="2807">
        <v>17.649100000000001</v>
      </c>
    </row>
    <row r="274" spans="22:25">
      <c r="V274" s="2807" t="s">
        <v>3717</v>
      </c>
      <c r="W274" s="2807">
        <v>59.92</v>
      </c>
      <c r="X274" s="2807">
        <f t="shared" si="4"/>
        <v>2945</v>
      </c>
      <c r="Y274" s="2807">
        <v>17.649100000000001</v>
      </c>
    </row>
    <row r="275" spans="22:25">
      <c r="V275" s="2807" t="s">
        <v>3718</v>
      </c>
      <c r="W275" s="2807">
        <v>59.92</v>
      </c>
      <c r="X275" s="2807">
        <f t="shared" si="4"/>
        <v>2945</v>
      </c>
      <c r="Y275" s="2807">
        <v>17.649100000000001</v>
      </c>
    </row>
    <row r="276" spans="22:25">
      <c r="V276" s="2807" t="s">
        <v>3719</v>
      </c>
      <c r="W276" s="2807">
        <v>59.92</v>
      </c>
      <c r="X276" s="2807">
        <f t="shared" si="4"/>
        <v>2945</v>
      </c>
      <c r="Y276" s="2807">
        <v>17.649100000000001</v>
      </c>
    </row>
    <row r="277" spans="22:25">
      <c r="V277" s="2807" t="s">
        <v>3720</v>
      </c>
      <c r="W277" s="2807">
        <v>50.93</v>
      </c>
      <c r="X277" s="2807">
        <f t="shared" si="4"/>
        <v>3465</v>
      </c>
      <c r="Y277" s="2807">
        <v>17.649100000000001</v>
      </c>
    </row>
    <row r="278" spans="22:25">
      <c r="V278" s="2807" t="s">
        <v>3721</v>
      </c>
      <c r="W278" s="2807">
        <v>50.93</v>
      </c>
      <c r="X278" s="2807">
        <f t="shared" si="4"/>
        <v>3465</v>
      </c>
      <c r="Y278" s="2807">
        <v>17.649100000000001</v>
      </c>
    </row>
    <row r="279" spans="22:25">
      <c r="V279" s="2807" t="s">
        <v>3722</v>
      </c>
      <c r="W279" s="2807">
        <v>50.93</v>
      </c>
      <c r="X279" s="2807">
        <f t="shared" si="4"/>
        <v>3465</v>
      </c>
      <c r="Y279" s="2807">
        <v>17.649100000000001</v>
      </c>
    </row>
    <row r="280" spans="22:25">
      <c r="V280" s="2807" t="s">
        <v>3723</v>
      </c>
      <c r="W280" s="2807">
        <v>50.93</v>
      </c>
      <c r="X280" s="2807">
        <f t="shared" si="4"/>
        <v>3465</v>
      </c>
      <c r="Y280" s="2807">
        <v>17.649100000000001</v>
      </c>
    </row>
    <row r="281" spans="22:25">
      <c r="V281" s="2807" t="s">
        <v>3724</v>
      </c>
      <c r="W281" s="2807">
        <v>50.93</v>
      </c>
      <c r="X281" s="2807">
        <f t="shared" si="4"/>
        <v>3465</v>
      </c>
      <c r="Y281" s="2807">
        <v>17.649100000000001</v>
      </c>
    </row>
    <row r="282" spans="22:25">
      <c r="V282" s="2807" t="s">
        <v>3725</v>
      </c>
      <c r="W282" s="2807">
        <v>50.93</v>
      </c>
      <c r="X282" s="2807">
        <f t="shared" si="4"/>
        <v>3465</v>
      </c>
      <c r="Y282" s="2807">
        <v>17.649100000000001</v>
      </c>
    </row>
    <row r="283" spans="22:25">
      <c r="V283" s="2807" t="s">
        <v>3726</v>
      </c>
      <c r="W283" s="2807">
        <v>50.93</v>
      </c>
      <c r="X283" s="2807">
        <f t="shared" si="4"/>
        <v>3465</v>
      </c>
      <c r="Y283" s="2807">
        <v>17.649100000000001</v>
      </c>
    </row>
    <row r="284" spans="22:25">
      <c r="V284" s="2807" t="s">
        <v>3727</v>
      </c>
      <c r="W284" s="2807">
        <v>50.93</v>
      </c>
      <c r="X284" s="2807">
        <f t="shared" si="4"/>
        <v>3465</v>
      </c>
      <c r="Y284" s="2807">
        <v>17.649100000000001</v>
      </c>
    </row>
    <row r="285" spans="22:25">
      <c r="V285" s="2807" t="s">
        <v>3728</v>
      </c>
      <c r="W285" s="2807">
        <v>50.93</v>
      </c>
      <c r="X285" s="2807">
        <f t="shared" si="4"/>
        <v>3465</v>
      </c>
      <c r="Y285" s="2807">
        <v>17.649100000000001</v>
      </c>
    </row>
    <row r="286" spans="22:25">
      <c r="V286" s="2807" t="s">
        <v>3729</v>
      </c>
      <c r="W286" s="2807">
        <v>50.93</v>
      </c>
      <c r="X286" s="2807">
        <f t="shared" si="4"/>
        <v>3465</v>
      </c>
      <c r="Y286" s="2807">
        <v>17.649100000000001</v>
      </c>
    </row>
    <row r="287" spans="22:25">
      <c r="V287" s="2807" t="s">
        <v>3730</v>
      </c>
      <c r="W287" s="2807">
        <v>89.38</v>
      </c>
      <c r="X287" s="2807">
        <f t="shared" si="4"/>
        <v>2567</v>
      </c>
      <c r="Y287" s="2807">
        <v>22.9438</v>
      </c>
    </row>
    <row r="288" spans="22:25">
      <c r="V288" s="2807" t="s">
        <v>3731</v>
      </c>
      <c r="W288" s="2807">
        <v>59.92</v>
      </c>
      <c r="X288" s="2807">
        <f t="shared" si="4"/>
        <v>2945</v>
      </c>
      <c r="Y288" s="2807">
        <v>17.649100000000001</v>
      </c>
    </row>
    <row r="289" spans="22:25">
      <c r="V289" s="2807" t="s">
        <v>3732</v>
      </c>
      <c r="W289" s="2807">
        <v>59.92</v>
      </c>
      <c r="X289" s="2807">
        <f t="shared" si="4"/>
        <v>2945</v>
      </c>
      <c r="Y289" s="2807">
        <v>17.649100000000001</v>
      </c>
    </row>
    <row r="290" spans="22:25">
      <c r="V290" s="2807" t="s">
        <v>3733</v>
      </c>
      <c r="W290" s="2807">
        <v>52.93</v>
      </c>
      <c r="X290" s="2807">
        <f t="shared" si="4"/>
        <v>3334</v>
      </c>
      <c r="Y290" s="2807">
        <v>17.649100000000001</v>
      </c>
    </row>
    <row r="291" spans="22:25">
      <c r="V291" s="2807" t="s">
        <v>3734</v>
      </c>
      <c r="W291" s="2807">
        <v>52.93</v>
      </c>
      <c r="X291" s="2807">
        <f t="shared" si="4"/>
        <v>3334</v>
      </c>
      <c r="Y291" s="2807">
        <v>17.649100000000001</v>
      </c>
    </row>
    <row r="292" spans="22:25">
      <c r="V292" s="2807" t="s">
        <v>3735</v>
      </c>
      <c r="W292" s="2807">
        <v>59.92</v>
      </c>
      <c r="X292" s="2807">
        <f t="shared" si="4"/>
        <v>2945</v>
      </c>
      <c r="Y292" s="2807">
        <v>17.649100000000001</v>
      </c>
    </row>
    <row r="293" spans="22:25">
      <c r="V293" s="2807" t="s">
        <v>3736</v>
      </c>
      <c r="W293" s="2807">
        <v>52.93</v>
      </c>
      <c r="X293" s="2807">
        <f t="shared" si="4"/>
        <v>3334</v>
      </c>
      <c r="Y293" s="2807">
        <v>17.649100000000001</v>
      </c>
    </row>
    <row r="294" spans="22:25">
      <c r="V294" s="2807" t="s">
        <v>3737</v>
      </c>
      <c r="W294" s="2807">
        <v>52.93</v>
      </c>
      <c r="X294" s="2807">
        <f t="shared" si="4"/>
        <v>3334</v>
      </c>
      <c r="Y294" s="2807">
        <v>17.649100000000001</v>
      </c>
    </row>
    <row r="295" spans="22:25">
      <c r="V295" s="2807" t="s">
        <v>3738</v>
      </c>
      <c r="W295" s="2807">
        <v>52.93</v>
      </c>
      <c r="X295" s="2807">
        <f t="shared" si="4"/>
        <v>3334</v>
      </c>
      <c r="Y295" s="2807">
        <v>17.649100000000001</v>
      </c>
    </row>
    <row r="296" spans="22:25">
      <c r="V296" s="2807" t="s">
        <v>3739</v>
      </c>
      <c r="W296" s="2807">
        <v>52.93</v>
      </c>
      <c r="X296" s="2807">
        <f t="shared" si="4"/>
        <v>3334</v>
      </c>
      <c r="Y296" s="2807">
        <v>17.649100000000001</v>
      </c>
    </row>
    <row r="297" spans="22:25">
      <c r="V297" s="2807" t="s">
        <v>3740</v>
      </c>
      <c r="W297" s="2807">
        <v>59.92</v>
      </c>
      <c r="X297" s="2807">
        <f t="shared" si="4"/>
        <v>2945</v>
      </c>
      <c r="Y297" s="2807">
        <v>17.649100000000001</v>
      </c>
    </row>
    <row r="298" spans="22:25">
      <c r="V298" s="2807" t="s">
        <v>3741</v>
      </c>
      <c r="W298" s="2807">
        <v>50.93</v>
      </c>
      <c r="X298" s="2807">
        <f t="shared" si="4"/>
        <v>3465</v>
      </c>
      <c r="Y298" s="2807">
        <v>17.649100000000001</v>
      </c>
    </row>
    <row r="299" spans="22:25">
      <c r="V299" s="2807" t="s">
        <v>3742</v>
      </c>
      <c r="W299" s="2807">
        <v>52.93</v>
      </c>
      <c r="X299" s="2807">
        <f t="shared" si="4"/>
        <v>3334</v>
      </c>
      <c r="Y299" s="2807">
        <v>17.649100000000001</v>
      </c>
    </row>
    <row r="300" spans="22:25">
      <c r="V300" s="2807" t="s">
        <v>3743</v>
      </c>
      <c r="W300" s="2807">
        <v>52.93</v>
      </c>
      <c r="X300" s="2807">
        <f t="shared" si="4"/>
        <v>3334</v>
      </c>
      <c r="Y300" s="2807">
        <v>17.649100000000001</v>
      </c>
    </row>
    <row r="301" spans="22:25">
      <c r="V301" s="2807" t="s">
        <v>3744</v>
      </c>
      <c r="W301" s="2807">
        <v>52.93</v>
      </c>
      <c r="X301" s="2807">
        <f t="shared" si="4"/>
        <v>3334</v>
      </c>
      <c r="Y301" s="2807">
        <v>17.649100000000001</v>
      </c>
    </row>
    <row r="302" spans="22:25">
      <c r="V302" s="2807" t="s">
        <v>3745</v>
      </c>
      <c r="W302" s="2807">
        <v>52.93</v>
      </c>
      <c r="X302" s="2807">
        <f t="shared" si="4"/>
        <v>3334</v>
      </c>
      <c r="Y302" s="2807">
        <v>17.649100000000001</v>
      </c>
    </row>
    <row r="303" spans="22:25">
      <c r="V303" s="2807" t="s">
        <v>3746</v>
      </c>
      <c r="W303" s="2807">
        <v>52.93</v>
      </c>
      <c r="X303" s="2807">
        <f t="shared" si="4"/>
        <v>3334</v>
      </c>
      <c r="Y303" s="2807">
        <v>17.649100000000001</v>
      </c>
    </row>
    <row r="304" spans="22:25">
      <c r="V304" s="2807" t="s">
        <v>3747</v>
      </c>
      <c r="W304" s="2807">
        <v>52.93</v>
      </c>
      <c r="X304" s="2807">
        <f t="shared" si="4"/>
        <v>3334</v>
      </c>
      <c r="Y304" s="2807">
        <v>17.649100000000001</v>
      </c>
    </row>
    <row r="305" spans="22:25">
      <c r="V305" s="2807" t="s">
        <v>3748</v>
      </c>
      <c r="W305" s="2807">
        <v>52.93</v>
      </c>
      <c r="X305" s="2807">
        <f t="shared" si="4"/>
        <v>3334</v>
      </c>
      <c r="Y305" s="2807">
        <v>17.649100000000001</v>
      </c>
    </row>
    <row r="306" spans="22:25">
      <c r="V306" s="2807" t="s">
        <v>3749</v>
      </c>
      <c r="W306" s="2807">
        <v>52.93</v>
      </c>
      <c r="X306" s="2807">
        <f t="shared" si="4"/>
        <v>3334</v>
      </c>
      <c r="Y306" s="2807">
        <v>17.649100000000001</v>
      </c>
    </row>
    <row r="307" spans="22:25">
      <c r="V307" s="2807" t="s">
        <v>3750</v>
      </c>
      <c r="W307" s="2807">
        <v>52.93</v>
      </c>
      <c r="X307" s="2807">
        <f t="shared" si="4"/>
        <v>3334</v>
      </c>
      <c r="Y307" s="2807">
        <v>17.649100000000001</v>
      </c>
    </row>
    <row r="308" spans="22:25">
      <c r="V308" s="2807" t="s">
        <v>3751</v>
      </c>
      <c r="W308" s="2807">
        <v>52.93</v>
      </c>
      <c r="X308" s="2807">
        <f t="shared" si="4"/>
        <v>3334</v>
      </c>
      <c r="Y308" s="2807">
        <v>17.649100000000001</v>
      </c>
    </row>
    <row r="309" spans="22:25">
      <c r="V309" s="2807" t="s">
        <v>3752</v>
      </c>
      <c r="W309" s="2807">
        <v>52.93</v>
      </c>
      <c r="X309" s="2807">
        <f t="shared" si="4"/>
        <v>3334</v>
      </c>
      <c r="Y309" s="2807">
        <v>17.649100000000001</v>
      </c>
    </row>
    <row r="310" spans="22:25">
      <c r="V310" s="2807" t="s">
        <v>3753</v>
      </c>
      <c r="W310" s="2807">
        <v>52.93</v>
      </c>
      <c r="X310" s="2807">
        <f t="shared" si="4"/>
        <v>3334</v>
      </c>
      <c r="Y310" s="2807">
        <v>17.649100000000001</v>
      </c>
    </row>
    <row r="311" spans="22:25">
      <c r="V311" s="2807" t="s">
        <v>3754</v>
      </c>
      <c r="W311" s="2807">
        <v>52.93</v>
      </c>
      <c r="X311" s="2807">
        <f t="shared" si="4"/>
        <v>3334</v>
      </c>
      <c r="Y311" s="2807">
        <v>17.649100000000001</v>
      </c>
    </row>
    <row r="312" spans="22:25">
      <c r="V312" s="2807" t="s">
        <v>3755</v>
      </c>
      <c r="W312" s="2807">
        <v>52.93</v>
      </c>
      <c r="X312" s="2807">
        <f t="shared" si="4"/>
        <v>3334</v>
      </c>
      <c r="Y312" s="2807">
        <v>17.649100000000001</v>
      </c>
    </row>
    <row r="313" spans="22:25">
      <c r="V313" s="2807" t="s">
        <v>3756</v>
      </c>
      <c r="W313" s="2807">
        <v>50.93</v>
      </c>
      <c r="X313" s="2807">
        <f t="shared" si="4"/>
        <v>3465</v>
      </c>
      <c r="Y313" s="2807">
        <v>17.649100000000001</v>
      </c>
    </row>
    <row r="314" spans="22:25">
      <c r="V314" s="2807" t="s">
        <v>3757</v>
      </c>
      <c r="W314" s="2807">
        <v>50.93</v>
      </c>
      <c r="X314" s="2807">
        <f t="shared" si="4"/>
        <v>3465</v>
      </c>
      <c r="Y314" s="2807">
        <v>17.649100000000001</v>
      </c>
    </row>
    <row r="315" spans="22:25">
      <c r="V315" s="2807" t="s">
        <v>3758</v>
      </c>
      <c r="W315" s="2807">
        <v>50.93</v>
      </c>
      <c r="X315" s="2807">
        <f t="shared" si="4"/>
        <v>3465</v>
      </c>
      <c r="Y315" s="2807">
        <v>17.649100000000001</v>
      </c>
    </row>
    <row r="316" spans="22:25">
      <c r="V316" s="2807" t="s">
        <v>3759</v>
      </c>
      <c r="W316" s="2807">
        <v>50.93</v>
      </c>
      <c r="X316" s="2807">
        <f t="shared" si="4"/>
        <v>3465</v>
      </c>
      <c r="Y316" s="2807">
        <v>17.649100000000001</v>
      </c>
    </row>
    <row r="317" spans="22:25">
      <c r="V317" s="2807" t="s">
        <v>3760</v>
      </c>
      <c r="W317" s="2807">
        <v>50.93</v>
      </c>
      <c r="X317" s="2807">
        <f t="shared" si="4"/>
        <v>3465</v>
      </c>
      <c r="Y317" s="2807">
        <v>17.649100000000001</v>
      </c>
    </row>
    <row r="318" spans="22:25">
      <c r="V318" s="2807" t="s">
        <v>3761</v>
      </c>
      <c r="W318" s="2807">
        <v>50.93</v>
      </c>
      <c r="X318" s="2807">
        <f t="shared" si="4"/>
        <v>3465</v>
      </c>
      <c r="Y318" s="2807">
        <v>17.649100000000001</v>
      </c>
    </row>
    <row r="319" spans="22:25">
      <c r="V319" s="2807" t="s">
        <v>3762</v>
      </c>
      <c r="W319" s="2807">
        <v>50.93</v>
      </c>
      <c r="X319" s="2807">
        <f t="shared" si="4"/>
        <v>3465</v>
      </c>
      <c r="Y319" s="2807">
        <v>17.649100000000001</v>
      </c>
    </row>
    <row r="320" spans="22:25">
      <c r="V320" s="2807" t="s">
        <v>3763</v>
      </c>
      <c r="W320" s="2807">
        <v>52.93</v>
      </c>
      <c r="X320" s="2807">
        <f t="shared" si="4"/>
        <v>3334</v>
      </c>
      <c r="Y320" s="2807">
        <v>17.649100000000001</v>
      </c>
    </row>
    <row r="321" spans="22:25">
      <c r="V321" s="2807" t="s">
        <v>3764</v>
      </c>
      <c r="W321" s="2807">
        <v>52.93</v>
      </c>
      <c r="X321" s="2807">
        <f t="shared" si="4"/>
        <v>3334</v>
      </c>
      <c r="Y321" s="2807">
        <v>17.649100000000001</v>
      </c>
    </row>
    <row r="322" spans="22:25">
      <c r="V322" s="2807" t="s">
        <v>3765</v>
      </c>
      <c r="W322" s="2807">
        <v>52.93</v>
      </c>
      <c r="X322" s="2807">
        <f t="shared" si="4"/>
        <v>3334</v>
      </c>
      <c r="Y322" s="2807">
        <v>17.649100000000001</v>
      </c>
    </row>
    <row r="323" spans="22:25">
      <c r="V323" s="2807" t="s">
        <v>3766</v>
      </c>
      <c r="W323" s="2807">
        <v>50.93</v>
      </c>
      <c r="X323" s="2807">
        <f t="shared" si="4"/>
        <v>3465</v>
      </c>
      <c r="Y323" s="2807">
        <v>17.649100000000001</v>
      </c>
    </row>
    <row r="324" spans="22:25">
      <c r="V324" s="2807" t="s">
        <v>3767</v>
      </c>
      <c r="W324" s="2807">
        <v>50.93</v>
      </c>
      <c r="X324" s="2807">
        <f t="shared" si="4"/>
        <v>3465</v>
      </c>
      <c r="Y324" s="2807">
        <v>17.649100000000001</v>
      </c>
    </row>
    <row r="325" spans="22:25">
      <c r="V325" s="2807" t="s">
        <v>3768</v>
      </c>
      <c r="W325" s="2807">
        <v>50.93</v>
      </c>
      <c r="X325" s="2807">
        <f t="shared" si="4"/>
        <v>3465</v>
      </c>
      <c r="Y325" s="2807">
        <v>17.649100000000001</v>
      </c>
    </row>
    <row r="326" spans="22:25">
      <c r="V326" s="2807" t="s">
        <v>3769</v>
      </c>
      <c r="W326" s="2807">
        <v>50.93</v>
      </c>
      <c r="X326" s="2807">
        <f t="shared" ref="X326:X389" si="5">ROUND(Y326/W326*10000,0)</f>
        <v>3465</v>
      </c>
      <c r="Y326" s="2807">
        <v>17.649100000000001</v>
      </c>
    </row>
    <row r="327" spans="22:25">
      <c r="V327" s="2807" t="s">
        <v>3770</v>
      </c>
      <c r="W327" s="2807">
        <v>50.93</v>
      </c>
      <c r="X327" s="2807">
        <f t="shared" si="5"/>
        <v>3465</v>
      </c>
      <c r="Y327" s="2807">
        <v>17.649100000000001</v>
      </c>
    </row>
    <row r="328" spans="22:25">
      <c r="V328" s="2807" t="s">
        <v>3771</v>
      </c>
      <c r="W328" s="2807">
        <v>50.93</v>
      </c>
      <c r="X328" s="2807">
        <f t="shared" si="5"/>
        <v>3465</v>
      </c>
      <c r="Y328" s="2807">
        <v>17.649100000000001</v>
      </c>
    </row>
    <row r="329" spans="22:25">
      <c r="V329" s="2807" t="s">
        <v>3772</v>
      </c>
      <c r="W329" s="2807">
        <v>50.93</v>
      </c>
      <c r="X329" s="2807">
        <f t="shared" si="5"/>
        <v>3465</v>
      </c>
      <c r="Y329" s="2807">
        <v>17.649100000000001</v>
      </c>
    </row>
    <row r="330" spans="22:25">
      <c r="V330" s="2807" t="s">
        <v>3773</v>
      </c>
      <c r="W330" s="2807">
        <v>50.93</v>
      </c>
      <c r="X330" s="2807">
        <f t="shared" si="5"/>
        <v>3465</v>
      </c>
      <c r="Y330" s="2807">
        <v>17.649100000000001</v>
      </c>
    </row>
    <row r="331" spans="22:25">
      <c r="V331" s="2807" t="s">
        <v>3774</v>
      </c>
      <c r="W331" s="2807">
        <v>50.93</v>
      </c>
      <c r="X331" s="2807">
        <f t="shared" si="5"/>
        <v>3465</v>
      </c>
      <c r="Y331" s="2807">
        <v>17.649100000000001</v>
      </c>
    </row>
    <row r="332" spans="22:25">
      <c r="V332" s="2807" t="s">
        <v>3775</v>
      </c>
      <c r="W332" s="2807">
        <v>50.93</v>
      </c>
      <c r="X332" s="2807">
        <f t="shared" si="5"/>
        <v>3465</v>
      </c>
      <c r="Y332" s="2807">
        <v>17.649100000000001</v>
      </c>
    </row>
    <row r="333" spans="22:25">
      <c r="V333" s="2807" t="s">
        <v>3776</v>
      </c>
      <c r="W333" s="2807">
        <v>50.93</v>
      </c>
      <c r="X333" s="2807">
        <f t="shared" si="5"/>
        <v>3465</v>
      </c>
      <c r="Y333" s="2807">
        <v>17.649100000000001</v>
      </c>
    </row>
    <row r="334" spans="22:25">
      <c r="V334" s="2807" t="s">
        <v>3777</v>
      </c>
      <c r="W334" s="2807">
        <v>50.93</v>
      </c>
      <c r="X334" s="2807">
        <f t="shared" si="5"/>
        <v>3465</v>
      </c>
      <c r="Y334" s="2807">
        <v>17.649100000000001</v>
      </c>
    </row>
    <row r="335" spans="22:25">
      <c r="V335" s="2807" t="s">
        <v>3778</v>
      </c>
      <c r="W335" s="2807">
        <v>50.93</v>
      </c>
      <c r="X335" s="2807">
        <f t="shared" si="5"/>
        <v>3465</v>
      </c>
      <c r="Y335" s="2807">
        <v>17.649100000000001</v>
      </c>
    </row>
    <row r="336" spans="22:25">
      <c r="V336" s="2807" t="s">
        <v>3779</v>
      </c>
      <c r="W336" s="2807">
        <v>50.93</v>
      </c>
      <c r="X336" s="2807">
        <f t="shared" si="5"/>
        <v>3465</v>
      </c>
      <c r="Y336" s="2807">
        <v>17.649100000000001</v>
      </c>
    </row>
    <row r="337" spans="22:25">
      <c r="V337" s="2807" t="s">
        <v>3780</v>
      </c>
      <c r="W337" s="2807">
        <v>50.93</v>
      </c>
      <c r="X337" s="2807">
        <f t="shared" si="5"/>
        <v>3465</v>
      </c>
      <c r="Y337" s="2807">
        <v>17.649100000000001</v>
      </c>
    </row>
    <row r="338" spans="22:25">
      <c r="V338" s="2807" t="s">
        <v>3781</v>
      </c>
      <c r="W338" s="2807">
        <v>50.93</v>
      </c>
      <c r="X338" s="2807">
        <f t="shared" si="5"/>
        <v>3465</v>
      </c>
      <c r="Y338" s="2807">
        <v>17.649100000000001</v>
      </c>
    </row>
    <row r="339" spans="22:25">
      <c r="V339" s="2807" t="s">
        <v>3782</v>
      </c>
      <c r="W339" s="2807">
        <v>50.93</v>
      </c>
      <c r="X339" s="2807">
        <f t="shared" si="5"/>
        <v>3465</v>
      </c>
      <c r="Y339" s="2807">
        <v>17.649100000000001</v>
      </c>
    </row>
    <row r="340" spans="22:25">
      <c r="V340" s="2807" t="s">
        <v>3783</v>
      </c>
      <c r="W340" s="2807">
        <v>50.93</v>
      </c>
      <c r="X340" s="2807">
        <f t="shared" si="5"/>
        <v>3465</v>
      </c>
      <c r="Y340" s="2807">
        <v>17.649100000000001</v>
      </c>
    </row>
    <row r="341" spans="22:25">
      <c r="V341" s="2807" t="s">
        <v>3784</v>
      </c>
      <c r="W341" s="2807">
        <v>50.93</v>
      </c>
      <c r="X341" s="2807">
        <f t="shared" si="5"/>
        <v>3465</v>
      </c>
      <c r="Y341" s="2807">
        <v>17.649100000000001</v>
      </c>
    </row>
    <row r="342" spans="22:25">
      <c r="V342" s="2807" t="s">
        <v>3785</v>
      </c>
      <c r="W342" s="2807">
        <v>50.93</v>
      </c>
      <c r="X342" s="2807">
        <f t="shared" si="5"/>
        <v>3465</v>
      </c>
      <c r="Y342" s="2807">
        <v>17.649100000000001</v>
      </c>
    </row>
    <row r="343" spans="22:25">
      <c r="V343" s="2807" t="s">
        <v>3786</v>
      </c>
      <c r="W343" s="2807">
        <v>50.93</v>
      </c>
      <c r="X343" s="2807">
        <f t="shared" si="5"/>
        <v>3465</v>
      </c>
      <c r="Y343" s="2807">
        <v>17.649100000000001</v>
      </c>
    </row>
    <row r="344" spans="22:25">
      <c r="V344" s="2807" t="s">
        <v>3787</v>
      </c>
      <c r="W344" s="2807">
        <v>50.93</v>
      </c>
      <c r="X344" s="2807">
        <f t="shared" si="5"/>
        <v>3465</v>
      </c>
      <c r="Y344" s="2807">
        <v>17.649100000000001</v>
      </c>
    </row>
    <row r="345" spans="22:25">
      <c r="V345" s="2807" t="s">
        <v>3788</v>
      </c>
      <c r="W345" s="2807">
        <v>50.93</v>
      </c>
      <c r="X345" s="2807">
        <f t="shared" si="5"/>
        <v>3465</v>
      </c>
      <c r="Y345" s="2807">
        <v>17.649100000000001</v>
      </c>
    </row>
    <row r="346" spans="22:25">
      <c r="V346" s="2807" t="s">
        <v>3789</v>
      </c>
      <c r="W346" s="2807">
        <v>50.93</v>
      </c>
      <c r="X346" s="2807">
        <f t="shared" si="5"/>
        <v>3465</v>
      </c>
      <c r="Y346" s="2807">
        <v>17.649100000000001</v>
      </c>
    </row>
    <row r="347" spans="22:25">
      <c r="V347" s="2807" t="s">
        <v>3790</v>
      </c>
      <c r="W347" s="2807">
        <v>50.93</v>
      </c>
      <c r="X347" s="2807">
        <f t="shared" si="5"/>
        <v>3465</v>
      </c>
      <c r="Y347" s="2807">
        <v>17.649100000000001</v>
      </c>
    </row>
    <row r="348" spans="22:25">
      <c r="V348" s="2807" t="s">
        <v>3791</v>
      </c>
      <c r="W348" s="2807">
        <v>50.93</v>
      </c>
      <c r="X348" s="2807">
        <f t="shared" si="5"/>
        <v>3465</v>
      </c>
      <c r="Y348" s="2807">
        <v>17.649100000000001</v>
      </c>
    </row>
    <row r="349" spans="22:25">
      <c r="V349" s="2807" t="s">
        <v>3792</v>
      </c>
      <c r="W349" s="2807">
        <v>50.93</v>
      </c>
      <c r="X349" s="2807">
        <f t="shared" si="5"/>
        <v>3465</v>
      </c>
      <c r="Y349" s="2807">
        <v>17.649100000000001</v>
      </c>
    </row>
    <row r="350" spans="22:25">
      <c r="V350" s="2807" t="s">
        <v>3793</v>
      </c>
      <c r="W350" s="2807">
        <v>52.93</v>
      </c>
      <c r="X350" s="2807">
        <f t="shared" si="5"/>
        <v>3334</v>
      </c>
      <c r="Y350" s="2807">
        <v>17.649100000000001</v>
      </c>
    </row>
    <row r="351" spans="22:25">
      <c r="V351" s="2807" t="s">
        <v>3794</v>
      </c>
      <c r="W351" s="2807">
        <v>52.93</v>
      </c>
      <c r="X351" s="2807">
        <f t="shared" si="5"/>
        <v>3334</v>
      </c>
      <c r="Y351" s="2807">
        <v>17.649100000000001</v>
      </c>
    </row>
    <row r="352" spans="22:25">
      <c r="V352" s="2807" t="s">
        <v>3795</v>
      </c>
      <c r="W352" s="2807">
        <v>52.93</v>
      </c>
      <c r="X352" s="2807">
        <f t="shared" si="5"/>
        <v>3334</v>
      </c>
      <c r="Y352" s="2807">
        <v>17.649100000000001</v>
      </c>
    </row>
    <row r="353" spans="22:25">
      <c r="V353" s="2807" t="s">
        <v>3796</v>
      </c>
      <c r="W353" s="2807">
        <v>50.93</v>
      </c>
      <c r="X353" s="2807">
        <f t="shared" si="5"/>
        <v>3465</v>
      </c>
      <c r="Y353" s="2807">
        <v>17.649100000000001</v>
      </c>
    </row>
    <row r="354" spans="22:25">
      <c r="V354" s="2807" t="s">
        <v>3797</v>
      </c>
      <c r="W354" s="2807">
        <v>50.93</v>
      </c>
      <c r="X354" s="2807">
        <f t="shared" si="5"/>
        <v>3465</v>
      </c>
      <c r="Y354" s="2807">
        <v>17.649100000000001</v>
      </c>
    </row>
    <row r="355" spans="22:25">
      <c r="V355" s="2807" t="s">
        <v>3798</v>
      </c>
      <c r="W355" s="2807">
        <v>50.93</v>
      </c>
      <c r="X355" s="2807">
        <f t="shared" si="5"/>
        <v>3465</v>
      </c>
      <c r="Y355" s="2807">
        <v>17.649100000000001</v>
      </c>
    </row>
    <row r="356" spans="22:25">
      <c r="V356" s="2807" t="s">
        <v>3799</v>
      </c>
      <c r="W356" s="2807">
        <v>50.93</v>
      </c>
      <c r="X356" s="2807">
        <f t="shared" si="5"/>
        <v>3465</v>
      </c>
      <c r="Y356" s="2807">
        <v>17.649100000000001</v>
      </c>
    </row>
    <row r="357" spans="22:25">
      <c r="V357" s="2807" t="s">
        <v>3800</v>
      </c>
      <c r="W357" s="2807">
        <v>50.93</v>
      </c>
      <c r="X357" s="2807">
        <f t="shared" si="5"/>
        <v>3465</v>
      </c>
      <c r="Y357" s="2807">
        <v>17.649100000000001</v>
      </c>
    </row>
    <row r="358" spans="22:25">
      <c r="V358" s="2807" t="s">
        <v>3801</v>
      </c>
      <c r="W358" s="2807">
        <v>50.93</v>
      </c>
      <c r="X358" s="2807">
        <f t="shared" si="5"/>
        <v>3465</v>
      </c>
      <c r="Y358" s="2807">
        <v>17.649100000000001</v>
      </c>
    </row>
    <row r="359" spans="22:25">
      <c r="V359" s="2807" t="s">
        <v>3802</v>
      </c>
      <c r="W359" s="2807">
        <v>50.93</v>
      </c>
      <c r="X359" s="2807">
        <f t="shared" si="5"/>
        <v>3465</v>
      </c>
      <c r="Y359" s="2807">
        <v>17.649100000000001</v>
      </c>
    </row>
    <row r="360" spans="22:25">
      <c r="V360" s="2807" t="s">
        <v>3803</v>
      </c>
      <c r="W360" s="2807">
        <v>59.92</v>
      </c>
      <c r="X360" s="2807">
        <f t="shared" si="5"/>
        <v>2945</v>
      </c>
      <c r="Y360" s="2807">
        <v>17.649100000000001</v>
      </c>
    </row>
    <row r="361" spans="22:25">
      <c r="V361" s="2807" t="s">
        <v>3804</v>
      </c>
      <c r="W361" s="2807">
        <v>59.92</v>
      </c>
      <c r="X361" s="2807">
        <f t="shared" si="5"/>
        <v>2945</v>
      </c>
      <c r="Y361" s="2807">
        <v>17.649100000000001</v>
      </c>
    </row>
    <row r="362" spans="22:25">
      <c r="V362" s="2807" t="s">
        <v>3805</v>
      </c>
      <c r="W362" s="2807">
        <v>59.92</v>
      </c>
      <c r="X362" s="2807">
        <f t="shared" si="5"/>
        <v>2945</v>
      </c>
      <c r="Y362" s="2807">
        <v>17.649100000000001</v>
      </c>
    </row>
    <row r="363" spans="22:25">
      <c r="V363" s="2807" t="s">
        <v>3806</v>
      </c>
      <c r="W363" s="2807">
        <v>59.92</v>
      </c>
      <c r="X363" s="2807">
        <f t="shared" si="5"/>
        <v>2945</v>
      </c>
      <c r="Y363" s="2807">
        <v>17.649100000000001</v>
      </c>
    </row>
    <row r="364" spans="22:25">
      <c r="V364" s="2807" t="s">
        <v>3807</v>
      </c>
      <c r="W364" s="2807">
        <v>52.93</v>
      </c>
      <c r="X364" s="2807">
        <f t="shared" si="5"/>
        <v>3334</v>
      </c>
      <c r="Y364" s="2807">
        <v>17.649100000000001</v>
      </c>
    </row>
    <row r="365" spans="22:25">
      <c r="V365" s="2807" t="s">
        <v>3808</v>
      </c>
      <c r="W365" s="2807">
        <v>52.93</v>
      </c>
      <c r="X365" s="2807">
        <f t="shared" si="5"/>
        <v>3334</v>
      </c>
      <c r="Y365" s="2807">
        <v>17.649100000000001</v>
      </c>
    </row>
    <row r="366" spans="22:25">
      <c r="V366" s="2807" t="s">
        <v>3809</v>
      </c>
      <c r="W366" s="2807">
        <v>52.93</v>
      </c>
      <c r="X366" s="2807">
        <f t="shared" si="5"/>
        <v>3334</v>
      </c>
      <c r="Y366" s="2807">
        <v>17.649100000000001</v>
      </c>
    </row>
    <row r="367" spans="22:25">
      <c r="V367" s="2807" t="s">
        <v>3810</v>
      </c>
      <c r="W367" s="2807">
        <v>52.93</v>
      </c>
      <c r="X367" s="2807">
        <f t="shared" si="5"/>
        <v>3334</v>
      </c>
      <c r="Y367" s="2807">
        <v>17.649100000000001</v>
      </c>
    </row>
    <row r="368" spans="22:25">
      <c r="V368" s="2807" t="s">
        <v>3811</v>
      </c>
      <c r="W368" s="2807">
        <v>52.93</v>
      </c>
      <c r="X368" s="2807">
        <f t="shared" si="5"/>
        <v>3334</v>
      </c>
      <c r="Y368" s="2807">
        <v>17.649100000000001</v>
      </c>
    </row>
    <row r="369" spans="22:25">
      <c r="V369" s="2807" t="s">
        <v>3812</v>
      </c>
      <c r="W369" s="2807">
        <v>50.93</v>
      </c>
      <c r="X369" s="2807">
        <f t="shared" si="5"/>
        <v>3465</v>
      </c>
      <c r="Y369" s="2807">
        <v>17.649100000000001</v>
      </c>
    </row>
    <row r="370" spans="22:25">
      <c r="V370" s="2807" t="s">
        <v>3813</v>
      </c>
      <c r="W370" s="2807">
        <v>50.93</v>
      </c>
      <c r="X370" s="2807">
        <f t="shared" si="5"/>
        <v>3465</v>
      </c>
      <c r="Y370" s="2807">
        <v>17.649100000000001</v>
      </c>
    </row>
    <row r="371" spans="22:25">
      <c r="V371" s="2807" t="s">
        <v>3814</v>
      </c>
      <c r="W371" s="2807">
        <v>50.93</v>
      </c>
      <c r="X371" s="2807">
        <f t="shared" si="5"/>
        <v>3465</v>
      </c>
      <c r="Y371" s="2807">
        <v>17.649100000000001</v>
      </c>
    </row>
    <row r="372" spans="22:25">
      <c r="V372" s="2807" t="s">
        <v>3815</v>
      </c>
      <c r="W372" s="2807">
        <v>50.93</v>
      </c>
      <c r="X372" s="2807">
        <f t="shared" si="5"/>
        <v>3465</v>
      </c>
      <c r="Y372" s="2807">
        <v>17.649100000000001</v>
      </c>
    </row>
    <row r="373" spans="22:25">
      <c r="V373" s="2807" t="s">
        <v>3816</v>
      </c>
      <c r="W373" s="2807">
        <v>50.93</v>
      </c>
      <c r="X373" s="2807">
        <f t="shared" si="5"/>
        <v>3465</v>
      </c>
      <c r="Y373" s="2807">
        <v>17.649100000000001</v>
      </c>
    </row>
    <row r="374" spans="22:25">
      <c r="V374" s="2807" t="s">
        <v>3817</v>
      </c>
      <c r="W374" s="2807">
        <v>50.93</v>
      </c>
      <c r="X374" s="2807">
        <f t="shared" si="5"/>
        <v>3465</v>
      </c>
      <c r="Y374" s="2807">
        <v>17.649100000000001</v>
      </c>
    </row>
    <row r="375" spans="22:25">
      <c r="V375" s="2807" t="s">
        <v>3818</v>
      </c>
      <c r="W375" s="2807">
        <v>50.93</v>
      </c>
      <c r="X375" s="2807">
        <f t="shared" si="5"/>
        <v>3465</v>
      </c>
      <c r="Y375" s="2807">
        <v>17.649100000000001</v>
      </c>
    </row>
    <row r="376" spans="22:25">
      <c r="V376" s="2807" t="s">
        <v>3819</v>
      </c>
      <c r="W376" s="2807">
        <v>50.93</v>
      </c>
      <c r="X376" s="2807">
        <f t="shared" si="5"/>
        <v>3465</v>
      </c>
      <c r="Y376" s="2807">
        <v>17.649100000000001</v>
      </c>
    </row>
    <row r="377" spans="22:25">
      <c r="V377" s="2807" t="s">
        <v>3820</v>
      </c>
      <c r="W377" s="2807">
        <v>50.93</v>
      </c>
      <c r="X377" s="2807">
        <f t="shared" si="5"/>
        <v>3465</v>
      </c>
      <c r="Y377" s="2807">
        <v>17.649100000000001</v>
      </c>
    </row>
    <row r="378" spans="22:25">
      <c r="V378" s="2807" t="s">
        <v>3821</v>
      </c>
      <c r="W378" s="2807">
        <v>50.93</v>
      </c>
      <c r="X378" s="2807">
        <f t="shared" si="5"/>
        <v>3465</v>
      </c>
      <c r="Y378" s="2807">
        <v>17.649100000000001</v>
      </c>
    </row>
    <row r="379" spans="22:25">
      <c r="V379" s="2807" t="s">
        <v>3822</v>
      </c>
      <c r="W379" s="2807">
        <v>50.93</v>
      </c>
      <c r="X379" s="2807">
        <f t="shared" si="5"/>
        <v>3465</v>
      </c>
      <c r="Y379" s="2807">
        <v>17.649100000000001</v>
      </c>
    </row>
    <row r="380" spans="22:25">
      <c r="V380" s="2807" t="s">
        <v>3823</v>
      </c>
      <c r="W380" s="2807">
        <v>50.93</v>
      </c>
      <c r="X380" s="2807">
        <f t="shared" si="5"/>
        <v>3465</v>
      </c>
      <c r="Y380" s="2807">
        <v>17.649100000000001</v>
      </c>
    </row>
    <row r="381" spans="22:25">
      <c r="V381" s="2807" t="s">
        <v>3824</v>
      </c>
      <c r="W381" s="2807">
        <v>50.93</v>
      </c>
      <c r="X381" s="2807">
        <f t="shared" si="5"/>
        <v>3465</v>
      </c>
      <c r="Y381" s="2807">
        <v>17.649100000000001</v>
      </c>
    </row>
    <row r="382" spans="22:25">
      <c r="V382" s="2807" t="s">
        <v>3825</v>
      </c>
      <c r="W382" s="2807">
        <v>50.93</v>
      </c>
      <c r="X382" s="2807">
        <f t="shared" si="5"/>
        <v>3465</v>
      </c>
      <c r="Y382" s="2807">
        <v>17.649100000000001</v>
      </c>
    </row>
    <row r="383" spans="22:25">
      <c r="V383" s="2807" t="s">
        <v>3826</v>
      </c>
      <c r="W383" s="2807">
        <v>50.93</v>
      </c>
      <c r="X383" s="2807">
        <f t="shared" si="5"/>
        <v>3465</v>
      </c>
      <c r="Y383" s="2807">
        <v>17.649100000000001</v>
      </c>
    </row>
    <row r="384" spans="22:25">
      <c r="V384" s="2807" t="s">
        <v>3827</v>
      </c>
      <c r="W384" s="2807">
        <v>50.93</v>
      </c>
      <c r="X384" s="2807">
        <f t="shared" si="5"/>
        <v>3465</v>
      </c>
      <c r="Y384" s="2807">
        <v>17.649100000000001</v>
      </c>
    </row>
    <row r="385" spans="22:25">
      <c r="V385" s="2807" t="s">
        <v>3828</v>
      </c>
      <c r="W385" s="2807">
        <v>50.93</v>
      </c>
      <c r="X385" s="2807">
        <f t="shared" si="5"/>
        <v>3465</v>
      </c>
      <c r="Y385" s="2807">
        <v>17.649100000000001</v>
      </c>
    </row>
    <row r="386" spans="22:25">
      <c r="V386" s="2807" t="s">
        <v>3829</v>
      </c>
      <c r="W386" s="2807">
        <v>50.93</v>
      </c>
      <c r="X386" s="2807">
        <f t="shared" si="5"/>
        <v>3465</v>
      </c>
      <c r="Y386" s="2807">
        <v>17.649100000000001</v>
      </c>
    </row>
    <row r="387" spans="22:25">
      <c r="V387" s="2807" t="s">
        <v>3830</v>
      </c>
      <c r="W387" s="2807">
        <v>50.93</v>
      </c>
      <c r="X387" s="2807">
        <f t="shared" si="5"/>
        <v>3465</v>
      </c>
      <c r="Y387" s="2807">
        <v>17.649100000000001</v>
      </c>
    </row>
    <row r="388" spans="22:25">
      <c r="V388" s="2807" t="s">
        <v>3831</v>
      </c>
      <c r="W388" s="2807">
        <v>50.93</v>
      </c>
      <c r="X388" s="2807">
        <f t="shared" si="5"/>
        <v>3465</v>
      </c>
      <c r="Y388" s="2807">
        <v>17.649100000000001</v>
      </c>
    </row>
    <row r="389" spans="22:25">
      <c r="V389" s="2807" t="s">
        <v>3832</v>
      </c>
      <c r="W389" s="2807">
        <v>50.93</v>
      </c>
      <c r="X389" s="2807">
        <f t="shared" si="5"/>
        <v>3465</v>
      </c>
      <c r="Y389" s="2807">
        <v>17.649100000000001</v>
      </c>
    </row>
    <row r="390" spans="22:25">
      <c r="V390" s="2807" t="s">
        <v>3833</v>
      </c>
      <c r="W390" s="2807">
        <v>50.93</v>
      </c>
      <c r="X390" s="2807">
        <f t="shared" ref="X390:X453" si="6">ROUND(Y390/W390*10000,0)</f>
        <v>3465</v>
      </c>
      <c r="Y390" s="2807">
        <v>17.649100000000001</v>
      </c>
    </row>
    <row r="391" spans="22:25">
      <c r="V391" s="2807" t="s">
        <v>3834</v>
      </c>
      <c r="W391" s="2807">
        <v>50.93</v>
      </c>
      <c r="X391" s="2807">
        <f t="shared" si="6"/>
        <v>3465</v>
      </c>
      <c r="Y391" s="2807">
        <v>17.649100000000001</v>
      </c>
    </row>
    <row r="392" spans="22:25">
      <c r="V392" s="2807" t="s">
        <v>3835</v>
      </c>
      <c r="W392" s="2807">
        <v>50.93</v>
      </c>
      <c r="X392" s="2807">
        <f t="shared" si="6"/>
        <v>3465</v>
      </c>
      <c r="Y392" s="2807">
        <v>17.649100000000001</v>
      </c>
    </row>
    <row r="393" spans="22:25">
      <c r="V393" s="2807" t="s">
        <v>3836</v>
      </c>
      <c r="W393" s="2807">
        <v>50.93</v>
      </c>
      <c r="X393" s="2807">
        <f t="shared" si="6"/>
        <v>3465</v>
      </c>
      <c r="Y393" s="2807">
        <v>17.649100000000001</v>
      </c>
    </row>
    <row r="394" spans="22:25">
      <c r="V394" s="2807" t="s">
        <v>3837</v>
      </c>
      <c r="W394" s="2807">
        <v>50.93</v>
      </c>
      <c r="X394" s="2807">
        <f t="shared" si="6"/>
        <v>3465</v>
      </c>
      <c r="Y394" s="2807">
        <v>17.649100000000001</v>
      </c>
    </row>
    <row r="395" spans="22:25">
      <c r="V395" s="2807" t="s">
        <v>3838</v>
      </c>
      <c r="W395" s="2807">
        <v>52.93</v>
      </c>
      <c r="X395" s="2807">
        <f t="shared" si="6"/>
        <v>3334</v>
      </c>
      <c r="Y395" s="2807">
        <v>17.649100000000001</v>
      </c>
    </row>
    <row r="396" spans="22:25">
      <c r="V396" s="2807" t="s">
        <v>3839</v>
      </c>
      <c r="W396" s="2807">
        <v>52.93</v>
      </c>
      <c r="X396" s="2807">
        <f t="shared" si="6"/>
        <v>3334</v>
      </c>
      <c r="Y396" s="2807">
        <v>17.649100000000001</v>
      </c>
    </row>
    <row r="397" spans="22:25">
      <c r="V397" s="2807" t="s">
        <v>3840</v>
      </c>
      <c r="W397" s="2807">
        <v>52.93</v>
      </c>
      <c r="X397" s="2807">
        <f t="shared" si="6"/>
        <v>3334</v>
      </c>
      <c r="Y397" s="2807">
        <v>17.649100000000001</v>
      </c>
    </row>
    <row r="398" spans="22:25">
      <c r="V398" s="2807" t="s">
        <v>3841</v>
      </c>
      <c r="W398" s="2807">
        <v>52.93</v>
      </c>
      <c r="X398" s="2807">
        <f t="shared" si="6"/>
        <v>3334</v>
      </c>
      <c r="Y398" s="2807">
        <v>17.649100000000001</v>
      </c>
    </row>
    <row r="399" spans="22:25">
      <c r="V399" s="2807" t="s">
        <v>3842</v>
      </c>
      <c r="W399" s="2807">
        <v>52.93</v>
      </c>
      <c r="X399" s="2807">
        <f t="shared" si="6"/>
        <v>3334</v>
      </c>
      <c r="Y399" s="2807">
        <v>17.649100000000001</v>
      </c>
    </row>
    <row r="400" spans="22:25">
      <c r="V400" s="2807" t="s">
        <v>3843</v>
      </c>
      <c r="W400" s="2807">
        <v>52.93</v>
      </c>
      <c r="X400" s="2807">
        <f t="shared" si="6"/>
        <v>3334</v>
      </c>
      <c r="Y400" s="2807">
        <v>17.649100000000001</v>
      </c>
    </row>
    <row r="401" spans="22:25">
      <c r="V401" s="2807" t="s">
        <v>3844</v>
      </c>
      <c r="W401" s="2807">
        <v>52.93</v>
      </c>
      <c r="X401" s="2807">
        <f t="shared" si="6"/>
        <v>3334</v>
      </c>
      <c r="Y401" s="2807">
        <v>17.649100000000001</v>
      </c>
    </row>
    <row r="402" spans="22:25">
      <c r="V402" s="2807" t="s">
        <v>3845</v>
      </c>
      <c r="W402" s="2807">
        <v>52.93</v>
      </c>
      <c r="X402" s="2807">
        <f t="shared" si="6"/>
        <v>3334</v>
      </c>
      <c r="Y402" s="2807">
        <v>17.649100000000001</v>
      </c>
    </row>
    <row r="403" spans="22:25">
      <c r="V403" s="2807" t="s">
        <v>3846</v>
      </c>
      <c r="W403" s="2807">
        <v>52.93</v>
      </c>
      <c r="X403" s="2807">
        <f t="shared" si="6"/>
        <v>3334</v>
      </c>
      <c r="Y403" s="2807">
        <v>17.649100000000001</v>
      </c>
    </row>
    <row r="404" spans="22:25">
      <c r="V404" s="2807" t="s">
        <v>3847</v>
      </c>
      <c r="W404" s="2807">
        <v>52.93</v>
      </c>
      <c r="X404" s="2807">
        <f t="shared" si="6"/>
        <v>3334</v>
      </c>
      <c r="Y404" s="2807">
        <v>17.649100000000001</v>
      </c>
    </row>
    <row r="405" spans="22:25">
      <c r="V405" s="2807" t="s">
        <v>3848</v>
      </c>
      <c r="W405" s="2807">
        <v>52.93</v>
      </c>
      <c r="X405" s="2807">
        <f t="shared" si="6"/>
        <v>3334</v>
      </c>
      <c r="Y405" s="2807">
        <v>17.649100000000001</v>
      </c>
    </row>
    <row r="406" spans="22:25">
      <c r="V406" s="2807" t="s">
        <v>3849</v>
      </c>
      <c r="W406" s="2807">
        <v>52.93</v>
      </c>
      <c r="X406" s="2807">
        <f t="shared" si="6"/>
        <v>3334</v>
      </c>
      <c r="Y406" s="2807">
        <v>17.649100000000001</v>
      </c>
    </row>
    <row r="407" spans="22:25">
      <c r="V407" s="2807" t="s">
        <v>3850</v>
      </c>
      <c r="W407" s="2807">
        <v>52.93</v>
      </c>
      <c r="X407" s="2807">
        <f t="shared" si="6"/>
        <v>3334</v>
      </c>
      <c r="Y407" s="2807">
        <v>17.649100000000001</v>
      </c>
    </row>
    <row r="408" spans="22:25">
      <c r="V408" s="2807" t="s">
        <v>3851</v>
      </c>
      <c r="W408" s="2807">
        <v>52.93</v>
      </c>
      <c r="X408" s="2807">
        <f t="shared" si="6"/>
        <v>3334</v>
      </c>
      <c r="Y408" s="2807">
        <v>17.649100000000001</v>
      </c>
    </row>
    <row r="409" spans="22:25">
      <c r="V409" s="2807" t="s">
        <v>3852</v>
      </c>
      <c r="W409" s="2807">
        <v>59.92</v>
      </c>
      <c r="X409" s="2807">
        <f t="shared" si="6"/>
        <v>2945</v>
      </c>
      <c r="Y409" s="2807">
        <v>17.649100000000001</v>
      </c>
    </row>
    <row r="410" spans="22:25">
      <c r="V410" s="2807" t="s">
        <v>3853</v>
      </c>
      <c r="W410" s="2807">
        <v>52.93</v>
      </c>
      <c r="X410" s="2807">
        <f t="shared" si="6"/>
        <v>3334</v>
      </c>
      <c r="Y410" s="2807">
        <v>17.649100000000001</v>
      </c>
    </row>
    <row r="411" spans="22:25">
      <c r="V411" s="2807" t="s">
        <v>3854</v>
      </c>
      <c r="W411" s="2807">
        <v>52.93</v>
      </c>
      <c r="X411" s="2807">
        <f t="shared" si="6"/>
        <v>3334</v>
      </c>
      <c r="Y411" s="2807">
        <v>17.649100000000001</v>
      </c>
    </row>
    <row r="412" spans="22:25">
      <c r="V412" s="2807" t="s">
        <v>3855</v>
      </c>
      <c r="W412" s="2807">
        <v>52.93</v>
      </c>
      <c r="X412" s="2807">
        <f t="shared" si="6"/>
        <v>3334</v>
      </c>
      <c r="Y412" s="2807">
        <v>17.649100000000001</v>
      </c>
    </row>
    <row r="413" spans="22:25">
      <c r="V413" s="2807" t="s">
        <v>3856</v>
      </c>
      <c r="W413" s="2807">
        <v>52.93</v>
      </c>
      <c r="X413" s="2807">
        <f t="shared" si="6"/>
        <v>3334</v>
      </c>
      <c r="Y413" s="2807">
        <v>17.649100000000001</v>
      </c>
    </row>
    <row r="414" spans="22:25">
      <c r="V414" s="2807" t="s">
        <v>3857</v>
      </c>
      <c r="W414" s="2807">
        <v>52.93</v>
      </c>
      <c r="X414" s="2807">
        <f t="shared" si="6"/>
        <v>3334</v>
      </c>
      <c r="Y414" s="2807">
        <v>17.649100000000001</v>
      </c>
    </row>
    <row r="415" spans="22:25">
      <c r="V415" s="2807" t="s">
        <v>3858</v>
      </c>
      <c r="W415" s="2807">
        <v>52.93</v>
      </c>
      <c r="X415" s="2807">
        <f t="shared" si="6"/>
        <v>3334</v>
      </c>
      <c r="Y415" s="2807">
        <v>17.649100000000001</v>
      </c>
    </row>
    <row r="416" spans="22:25">
      <c r="V416" s="2807" t="s">
        <v>3859</v>
      </c>
      <c r="W416" s="2807">
        <v>52.93</v>
      </c>
      <c r="X416" s="2807">
        <f t="shared" si="6"/>
        <v>3334</v>
      </c>
      <c r="Y416" s="2807">
        <v>17.649100000000001</v>
      </c>
    </row>
    <row r="417" spans="22:25">
      <c r="V417" s="2807" t="s">
        <v>3860</v>
      </c>
      <c r="W417" s="2807">
        <v>59.92</v>
      </c>
      <c r="X417" s="2807">
        <f t="shared" si="6"/>
        <v>2945</v>
      </c>
      <c r="Y417" s="2807">
        <v>17.649100000000001</v>
      </c>
    </row>
    <row r="418" spans="22:25">
      <c r="V418" s="2807" t="s">
        <v>3861</v>
      </c>
      <c r="W418" s="2807">
        <v>59.92</v>
      </c>
      <c r="X418" s="2807">
        <f t="shared" si="6"/>
        <v>2945</v>
      </c>
      <c r="Y418" s="2807">
        <v>17.649100000000001</v>
      </c>
    </row>
    <row r="419" spans="22:25">
      <c r="V419" s="2807" t="s">
        <v>3862</v>
      </c>
      <c r="W419" s="2807">
        <v>59.92</v>
      </c>
      <c r="X419" s="2807">
        <f t="shared" si="6"/>
        <v>2945</v>
      </c>
      <c r="Y419" s="2807">
        <v>17.649100000000001</v>
      </c>
    </row>
    <row r="420" spans="22:25">
      <c r="V420" s="2807" t="s">
        <v>3863</v>
      </c>
      <c r="W420" s="2807">
        <v>59.92</v>
      </c>
      <c r="X420" s="2807">
        <f t="shared" si="6"/>
        <v>2945</v>
      </c>
      <c r="Y420" s="2807">
        <v>17.649100000000001</v>
      </c>
    </row>
    <row r="421" spans="22:25">
      <c r="V421" s="2807" t="s">
        <v>3864</v>
      </c>
      <c r="W421" s="2807">
        <v>59.92</v>
      </c>
      <c r="X421" s="2807">
        <f t="shared" si="6"/>
        <v>2945</v>
      </c>
      <c r="Y421" s="2807">
        <v>17.649100000000001</v>
      </c>
    </row>
    <row r="422" spans="22:25">
      <c r="V422" s="2807" t="s">
        <v>3865</v>
      </c>
      <c r="W422" s="2807">
        <v>59.92</v>
      </c>
      <c r="X422" s="2807">
        <f t="shared" si="6"/>
        <v>2945</v>
      </c>
      <c r="Y422" s="2807">
        <v>17.649100000000001</v>
      </c>
    </row>
    <row r="423" spans="22:25">
      <c r="V423" s="2807" t="s">
        <v>3866</v>
      </c>
      <c r="W423" s="2807">
        <v>59.92</v>
      </c>
      <c r="X423" s="2807">
        <f t="shared" si="6"/>
        <v>2945</v>
      </c>
      <c r="Y423" s="2807">
        <v>17.649100000000001</v>
      </c>
    </row>
    <row r="424" spans="22:25">
      <c r="V424" s="2807" t="s">
        <v>3867</v>
      </c>
      <c r="W424" s="2807">
        <v>59.92</v>
      </c>
      <c r="X424" s="2807">
        <f t="shared" si="6"/>
        <v>2945</v>
      </c>
      <c r="Y424" s="2807">
        <v>17.649100000000001</v>
      </c>
    </row>
    <row r="425" spans="22:25">
      <c r="V425" s="2807" t="s">
        <v>3868</v>
      </c>
      <c r="W425" s="2807">
        <v>59.92</v>
      </c>
      <c r="X425" s="2807">
        <f t="shared" si="6"/>
        <v>2945</v>
      </c>
      <c r="Y425" s="2807">
        <v>17.649100000000001</v>
      </c>
    </row>
    <row r="426" spans="22:25">
      <c r="V426" s="2807" t="s">
        <v>3869</v>
      </c>
      <c r="W426" s="2807">
        <v>59.92</v>
      </c>
      <c r="X426" s="2807">
        <f t="shared" si="6"/>
        <v>2945</v>
      </c>
      <c r="Y426" s="2807">
        <v>17.649100000000001</v>
      </c>
    </row>
    <row r="427" spans="22:25">
      <c r="V427" s="2807" t="s">
        <v>3870</v>
      </c>
      <c r="W427" s="2807">
        <v>52.93</v>
      </c>
      <c r="X427" s="2807">
        <f t="shared" si="6"/>
        <v>3334</v>
      </c>
      <c r="Y427" s="2807">
        <v>17.649100000000001</v>
      </c>
    </row>
    <row r="428" spans="22:25">
      <c r="V428" s="2807" t="s">
        <v>3871</v>
      </c>
      <c r="W428" s="2807">
        <v>52.93</v>
      </c>
      <c r="X428" s="2807">
        <f t="shared" si="6"/>
        <v>3334</v>
      </c>
      <c r="Y428" s="2807">
        <v>17.649100000000001</v>
      </c>
    </row>
    <row r="429" spans="22:25">
      <c r="V429" s="2807" t="s">
        <v>3872</v>
      </c>
      <c r="W429" s="2807">
        <v>50.93</v>
      </c>
      <c r="X429" s="2807">
        <f t="shared" si="6"/>
        <v>3465</v>
      </c>
      <c r="Y429" s="2807">
        <v>17.649100000000001</v>
      </c>
    </row>
    <row r="430" spans="22:25">
      <c r="V430" s="2807" t="s">
        <v>3873</v>
      </c>
      <c r="W430" s="2807">
        <v>89.38</v>
      </c>
      <c r="X430" s="2807">
        <f t="shared" si="6"/>
        <v>2567</v>
      </c>
      <c r="Y430" s="2807">
        <v>22.9438</v>
      </c>
    </row>
    <row r="431" spans="22:25">
      <c r="V431" s="2807" t="s">
        <v>3874</v>
      </c>
      <c r="W431" s="2807">
        <v>50.93</v>
      </c>
      <c r="X431" s="2807">
        <f t="shared" si="6"/>
        <v>3465</v>
      </c>
      <c r="Y431" s="2807">
        <v>17.649100000000001</v>
      </c>
    </row>
    <row r="432" spans="22:25">
      <c r="V432" s="2807" t="s">
        <v>3875</v>
      </c>
      <c r="W432" s="2807">
        <v>50.93</v>
      </c>
      <c r="X432" s="2807">
        <f t="shared" si="6"/>
        <v>3465</v>
      </c>
      <c r="Y432" s="2807">
        <v>17.649100000000001</v>
      </c>
    </row>
    <row r="433" spans="22:25">
      <c r="V433" s="2807" t="s">
        <v>3876</v>
      </c>
      <c r="W433" s="2807">
        <v>89.38</v>
      </c>
      <c r="X433" s="2807">
        <f t="shared" si="6"/>
        <v>2567</v>
      </c>
      <c r="Y433" s="2807">
        <v>22.9438</v>
      </c>
    </row>
    <row r="434" spans="22:25">
      <c r="V434" s="2807" t="s">
        <v>3877</v>
      </c>
      <c r="W434" s="2807">
        <v>89.38</v>
      </c>
      <c r="X434" s="2807">
        <f t="shared" si="6"/>
        <v>2567</v>
      </c>
      <c r="Y434" s="2807">
        <v>22.9438</v>
      </c>
    </row>
    <row r="435" spans="22:25">
      <c r="V435" s="2807" t="s">
        <v>3878</v>
      </c>
      <c r="W435" s="2807">
        <v>52.93</v>
      </c>
      <c r="X435" s="2807">
        <f t="shared" si="6"/>
        <v>3334</v>
      </c>
      <c r="Y435" s="2807">
        <v>17.649100000000001</v>
      </c>
    </row>
    <row r="436" spans="22:25">
      <c r="V436" s="2807" t="s">
        <v>3879</v>
      </c>
      <c r="W436" s="2807">
        <v>50.93</v>
      </c>
      <c r="X436" s="2807">
        <f t="shared" si="6"/>
        <v>3465</v>
      </c>
      <c r="Y436" s="2807">
        <v>17.649100000000001</v>
      </c>
    </row>
    <row r="437" spans="22:25">
      <c r="V437" s="2807" t="s">
        <v>3880</v>
      </c>
      <c r="W437" s="2807">
        <v>50.93</v>
      </c>
      <c r="X437" s="2807">
        <f t="shared" si="6"/>
        <v>3465</v>
      </c>
      <c r="Y437" s="2807">
        <v>17.649100000000001</v>
      </c>
    </row>
    <row r="438" spans="22:25">
      <c r="V438" s="2807" t="s">
        <v>3881</v>
      </c>
      <c r="W438" s="2807">
        <v>50.93</v>
      </c>
      <c r="X438" s="2807">
        <f t="shared" si="6"/>
        <v>3465</v>
      </c>
      <c r="Y438" s="2807">
        <v>17.649100000000001</v>
      </c>
    </row>
    <row r="439" spans="22:25">
      <c r="V439" s="2807" t="s">
        <v>3882</v>
      </c>
      <c r="W439" s="2807">
        <v>50.93</v>
      </c>
      <c r="X439" s="2807">
        <f t="shared" si="6"/>
        <v>3465</v>
      </c>
      <c r="Y439" s="2807">
        <v>17.649100000000001</v>
      </c>
    </row>
    <row r="440" spans="22:25">
      <c r="V440" s="2807" t="s">
        <v>3883</v>
      </c>
      <c r="W440" s="2807">
        <v>50.93</v>
      </c>
      <c r="X440" s="2807">
        <f t="shared" si="6"/>
        <v>3465</v>
      </c>
      <c r="Y440" s="2807">
        <v>17.649100000000001</v>
      </c>
    </row>
    <row r="441" spans="22:25">
      <c r="V441" s="2807" t="s">
        <v>3884</v>
      </c>
      <c r="W441" s="2807">
        <v>50.93</v>
      </c>
      <c r="X441" s="2807">
        <f t="shared" si="6"/>
        <v>3465</v>
      </c>
      <c r="Y441" s="2807">
        <v>17.649100000000001</v>
      </c>
    </row>
    <row r="442" spans="22:25">
      <c r="V442" s="2807" t="s">
        <v>3885</v>
      </c>
      <c r="W442" s="2807">
        <v>50.93</v>
      </c>
      <c r="X442" s="2807">
        <f t="shared" si="6"/>
        <v>3465</v>
      </c>
      <c r="Y442" s="2807">
        <v>17.649100000000001</v>
      </c>
    </row>
    <row r="443" spans="22:25">
      <c r="V443" s="2807" t="s">
        <v>3886</v>
      </c>
      <c r="W443" s="2807">
        <v>50.93</v>
      </c>
      <c r="X443" s="2807">
        <f t="shared" si="6"/>
        <v>3465</v>
      </c>
      <c r="Y443" s="2807">
        <v>17.649100000000001</v>
      </c>
    </row>
    <row r="444" spans="22:25">
      <c r="V444" s="2807" t="s">
        <v>3887</v>
      </c>
      <c r="W444" s="2807">
        <v>50.93</v>
      </c>
      <c r="X444" s="2807">
        <f t="shared" si="6"/>
        <v>3465</v>
      </c>
      <c r="Y444" s="2807">
        <v>17.649100000000001</v>
      </c>
    </row>
    <row r="445" spans="22:25">
      <c r="V445" s="2807" t="s">
        <v>3888</v>
      </c>
      <c r="W445" s="2807">
        <v>50.93</v>
      </c>
      <c r="X445" s="2807">
        <f t="shared" si="6"/>
        <v>3465</v>
      </c>
      <c r="Y445" s="2807">
        <v>17.649100000000001</v>
      </c>
    </row>
    <row r="446" spans="22:25">
      <c r="V446" s="2807" t="s">
        <v>3889</v>
      </c>
      <c r="W446" s="2807">
        <v>50.93</v>
      </c>
      <c r="X446" s="2807">
        <f t="shared" si="6"/>
        <v>3465</v>
      </c>
      <c r="Y446" s="2807">
        <v>17.649100000000001</v>
      </c>
    </row>
    <row r="447" spans="22:25">
      <c r="V447" s="2807" t="s">
        <v>3890</v>
      </c>
      <c r="W447" s="2807">
        <v>50.93</v>
      </c>
      <c r="X447" s="2807">
        <f t="shared" si="6"/>
        <v>3465</v>
      </c>
      <c r="Y447" s="2807">
        <v>17.649100000000001</v>
      </c>
    </row>
    <row r="448" spans="22:25">
      <c r="V448" s="2807" t="s">
        <v>3891</v>
      </c>
      <c r="W448" s="2807">
        <v>50.93</v>
      </c>
      <c r="X448" s="2807">
        <f t="shared" si="6"/>
        <v>3465</v>
      </c>
      <c r="Y448" s="2807">
        <v>17.649100000000001</v>
      </c>
    </row>
    <row r="449" spans="22:25">
      <c r="V449" s="2807" t="s">
        <v>3892</v>
      </c>
      <c r="W449" s="2807">
        <v>50.93</v>
      </c>
      <c r="X449" s="2807">
        <f t="shared" si="6"/>
        <v>3465</v>
      </c>
      <c r="Y449" s="2807">
        <v>17.649100000000001</v>
      </c>
    </row>
    <row r="450" spans="22:25">
      <c r="V450" s="2807" t="s">
        <v>3893</v>
      </c>
      <c r="W450" s="2807">
        <v>50.93</v>
      </c>
      <c r="X450" s="2807">
        <f t="shared" si="6"/>
        <v>3465</v>
      </c>
      <c r="Y450" s="2807">
        <v>17.649100000000001</v>
      </c>
    </row>
    <row r="451" spans="22:25">
      <c r="V451" s="2807" t="s">
        <v>3894</v>
      </c>
      <c r="W451" s="2807">
        <v>50.93</v>
      </c>
      <c r="X451" s="2807">
        <f t="shared" si="6"/>
        <v>3465</v>
      </c>
      <c r="Y451" s="2807">
        <v>17.649100000000001</v>
      </c>
    </row>
    <row r="452" spans="22:25">
      <c r="V452" s="2807" t="s">
        <v>3895</v>
      </c>
      <c r="W452" s="2807">
        <v>50.93</v>
      </c>
      <c r="X452" s="2807">
        <f t="shared" si="6"/>
        <v>3465</v>
      </c>
      <c r="Y452" s="2807">
        <v>17.649100000000001</v>
      </c>
    </row>
    <row r="453" spans="22:25">
      <c r="V453" s="2807" t="s">
        <v>3896</v>
      </c>
      <c r="W453" s="2807">
        <v>50.93</v>
      </c>
      <c r="X453" s="2807">
        <f t="shared" si="6"/>
        <v>3465</v>
      </c>
      <c r="Y453" s="2807">
        <v>17.649100000000001</v>
      </c>
    </row>
    <row r="454" spans="22:25">
      <c r="V454" s="2807" t="s">
        <v>3897</v>
      </c>
      <c r="W454" s="2807">
        <v>50.93</v>
      </c>
      <c r="X454" s="2807">
        <f t="shared" ref="X454:X517" si="7">ROUND(Y454/W454*10000,0)</f>
        <v>3465</v>
      </c>
      <c r="Y454" s="2807">
        <v>17.649100000000001</v>
      </c>
    </row>
    <row r="455" spans="22:25">
      <c r="V455" s="2807" t="s">
        <v>3898</v>
      </c>
      <c r="W455" s="2807">
        <v>50.93</v>
      </c>
      <c r="X455" s="2807">
        <f t="shared" si="7"/>
        <v>3465</v>
      </c>
      <c r="Y455" s="2807">
        <v>17.649100000000001</v>
      </c>
    </row>
    <row r="456" spans="22:25">
      <c r="V456" s="2807" t="s">
        <v>3899</v>
      </c>
      <c r="W456" s="2807">
        <v>50.93</v>
      </c>
      <c r="X456" s="2807">
        <f t="shared" si="7"/>
        <v>3465</v>
      </c>
      <c r="Y456" s="2807">
        <v>17.649100000000001</v>
      </c>
    </row>
    <row r="457" spans="22:25">
      <c r="V457" s="2807" t="s">
        <v>3900</v>
      </c>
      <c r="W457" s="2807">
        <v>50.93</v>
      </c>
      <c r="X457" s="2807">
        <f t="shared" si="7"/>
        <v>3465</v>
      </c>
      <c r="Y457" s="2807">
        <v>17.649100000000001</v>
      </c>
    </row>
    <row r="458" spans="22:25">
      <c r="V458" s="2807" t="s">
        <v>3901</v>
      </c>
      <c r="W458" s="2807">
        <v>50.93</v>
      </c>
      <c r="X458" s="2807">
        <f t="shared" si="7"/>
        <v>3465</v>
      </c>
      <c r="Y458" s="2807">
        <v>17.649100000000001</v>
      </c>
    </row>
    <row r="459" spans="22:25">
      <c r="V459" s="2807" t="s">
        <v>3902</v>
      </c>
      <c r="W459" s="2807">
        <v>50.93</v>
      </c>
      <c r="X459" s="2807">
        <f t="shared" si="7"/>
        <v>3465</v>
      </c>
      <c r="Y459" s="2807">
        <v>17.649100000000001</v>
      </c>
    </row>
    <row r="460" spans="22:25">
      <c r="V460" s="2807" t="s">
        <v>3903</v>
      </c>
      <c r="W460" s="2807">
        <v>50.93</v>
      </c>
      <c r="X460" s="2807">
        <f t="shared" si="7"/>
        <v>3465</v>
      </c>
      <c r="Y460" s="2807">
        <v>17.649100000000001</v>
      </c>
    </row>
    <row r="461" spans="22:25">
      <c r="V461" s="2807" t="s">
        <v>3904</v>
      </c>
      <c r="W461" s="2807">
        <v>50.93</v>
      </c>
      <c r="X461" s="2807">
        <f t="shared" si="7"/>
        <v>3465</v>
      </c>
      <c r="Y461" s="2807">
        <v>17.649100000000001</v>
      </c>
    </row>
    <row r="462" spans="22:25">
      <c r="V462" s="2807" t="s">
        <v>3905</v>
      </c>
      <c r="W462" s="2807">
        <v>50.93</v>
      </c>
      <c r="X462" s="2807">
        <f t="shared" si="7"/>
        <v>3465</v>
      </c>
      <c r="Y462" s="2807">
        <v>17.649100000000001</v>
      </c>
    </row>
    <row r="463" spans="22:25">
      <c r="V463" s="2807" t="s">
        <v>3906</v>
      </c>
      <c r="W463" s="2807">
        <v>50.93</v>
      </c>
      <c r="X463" s="2807">
        <f t="shared" si="7"/>
        <v>3465</v>
      </c>
      <c r="Y463" s="2807">
        <v>17.649100000000001</v>
      </c>
    </row>
    <row r="464" spans="22:25">
      <c r="V464" s="2807" t="s">
        <v>3907</v>
      </c>
      <c r="W464" s="2807">
        <v>50.93</v>
      </c>
      <c r="X464" s="2807">
        <f t="shared" si="7"/>
        <v>3465</v>
      </c>
      <c r="Y464" s="2807">
        <v>17.649100000000001</v>
      </c>
    </row>
    <row r="465" spans="22:25">
      <c r="V465" s="2807" t="s">
        <v>3908</v>
      </c>
      <c r="W465" s="2807">
        <v>52.93</v>
      </c>
      <c r="X465" s="2807">
        <f t="shared" si="7"/>
        <v>3334</v>
      </c>
      <c r="Y465" s="2807">
        <v>17.649100000000001</v>
      </c>
    </row>
    <row r="466" spans="22:25">
      <c r="V466" s="2807" t="s">
        <v>3909</v>
      </c>
      <c r="W466" s="2807">
        <v>52.93</v>
      </c>
      <c r="X466" s="2807">
        <f t="shared" si="7"/>
        <v>3334</v>
      </c>
      <c r="Y466" s="2807">
        <v>17.649100000000001</v>
      </c>
    </row>
    <row r="467" spans="22:25">
      <c r="V467" s="2807" t="s">
        <v>3910</v>
      </c>
      <c r="W467" s="2807">
        <v>52.93</v>
      </c>
      <c r="X467" s="2807">
        <f t="shared" si="7"/>
        <v>3334</v>
      </c>
      <c r="Y467" s="2807">
        <v>17.649100000000001</v>
      </c>
    </row>
    <row r="468" spans="22:25">
      <c r="V468" s="2807" t="s">
        <v>3911</v>
      </c>
      <c r="W468" s="2807">
        <v>52.93</v>
      </c>
      <c r="X468" s="2807">
        <f t="shared" si="7"/>
        <v>3334</v>
      </c>
      <c r="Y468" s="2807">
        <v>17.649100000000001</v>
      </c>
    </row>
    <row r="469" spans="22:25">
      <c r="V469" s="2807" t="s">
        <v>3912</v>
      </c>
      <c r="W469" s="2807">
        <v>52.93</v>
      </c>
      <c r="X469" s="2807">
        <f t="shared" si="7"/>
        <v>3334</v>
      </c>
      <c r="Y469" s="2807">
        <v>17.649100000000001</v>
      </c>
    </row>
    <row r="470" spans="22:25">
      <c r="V470" s="2807" t="s">
        <v>3913</v>
      </c>
      <c r="W470" s="2807">
        <v>52.93</v>
      </c>
      <c r="X470" s="2807">
        <f t="shared" si="7"/>
        <v>3334</v>
      </c>
      <c r="Y470" s="2807">
        <v>17.649100000000001</v>
      </c>
    </row>
    <row r="471" spans="22:25">
      <c r="V471" s="2807" t="s">
        <v>3914</v>
      </c>
      <c r="W471" s="2807">
        <v>52.93</v>
      </c>
      <c r="X471" s="2807">
        <f t="shared" si="7"/>
        <v>3334</v>
      </c>
      <c r="Y471" s="2807">
        <v>17.649100000000001</v>
      </c>
    </row>
    <row r="472" spans="22:25">
      <c r="V472" s="2807" t="s">
        <v>3915</v>
      </c>
      <c r="W472" s="2807">
        <v>52.93</v>
      </c>
      <c r="X472" s="2807">
        <f t="shared" si="7"/>
        <v>3334</v>
      </c>
      <c r="Y472" s="2807">
        <v>17.649100000000001</v>
      </c>
    </row>
    <row r="473" spans="22:25">
      <c r="V473" s="2807" t="s">
        <v>3916</v>
      </c>
      <c r="W473" s="2807">
        <v>52.93</v>
      </c>
      <c r="X473" s="2807">
        <f t="shared" si="7"/>
        <v>3334</v>
      </c>
      <c r="Y473" s="2807">
        <v>17.649100000000001</v>
      </c>
    </row>
    <row r="474" spans="22:25">
      <c r="V474" s="2807" t="s">
        <v>3917</v>
      </c>
      <c r="W474" s="2807">
        <v>52.93</v>
      </c>
      <c r="X474" s="2807">
        <f t="shared" si="7"/>
        <v>3334</v>
      </c>
      <c r="Y474" s="2807">
        <v>17.649100000000001</v>
      </c>
    </row>
    <row r="475" spans="22:25">
      <c r="V475" s="2807" t="s">
        <v>3918</v>
      </c>
      <c r="W475" s="2807">
        <v>52.93</v>
      </c>
      <c r="X475" s="2807">
        <f t="shared" si="7"/>
        <v>3334</v>
      </c>
      <c r="Y475" s="2807">
        <v>17.649100000000001</v>
      </c>
    </row>
    <row r="476" spans="22:25">
      <c r="V476" s="2807" t="s">
        <v>3919</v>
      </c>
      <c r="W476" s="2807">
        <v>52.93</v>
      </c>
      <c r="X476" s="2807">
        <f t="shared" si="7"/>
        <v>3334</v>
      </c>
      <c r="Y476" s="2807">
        <v>17.649100000000001</v>
      </c>
    </row>
    <row r="477" spans="22:25">
      <c r="V477" s="2807" t="s">
        <v>3920</v>
      </c>
      <c r="W477" s="2807">
        <v>52.93</v>
      </c>
      <c r="X477" s="2807">
        <f t="shared" si="7"/>
        <v>3334</v>
      </c>
      <c r="Y477" s="2807">
        <v>17.649100000000001</v>
      </c>
    </row>
    <row r="478" spans="22:25">
      <c r="V478" s="2807" t="s">
        <v>3921</v>
      </c>
      <c r="W478" s="2807">
        <v>52.93</v>
      </c>
      <c r="X478" s="2807">
        <f t="shared" si="7"/>
        <v>3334</v>
      </c>
      <c r="Y478" s="2807">
        <v>17.649100000000001</v>
      </c>
    </row>
    <row r="479" spans="22:25">
      <c r="V479" s="2807" t="s">
        <v>3922</v>
      </c>
      <c r="W479" s="2807">
        <v>52.93</v>
      </c>
      <c r="X479" s="2807">
        <f t="shared" si="7"/>
        <v>3334</v>
      </c>
      <c r="Y479" s="2807">
        <v>17.649100000000001</v>
      </c>
    </row>
    <row r="480" spans="22:25">
      <c r="V480" s="2807" t="s">
        <v>3923</v>
      </c>
      <c r="W480" s="2807">
        <v>52.93</v>
      </c>
      <c r="X480" s="2807">
        <f t="shared" si="7"/>
        <v>3334</v>
      </c>
      <c r="Y480" s="2807">
        <v>17.649100000000001</v>
      </c>
    </row>
    <row r="481" spans="22:25">
      <c r="V481" s="2807" t="s">
        <v>3924</v>
      </c>
      <c r="W481" s="2807">
        <v>52.93</v>
      </c>
      <c r="X481" s="2807">
        <f t="shared" si="7"/>
        <v>3334</v>
      </c>
      <c r="Y481" s="2807">
        <v>17.649100000000001</v>
      </c>
    </row>
    <row r="482" spans="22:25">
      <c r="V482" s="2807" t="s">
        <v>3925</v>
      </c>
      <c r="W482" s="2807">
        <v>52.93</v>
      </c>
      <c r="X482" s="2807">
        <f t="shared" si="7"/>
        <v>3334</v>
      </c>
      <c r="Y482" s="2807">
        <v>17.649100000000001</v>
      </c>
    </row>
    <row r="483" spans="22:25">
      <c r="V483" s="2807" t="s">
        <v>3926</v>
      </c>
      <c r="W483" s="2807">
        <v>52.93</v>
      </c>
      <c r="X483" s="2807">
        <f t="shared" si="7"/>
        <v>3334</v>
      </c>
      <c r="Y483" s="2807">
        <v>17.649100000000001</v>
      </c>
    </row>
    <row r="484" spans="22:25">
      <c r="V484" s="2807" t="s">
        <v>3927</v>
      </c>
      <c r="W484" s="2807">
        <v>52.93</v>
      </c>
      <c r="X484" s="2807">
        <f t="shared" si="7"/>
        <v>3334</v>
      </c>
      <c r="Y484" s="2807">
        <v>17.649100000000001</v>
      </c>
    </row>
    <row r="485" spans="22:25">
      <c r="V485" s="2807" t="s">
        <v>3928</v>
      </c>
      <c r="W485" s="2807">
        <v>52.93</v>
      </c>
      <c r="X485" s="2807">
        <f t="shared" si="7"/>
        <v>3334</v>
      </c>
      <c r="Y485" s="2807">
        <v>17.649100000000001</v>
      </c>
    </row>
    <row r="486" spans="22:25">
      <c r="V486" s="2807" t="s">
        <v>3929</v>
      </c>
      <c r="W486" s="2807">
        <v>52.93</v>
      </c>
      <c r="X486" s="2807">
        <f t="shared" si="7"/>
        <v>3334</v>
      </c>
      <c r="Y486" s="2807">
        <v>17.649100000000001</v>
      </c>
    </row>
    <row r="487" spans="22:25">
      <c r="V487" s="2807" t="s">
        <v>3930</v>
      </c>
      <c r="W487" s="2807">
        <v>52.93</v>
      </c>
      <c r="X487" s="2807">
        <f t="shared" si="7"/>
        <v>3334</v>
      </c>
      <c r="Y487" s="2807">
        <v>17.649100000000001</v>
      </c>
    </row>
    <row r="488" spans="22:25">
      <c r="V488" s="2807" t="s">
        <v>3931</v>
      </c>
      <c r="W488" s="2807">
        <v>52.93</v>
      </c>
      <c r="X488" s="2807">
        <f t="shared" si="7"/>
        <v>3334</v>
      </c>
      <c r="Y488" s="2807">
        <v>17.649100000000001</v>
      </c>
    </row>
    <row r="489" spans="22:25">
      <c r="V489" s="2807" t="s">
        <v>3932</v>
      </c>
      <c r="W489" s="2807">
        <v>52.93</v>
      </c>
      <c r="X489" s="2807">
        <f t="shared" si="7"/>
        <v>3334</v>
      </c>
      <c r="Y489" s="2807">
        <v>17.649100000000001</v>
      </c>
    </row>
    <row r="490" spans="22:25">
      <c r="V490" s="2807" t="s">
        <v>3933</v>
      </c>
      <c r="W490" s="2807">
        <v>52.93</v>
      </c>
      <c r="X490" s="2807">
        <f t="shared" si="7"/>
        <v>3334</v>
      </c>
      <c r="Y490" s="2807">
        <v>17.649100000000001</v>
      </c>
    </row>
    <row r="491" spans="22:25">
      <c r="V491" s="2807" t="s">
        <v>3934</v>
      </c>
      <c r="W491" s="2807">
        <v>52.93</v>
      </c>
      <c r="X491" s="2807">
        <f t="shared" si="7"/>
        <v>3334</v>
      </c>
      <c r="Y491" s="2807">
        <v>17.649100000000001</v>
      </c>
    </row>
    <row r="492" spans="22:25">
      <c r="V492" s="2807" t="s">
        <v>3935</v>
      </c>
      <c r="W492" s="2807">
        <v>52.93</v>
      </c>
      <c r="X492" s="2807">
        <f t="shared" si="7"/>
        <v>3334</v>
      </c>
      <c r="Y492" s="2807">
        <v>17.649100000000001</v>
      </c>
    </row>
    <row r="493" spans="22:25">
      <c r="V493" s="2807" t="s">
        <v>3936</v>
      </c>
      <c r="W493" s="2807">
        <v>52.93</v>
      </c>
      <c r="X493" s="2807">
        <f t="shared" si="7"/>
        <v>3334</v>
      </c>
      <c r="Y493" s="2807">
        <v>17.649100000000001</v>
      </c>
    </row>
    <row r="494" spans="22:25">
      <c r="V494" s="2807" t="s">
        <v>3937</v>
      </c>
      <c r="W494" s="2807">
        <v>52.93</v>
      </c>
      <c r="X494" s="2807">
        <f t="shared" si="7"/>
        <v>3334</v>
      </c>
      <c r="Y494" s="2807">
        <v>17.649100000000001</v>
      </c>
    </row>
    <row r="495" spans="22:25">
      <c r="V495" s="2807" t="s">
        <v>3938</v>
      </c>
      <c r="W495" s="2807">
        <v>52.93</v>
      </c>
      <c r="X495" s="2807">
        <f t="shared" si="7"/>
        <v>3334</v>
      </c>
      <c r="Y495" s="2807">
        <v>17.649100000000001</v>
      </c>
    </row>
    <row r="496" spans="22:25">
      <c r="V496" s="2807" t="s">
        <v>3939</v>
      </c>
      <c r="W496" s="2807">
        <v>52.93</v>
      </c>
      <c r="X496" s="2807">
        <f t="shared" si="7"/>
        <v>3334</v>
      </c>
      <c r="Y496" s="2807">
        <v>17.649100000000001</v>
      </c>
    </row>
    <row r="497" spans="22:25">
      <c r="V497" s="2807" t="s">
        <v>3940</v>
      </c>
      <c r="W497" s="2807">
        <v>52.93</v>
      </c>
      <c r="X497" s="2807">
        <f t="shared" si="7"/>
        <v>3334</v>
      </c>
      <c r="Y497" s="2807">
        <v>17.649100000000001</v>
      </c>
    </row>
    <row r="498" spans="22:25">
      <c r="V498" s="2807" t="s">
        <v>3941</v>
      </c>
      <c r="W498" s="2807">
        <v>52.93</v>
      </c>
      <c r="X498" s="2807">
        <f t="shared" si="7"/>
        <v>3334</v>
      </c>
      <c r="Y498" s="2807">
        <v>17.649100000000001</v>
      </c>
    </row>
    <row r="499" spans="22:25">
      <c r="V499" s="2807" t="s">
        <v>3942</v>
      </c>
      <c r="W499" s="2807">
        <v>52.93</v>
      </c>
      <c r="X499" s="2807">
        <f t="shared" si="7"/>
        <v>3334</v>
      </c>
      <c r="Y499" s="2807">
        <v>17.649100000000001</v>
      </c>
    </row>
    <row r="500" spans="22:25">
      <c r="V500" s="2807" t="s">
        <v>3943</v>
      </c>
      <c r="W500" s="2807">
        <v>52.93</v>
      </c>
      <c r="X500" s="2807">
        <f t="shared" si="7"/>
        <v>3334</v>
      </c>
      <c r="Y500" s="2807">
        <v>17.649100000000001</v>
      </c>
    </row>
    <row r="501" spans="22:25">
      <c r="V501" s="2807" t="s">
        <v>3944</v>
      </c>
      <c r="W501" s="2807">
        <v>52.93</v>
      </c>
      <c r="X501" s="2807">
        <f t="shared" si="7"/>
        <v>3334</v>
      </c>
      <c r="Y501" s="2807">
        <v>17.649100000000001</v>
      </c>
    </row>
    <row r="502" spans="22:25">
      <c r="V502" s="2807" t="s">
        <v>3945</v>
      </c>
      <c r="W502" s="2807">
        <v>52.93</v>
      </c>
      <c r="X502" s="2807">
        <f t="shared" si="7"/>
        <v>3334</v>
      </c>
      <c r="Y502" s="2807">
        <v>17.649100000000001</v>
      </c>
    </row>
    <row r="503" spans="22:25">
      <c r="V503" s="2807" t="s">
        <v>3946</v>
      </c>
      <c r="W503" s="2807">
        <v>52.93</v>
      </c>
      <c r="X503" s="2807">
        <f t="shared" si="7"/>
        <v>3334</v>
      </c>
      <c r="Y503" s="2807">
        <v>17.649100000000001</v>
      </c>
    </row>
    <row r="504" spans="22:25">
      <c r="V504" s="2807" t="s">
        <v>3947</v>
      </c>
      <c r="W504" s="2807">
        <v>52.93</v>
      </c>
      <c r="X504" s="2807">
        <f t="shared" si="7"/>
        <v>3334</v>
      </c>
      <c r="Y504" s="2807">
        <v>17.649100000000001</v>
      </c>
    </row>
    <row r="505" spans="22:25">
      <c r="V505" s="2807" t="s">
        <v>3948</v>
      </c>
      <c r="W505" s="2807">
        <v>52.93</v>
      </c>
      <c r="X505" s="2807">
        <f t="shared" si="7"/>
        <v>3334</v>
      </c>
      <c r="Y505" s="2807">
        <v>17.649100000000001</v>
      </c>
    </row>
    <row r="506" spans="22:25">
      <c r="V506" s="2807" t="s">
        <v>3949</v>
      </c>
      <c r="W506" s="2807">
        <v>52.93</v>
      </c>
      <c r="X506" s="2807">
        <f t="shared" si="7"/>
        <v>3334</v>
      </c>
      <c r="Y506" s="2807">
        <v>17.649100000000001</v>
      </c>
    </row>
    <row r="507" spans="22:25">
      <c r="V507" s="2807" t="s">
        <v>3950</v>
      </c>
      <c r="W507" s="2807">
        <v>50.93</v>
      </c>
      <c r="X507" s="2807">
        <f t="shared" si="7"/>
        <v>3465</v>
      </c>
      <c r="Y507" s="2807">
        <v>17.649100000000001</v>
      </c>
    </row>
    <row r="508" spans="22:25">
      <c r="V508" s="2807" t="s">
        <v>3951</v>
      </c>
      <c r="W508" s="2807">
        <v>50.93</v>
      </c>
      <c r="X508" s="2807">
        <f t="shared" si="7"/>
        <v>3465</v>
      </c>
      <c r="Y508" s="2807">
        <v>17.649100000000001</v>
      </c>
    </row>
    <row r="509" spans="22:25">
      <c r="V509" s="2807" t="s">
        <v>3952</v>
      </c>
      <c r="W509" s="2807">
        <v>50.93</v>
      </c>
      <c r="X509" s="2807">
        <f t="shared" si="7"/>
        <v>3465</v>
      </c>
      <c r="Y509" s="2807">
        <v>17.649100000000001</v>
      </c>
    </row>
    <row r="510" spans="22:25">
      <c r="V510" s="2807" t="s">
        <v>3953</v>
      </c>
      <c r="W510" s="2807">
        <v>50.93</v>
      </c>
      <c r="X510" s="2807">
        <f t="shared" si="7"/>
        <v>3465</v>
      </c>
      <c r="Y510" s="2807">
        <v>17.649100000000001</v>
      </c>
    </row>
    <row r="511" spans="22:25">
      <c r="V511" s="2807" t="s">
        <v>3954</v>
      </c>
      <c r="W511" s="2807">
        <v>52.93</v>
      </c>
      <c r="X511" s="2807">
        <f t="shared" si="7"/>
        <v>3334</v>
      </c>
      <c r="Y511" s="2807">
        <v>17.649100000000001</v>
      </c>
    </row>
    <row r="512" spans="22:25">
      <c r="V512" s="2807" t="s">
        <v>3955</v>
      </c>
      <c r="W512" s="2807">
        <v>89.38</v>
      </c>
      <c r="X512" s="2807">
        <f t="shared" si="7"/>
        <v>2567</v>
      </c>
      <c r="Y512" s="2807">
        <v>22.9438</v>
      </c>
    </row>
    <row r="513" spans="22:25">
      <c r="V513" s="2807" t="s">
        <v>4595</v>
      </c>
      <c r="W513" s="2807">
        <v>59.92</v>
      </c>
      <c r="X513" s="2807">
        <f t="shared" si="7"/>
        <v>2790</v>
      </c>
      <c r="Y513" s="2807">
        <v>16.720199999999998</v>
      </c>
    </row>
    <row r="514" spans="22:25">
      <c r="V514" s="2807" t="s">
        <v>4596</v>
      </c>
      <c r="W514" s="2807">
        <v>59.92</v>
      </c>
      <c r="X514" s="2807">
        <f t="shared" si="7"/>
        <v>2790</v>
      </c>
      <c r="Y514" s="2807">
        <v>16.720199999999998</v>
      </c>
    </row>
    <row r="515" spans="22:25">
      <c r="V515" s="2807" t="s">
        <v>4597</v>
      </c>
      <c r="W515" s="2807">
        <v>59.92</v>
      </c>
      <c r="X515" s="2807">
        <f t="shared" si="7"/>
        <v>2790</v>
      </c>
      <c r="Y515" s="2807">
        <v>16.720199999999998</v>
      </c>
    </row>
    <row r="516" spans="22:25">
      <c r="V516" s="2807" t="s">
        <v>4598</v>
      </c>
      <c r="W516" s="2807">
        <v>59.92</v>
      </c>
      <c r="X516" s="2807">
        <f t="shared" si="7"/>
        <v>2790</v>
      </c>
      <c r="Y516" s="2807">
        <v>16.720199999999998</v>
      </c>
    </row>
    <row r="517" spans="22:25">
      <c r="V517" s="2807" t="s">
        <v>4599</v>
      </c>
      <c r="W517" s="2807">
        <v>52.93</v>
      </c>
      <c r="X517" s="2807">
        <f t="shared" si="7"/>
        <v>3159</v>
      </c>
      <c r="Y517" s="2807">
        <v>16.720199999999998</v>
      </c>
    </row>
    <row r="518" spans="22:25">
      <c r="V518" s="2807" t="s">
        <v>4600</v>
      </c>
      <c r="W518" s="2807">
        <v>52.93</v>
      </c>
      <c r="X518" s="2807">
        <f t="shared" ref="X518:X581" si="8">ROUND(Y518/W518*10000,0)</f>
        <v>3159</v>
      </c>
      <c r="Y518" s="2807">
        <v>16.720199999999998</v>
      </c>
    </row>
    <row r="519" spans="22:25">
      <c r="V519" s="2807" t="s">
        <v>4601</v>
      </c>
      <c r="W519" s="2807">
        <v>52.93</v>
      </c>
      <c r="X519" s="2807">
        <f t="shared" si="8"/>
        <v>3159</v>
      </c>
      <c r="Y519" s="2807">
        <v>16.720199999999998</v>
      </c>
    </row>
    <row r="520" spans="22:25">
      <c r="V520" s="2807" t="s">
        <v>4602</v>
      </c>
      <c r="W520" s="2807">
        <v>52.93</v>
      </c>
      <c r="X520" s="2807">
        <f t="shared" si="8"/>
        <v>3159</v>
      </c>
      <c r="Y520" s="2807">
        <v>16.720199999999998</v>
      </c>
    </row>
    <row r="521" spans="22:25">
      <c r="V521" s="2807" t="s">
        <v>4603</v>
      </c>
      <c r="W521" s="2807">
        <v>52.93</v>
      </c>
      <c r="X521" s="2807">
        <f t="shared" si="8"/>
        <v>3159</v>
      </c>
      <c r="Y521" s="2807">
        <v>16.720199999999998</v>
      </c>
    </row>
    <row r="522" spans="22:25">
      <c r="V522" s="2807" t="s">
        <v>4604</v>
      </c>
      <c r="W522" s="2807">
        <v>52.93</v>
      </c>
      <c r="X522" s="2807">
        <f t="shared" si="8"/>
        <v>3159</v>
      </c>
      <c r="Y522" s="2807">
        <v>16.720199999999998</v>
      </c>
    </row>
    <row r="523" spans="22:25">
      <c r="V523" s="2807" t="s">
        <v>4605</v>
      </c>
      <c r="W523" s="2807">
        <v>52.93</v>
      </c>
      <c r="X523" s="2807">
        <f t="shared" si="8"/>
        <v>3159</v>
      </c>
      <c r="Y523" s="2807">
        <v>16.720199999999998</v>
      </c>
    </row>
    <row r="524" spans="22:25">
      <c r="V524" s="2807" t="s">
        <v>4606</v>
      </c>
      <c r="W524" s="2807">
        <v>52.93</v>
      </c>
      <c r="X524" s="2807">
        <f t="shared" si="8"/>
        <v>3159</v>
      </c>
      <c r="Y524" s="2807">
        <v>16.720199999999998</v>
      </c>
    </row>
    <row r="525" spans="22:25">
      <c r="V525" s="2807" t="s">
        <v>4607</v>
      </c>
      <c r="W525" s="2807">
        <v>52.93</v>
      </c>
      <c r="X525" s="2807">
        <f t="shared" si="8"/>
        <v>3159</v>
      </c>
      <c r="Y525" s="2807">
        <v>16.720199999999998</v>
      </c>
    </row>
    <row r="526" spans="22:25">
      <c r="V526" s="2807" t="s">
        <v>4608</v>
      </c>
      <c r="W526" s="2807">
        <v>52.93</v>
      </c>
      <c r="X526" s="2807">
        <f t="shared" si="8"/>
        <v>3159</v>
      </c>
      <c r="Y526" s="2807">
        <v>16.720199999999998</v>
      </c>
    </row>
    <row r="527" spans="22:25">
      <c r="V527" s="2807" t="s">
        <v>4609</v>
      </c>
      <c r="W527" s="2807">
        <v>52.93</v>
      </c>
      <c r="X527" s="2807">
        <f t="shared" si="8"/>
        <v>3159</v>
      </c>
      <c r="Y527" s="2807">
        <v>16.720199999999998</v>
      </c>
    </row>
    <row r="528" spans="22:25">
      <c r="V528" s="2807" t="s">
        <v>4610</v>
      </c>
      <c r="W528" s="2807">
        <v>52.93</v>
      </c>
      <c r="X528" s="2807">
        <f t="shared" si="8"/>
        <v>3159</v>
      </c>
      <c r="Y528" s="2807">
        <v>16.720199999999998</v>
      </c>
    </row>
    <row r="529" spans="22:25">
      <c r="V529" s="2807" t="s">
        <v>4611</v>
      </c>
      <c r="W529" s="2807">
        <v>52.93</v>
      </c>
      <c r="X529" s="2807">
        <f t="shared" si="8"/>
        <v>3159</v>
      </c>
      <c r="Y529" s="2807">
        <v>16.720199999999998</v>
      </c>
    </row>
    <row r="530" spans="22:25">
      <c r="V530" s="2807" t="s">
        <v>4612</v>
      </c>
      <c r="W530" s="2807">
        <v>52.93</v>
      </c>
      <c r="X530" s="2807">
        <f t="shared" si="8"/>
        <v>3159</v>
      </c>
      <c r="Y530" s="2807">
        <v>16.720199999999998</v>
      </c>
    </row>
    <row r="531" spans="22:25">
      <c r="V531" s="2807" t="s">
        <v>4613</v>
      </c>
      <c r="W531" s="2807">
        <v>52.93</v>
      </c>
      <c r="X531" s="2807">
        <f t="shared" si="8"/>
        <v>3159</v>
      </c>
      <c r="Y531" s="2807">
        <v>16.720199999999998</v>
      </c>
    </row>
    <row r="532" spans="22:25">
      <c r="V532" s="2807" t="s">
        <v>4614</v>
      </c>
      <c r="W532" s="2807">
        <v>52.93</v>
      </c>
      <c r="X532" s="2807">
        <f t="shared" si="8"/>
        <v>3159</v>
      </c>
      <c r="Y532" s="2807">
        <v>16.720199999999998</v>
      </c>
    </row>
    <row r="533" spans="22:25">
      <c r="V533" s="2807" t="s">
        <v>4615</v>
      </c>
      <c r="W533" s="2807">
        <v>52.93</v>
      </c>
      <c r="X533" s="2807">
        <f t="shared" si="8"/>
        <v>3159</v>
      </c>
      <c r="Y533" s="2807">
        <v>16.720199999999998</v>
      </c>
    </row>
    <row r="534" spans="22:25">
      <c r="V534" s="2807" t="s">
        <v>4616</v>
      </c>
      <c r="W534" s="2807">
        <v>52.93</v>
      </c>
      <c r="X534" s="2807">
        <f t="shared" si="8"/>
        <v>3159</v>
      </c>
      <c r="Y534" s="2807">
        <v>16.720199999999998</v>
      </c>
    </row>
    <row r="535" spans="22:25">
      <c r="V535" s="2807" t="s">
        <v>4617</v>
      </c>
      <c r="W535" s="2807">
        <v>52.93</v>
      </c>
      <c r="X535" s="2807">
        <f t="shared" si="8"/>
        <v>3159</v>
      </c>
      <c r="Y535" s="2807">
        <v>16.720199999999998</v>
      </c>
    </row>
    <row r="536" spans="22:25">
      <c r="V536" s="2807" t="s">
        <v>4618</v>
      </c>
      <c r="W536" s="2807">
        <v>52.93</v>
      </c>
      <c r="X536" s="2807">
        <f t="shared" si="8"/>
        <v>3159</v>
      </c>
      <c r="Y536" s="2807">
        <v>16.720199999999998</v>
      </c>
    </row>
    <row r="537" spans="22:25">
      <c r="V537" s="2807" t="s">
        <v>4619</v>
      </c>
      <c r="W537" s="2807">
        <v>52.93</v>
      </c>
      <c r="X537" s="2807">
        <f t="shared" si="8"/>
        <v>3159</v>
      </c>
      <c r="Y537" s="2807">
        <v>16.720199999999998</v>
      </c>
    </row>
    <row r="538" spans="22:25">
      <c r="V538" s="2807" t="s">
        <v>4620</v>
      </c>
      <c r="W538" s="2807">
        <v>59.92</v>
      </c>
      <c r="X538" s="2807">
        <f t="shared" si="8"/>
        <v>2790</v>
      </c>
      <c r="Y538" s="2807">
        <v>16.720199999999998</v>
      </c>
    </row>
    <row r="539" spans="22:25">
      <c r="V539" s="2807" t="s">
        <v>4621</v>
      </c>
      <c r="W539" s="2807">
        <v>59.92</v>
      </c>
      <c r="X539" s="2807">
        <f t="shared" si="8"/>
        <v>2790</v>
      </c>
      <c r="Y539" s="2807">
        <v>16.720199999999998</v>
      </c>
    </row>
    <row r="540" spans="22:25">
      <c r="V540" s="2807" t="s">
        <v>4622</v>
      </c>
      <c r="W540" s="2807">
        <v>59.92</v>
      </c>
      <c r="X540" s="2807">
        <f t="shared" si="8"/>
        <v>2790</v>
      </c>
      <c r="Y540" s="2807">
        <v>16.720199999999998</v>
      </c>
    </row>
    <row r="541" spans="22:25">
      <c r="V541" s="2807" t="s">
        <v>4623</v>
      </c>
      <c r="W541" s="2807">
        <v>59.92</v>
      </c>
      <c r="X541" s="2807">
        <f t="shared" si="8"/>
        <v>2790</v>
      </c>
      <c r="Y541" s="2807">
        <v>16.720199999999998</v>
      </c>
    </row>
    <row r="542" spans="22:25">
      <c r="V542" s="2807" t="s">
        <v>4624</v>
      </c>
      <c r="W542" s="2807">
        <v>59.92</v>
      </c>
      <c r="X542" s="2807">
        <f t="shared" si="8"/>
        <v>2790</v>
      </c>
      <c r="Y542" s="2807">
        <v>16.720199999999998</v>
      </c>
    </row>
    <row r="543" spans="22:25">
      <c r="V543" s="2807" t="s">
        <v>4625</v>
      </c>
      <c r="W543" s="2807">
        <v>52.93</v>
      </c>
      <c r="X543" s="2807">
        <f t="shared" si="8"/>
        <v>3159</v>
      </c>
      <c r="Y543" s="2807">
        <v>16.720199999999998</v>
      </c>
    </row>
    <row r="544" spans="22:25">
      <c r="V544" s="2807" t="s">
        <v>4626</v>
      </c>
      <c r="W544" s="2807">
        <v>52.93</v>
      </c>
      <c r="X544" s="2807">
        <f t="shared" si="8"/>
        <v>3159</v>
      </c>
      <c r="Y544" s="2807">
        <v>16.720199999999998</v>
      </c>
    </row>
    <row r="545" spans="22:25">
      <c r="V545" s="2807" t="s">
        <v>4627</v>
      </c>
      <c r="W545" s="2807">
        <v>52.93</v>
      </c>
      <c r="X545" s="2807">
        <f t="shared" si="8"/>
        <v>3159</v>
      </c>
      <c r="Y545" s="2807">
        <v>16.720199999999998</v>
      </c>
    </row>
    <row r="546" spans="22:25">
      <c r="V546" s="2807" t="s">
        <v>4628</v>
      </c>
      <c r="W546" s="2807">
        <v>52.93</v>
      </c>
      <c r="X546" s="2807">
        <f t="shared" si="8"/>
        <v>3159</v>
      </c>
      <c r="Y546" s="2807">
        <v>16.720199999999998</v>
      </c>
    </row>
    <row r="547" spans="22:25">
      <c r="V547" s="2807" t="s">
        <v>4629</v>
      </c>
      <c r="W547" s="2807">
        <v>52.93</v>
      </c>
      <c r="X547" s="2807">
        <f t="shared" si="8"/>
        <v>3159</v>
      </c>
      <c r="Y547" s="2807">
        <v>16.720199999999998</v>
      </c>
    </row>
    <row r="548" spans="22:25">
      <c r="V548" s="2807" t="s">
        <v>4630</v>
      </c>
      <c r="W548" s="2807">
        <v>52.93</v>
      </c>
      <c r="X548" s="2807">
        <f t="shared" si="8"/>
        <v>3159</v>
      </c>
      <c r="Y548" s="2807">
        <v>16.720199999999998</v>
      </c>
    </row>
    <row r="549" spans="22:25">
      <c r="V549" s="2807" t="s">
        <v>4631</v>
      </c>
      <c r="W549" s="2807">
        <v>52.93</v>
      </c>
      <c r="X549" s="2807">
        <f t="shared" si="8"/>
        <v>3159</v>
      </c>
      <c r="Y549" s="2807">
        <v>16.720199999999998</v>
      </c>
    </row>
    <row r="550" spans="22:25">
      <c r="V550" s="2807" t="s">
        <v>4632</v>
      </c>
      <c r="W550" s="2807">
        <v>52.93</v>
      </c>
      <c r="X550" s="2807">
        <f t="shared" si="8"/>
        <v>3159</v>
      </c>
      <c r="Y550" s="2807">
        <v>16.720199999999998</v>
      </c>
    </row>
    <row r="551" spans="22:25">
      <c r="V551" s="2807" t="s">
        <v>4633</v>
      </c>
      <c r="W551" s="2807">
        <v>52.93</v>
      </c>
      <c r="X551" s="2807">
        <f t="shared" si="8"/>
        <v>3159</v>
      </c>
      <c r="Y551" s="2807">
        <v>16.720199999999998</v>
      </c>
    </row>
    <row r="552" spans="22:25">
      <c r="V552" s="2807" t="s">
        <v>4634</v>
      </c>
      <c r="W552" s="2807">
        <v>52.93</v>
      </c>
      <c r="X552" s="2807">
        <f t="shared" si="8"/>
        <v>3159</v>
      </c>
      <c r="Y552" s="2807">
        <v>16.720199999999998</v>
      </c>
    </row>
    <row r="553" spans="22:25">
      <c r="V553" s="2807" t="s">
        <v>4635</v>
      </c>
      <c r="W553" s="2807">
        <v>52.93</v>
      </c>
      <c r="X553" s="2807">
        <f t="shared" si="8"/>
        <v>3159</v>
      </c>
      <c r="Y553" s="2807">
        <v>16.720199999999998</v>
      </c>
    </row>
    <row r="554" spans="22:25">
      <c r="V554" s="2807" t="s">
        <v>4636</v>
      </c>
      <c r="W554" s="2807">
        <v>52.93</v>
      </c>
      <c r="X554" s="2807">
        <f t="shared" si="8"/>
        <v>3159</v>
      </c>
      <c r="Y554" s="2807">
        <v>16.720199999999998</v>
      </c>
    </row>
    <row r="555" spans="22:25">
      <c r="V555" s="2807" t="s">
        <v>4637</v>
      </c>
      <c r="W555" s="2807">
        <v>52.93</v>
      </c>
      <c r="X555" s="2807">
        <f t="shared" si="8"/>
        <v>3159</v>
      </c>
      <c r="Y555" s="2807">
        <v>16.720199999999998</v>
      </c>
    </row>
    <row r="556" spans="22:25">
      <c r="V556" s="2807" t="s">
        <v>4638</v>
      </c>
      <c r="W556" s="2807">
        <v>52.93</v>
      </c>
      <c r="X556" s="2807">
        <f t="shared" si="8"/>
        <v>3159</v>
      </c>
      <c r="Y556" s="2807">
        <v>16.720199999999998</v>
      </c>
    </row>
    <row r="557" spans="22:25">
      <c r="V557" s="2807" t="s">
        <v>4639</v>
      </c>
      <c r="W557" s="2807">
        <v>52.93</v>
      </c>
      <c r="X557" s="2807">
        <f t="shared" si="8"/>
        <v>3159</v>
      </c>
      <c r="Y557" s="2807">
        <v>16.720199999999998</v>
      </c>
    </row>
    <row r="558" spans="22:25">
      <c r="V558" s="2807" t="s">
        <v>4640</v>
      </c>
      <c r="W558" s="2807">
        <v>52.93</v>
      </c>
      <c r="X558" s="2807">
        <f t="shared" si="8"/>
        <v>3159</v>
      </c>
      <c r="Y558" s="2807">
        <v>16.720199999999998</v>
      </c>
    </row>
    <row r="559" spans="22:25">
      <c r="V559" s="2807" t="s">
        <v>4641</v>
      </c>
      <c r="W559" s="2807">
        <v>52.93</v>
      </c>
      <c r="X559" s="2807">
        <f t="shared" si="8"/>
        <v>3159</v>
      </c>
      <c r="Y559" s="2807">
        <v>16.720199999999998</v>
      </c>
    </row>
    <row r="560" spans="22:25">
      <c r="V560" s="2807" t="s">
        <v>4642</v>
      </c>
      <c r="W560" s="2807">
        <v>52.93</v>
      </c>
      <c r="X560" s="2807">
        <f t="shared" si="8"/>
        <v>3159</v>
      </c>
      <c r="Y560" s="2807">
        <v>16.720199999999998</v>
      </c>
    </row>
    <row r="561" spans="22:25">
      <c r="V561" s="2807" t="s">
        <v>4643</v>
      </c>
      <c r="W561" s="2807">
        <v>52.93</v>
      </c>
      <c r="X561" s="2807">
        <f t="shared" si="8"/>
        <v>3159</v>
      </c>
      <c r="Y561" s="2807">
        <v>16.720199999999998</v>
      </c>
    </row>
    <row r="562" spans="22:25">
      <c r="V562" s="2807" t="s">
        <v>4644</v>
      </c>
      <c r="W562" s="2807">
        <v>52.93</v>
      </c>
      <c r="X562" s="2807">
        <f t="shared" si="8"/>
        <v>3159</v>
      </c>
      <c r="Y562" s="2807">
        <v>16.720199999999998</v>
      </c>
    </row>
    <row r="563" spans="22:25">
      <c r="V563" s="2807" t="s">
        <v>4645</v>
      </c>
      <c r="W563" s="2807">
        <v>89.38</v>
      </c>
      <c r="X563" s="2807">
        <f t="shared" si="8"/>
        <v>2432</v>
      </c>
      <c r="Y563" s="2807">
        <v>21.7363</v>
      </c>
    </row>
    <row r="564" spans="22:25">
      <c r="V564" s="2807" t="s">
        <v>4646</v>
      </c>
      <c r="W564" s="2807">
        <v>59.92</v>
      </c>
      <c r="X564" s="2807">
        <f t="shared" si="8"/>
        <v>2790</v>
      </c>
      <c r="Y564" s="2807">
        <v>16.720199999999998</v>
      </c>
    </row>
    <row r="565" spans="22:25">
      <c r="V565" s="2807" t="s">
        <v>4647</v>
      </c>
      <c r="W565" s="2807">
        <v>59.92</v>
      </c>
      <c r="X565" s="2807">
        <f t="shared" si="8"/>
        <v>2790</v>
      </c>
      <c r="Y565" s="2807">
        <v>16.720199999999998</v>
      </c>
    </row>
    <row r="566" spans="22:25">
      <c r="V566" s="2807" t="s">
        <v>4648</v>
      </c>
      <c r="W566" s="2807">
        <v>52.93</v>
      </c>
      <c r="X566" s="2807">
        <f t="shared" si="8"/>
        <v>3159</v>
      </c>
      <c r="Y566" s="2807">
        <v>16.720199999999998</v>
      </c>
    </row>
    <row r="567" spans="22:25">
      <c r="V567" s="2807" t="s">
        <v>4649</v>
      </c>
      <c r="W567" s="2807">
        <v>52.93</v>
      </c>
      <c r="X567" s="2807">
        <f t="shared" si="8"/>
        <v>3159</v>
      </c>
      <c r="Y567" s="2807">
        <v>16.720199999999998</v>
      </c>
    </row>
    <row r="568" spans="22:25">
      <c r="V568" s="2807" t="s">
        <v>4650</v>
      </c>
      <c r="W568" s="2807">
        <v>52.93</v>
      </c>
      <c r="X568" s="2807">
        <f t="shared" si="8"/>
        <v>3159</v>
      </c>
      <c r="Y568" s="2807">
        <v>16.720199999999998</v>
      </c>
    </row>
    <row r="569" spans="22:25">
      <c r="V569" s="2807" t="s">
        <v>4651</v>
      </c>
      <c r="W569" s="2807">
        <v>52.93</v>
      </c>
      <c r="X569" s="2807">
        <f t="shared" si="8"/>
        <v>3159</v>
      </c>
      <c r="Y569" s="2807">
        <v>16.720199999999998</v>
      </c>
    </row>
    <row r="570" spans="22:25">
      <c r="V570" s="2807" t="s">
        <v>4652</v>
      </c>
      <c r="W570" s="2807">
        <v>52.93</v>
      </c>
      <c r="X570" s="2807">
        <f t="shared" si="8"/>
        <v>3159</v>
      </c>
      <c r="Y570" s="2807">
        <v>16.720199999999998</v>
      </c>
    </row>
    <row r="571" spans="22:25">
      <c r="V571" s="2807" t="s">
        <v>4653</v>
      </c>
      <c r="W571" s="2807">
        <v>52.93</v>
      </c>
      <c r="X571" s="2807">
        <f t="shared" si="8"/>
        <v>3159</v>
      </c>
      <c r="Y571" s="2807">
        <v>16.720199999999998</v>
      </c>
    </row>
    <row r="572" spans="22:25">
      <c r="V572" s="2807" t="s">
        <v>4654</v>
      </c>
      <c r="W572" s="2807">
        <v>52.93</v>
      </c>
      <c r="X572" s="2807">
        <f t="shared" si="8"/>
        <v>3159</v>
      </c>
      <c r="Y572" s="2807">
        <v>16.720199999999998</v>
      </c>
    </row>
    <row r="573" spans="22:25">
      <c r="V573" s="2807" t="s">
        <v>4655</v>
      </c>
      <c r="W573" s="2807">
        <v>52.93</v>
      </c>
      <c r="X573" s="2807">
        <f t="shared" si="8"/>
        <v>3159</v>
      </c>
      <c r="Y573" s="2807">
        <v>16.720199999999998</v>
      </c>
    </row>
    <row r="574" spans="22:25">
      <c r="V574" s="2807" t="s">
        <v>4656</v>
      </c>
      <c r="W574" s="2807">
        <v>52.93</v>
      </c>
      <c r="X574" s="2807">
        <f t="shared" si="8"/>
        <v>3159</v>
      </c>
      <c r="Y574" s="2807">
        <v>16.720199999999998</v>
      </c>
    </row>
    <row r="575" spans="22:25">
      <c r="V575" s="2807" t="s">
        <v>4657</v>
      </c>
      <c r="W575" s="2807">
        <v>52.93</v>
      </c>
      <c r="X575" s="2807">
        <f t="shared" si="8"/>
        <v>3159</v>
      </c>
      <c r="Y575" s="2807">
        <v>16.720199999999998</v>
      </c>
    </row>
    <row r="576" spans="22:25">
      <c r="V576" s="2807" t="s">
        <v>4658</v>
      </c>
      <c r="W576" s="2807">
        <v>52.93</v>
      </c>
      <c r="X576" s="2807">
        <f t="shared" si="8"/>
        <v>3159</v>
      </c>
      <c r="Y576" s="2807">
        <v>16.720199999999998</v>
      </c>
    </row>
    <row r="577" spans="22:25">
      <c r="V577" s="2807" t="s">
        <v>4659</v>
      </c>
      <c r="W577" s="2807">
        <v>52.93</v>
      </c>
      <c r="X577" s="2807">
        <f t="shared" si="8"/>
        <v>3159</v>
      </c>
      <c r="Y577" s="2807">
        <v>16.720199999999998</v>
      </c>
    </row>
    <row r="578" spans="22:25">
      <c r="V578" s="2807" t="s">
        <v>4660</v>
      </c>
      <c r="W578" s="2807">
        <v>52.93</v>
      </c>
      <c r="X578" s="2807">
        <f t="shared" si="8"/>
        <v>3159</v>
      </c>
      <c r="Y578" s="2807">
        <v>16.720199999999998</v>
      </c>
    </row>
    <row r="579" spans="22:25">
      <c r="V579" s="2807" t="s">
        <v>4661</v>
      </c>
      <c r="W579" s="2807">
        <v>52.93</v>
      </c>
      <c r="X579" s="2807">
        <f t="shared" si="8"/>
        <v>3159</v>
      </c>
      <c r="Y579" s="2807">
        <v>16.720199999999998</v>
      </c>
    </row>
    <row r="580" spans="22:25">
      <c r="V580" s="2807" t="s">
        <v>4662</v>
      </c>
      <c r="W580" s="2807">
        <v>52.93</v>
      </c>
      <c r="X580" s="2807">
        <f t="shared" si="8"/>
        <v>3159</v>
      </c>
      <c r="Y580" s="2807">
        <v>16.720199999999998</v>
      </c>
    </row>
    <row r="581" spans="22:25">
      <c r="V581" s="2807" t="s">
        <v>4663</v>
      </c>
      <c r="W581" s="2807">
        <v>52.93</v>
      </c>
      <c r="X581" s="2807">
        <f t="shared" si="8"/>
        <v>3159</v>
      </c>
      <c r="Y581" s="2807">
        <v>16.720199999999998</v>
      </c>
    </row>
    <row r="582" spans="22:25">
      <c r="V582" s="2807" t="s">
        <v>4664</v>
      </c>
      <c r="W582" s="2807">
        <v>52.93</v>
      </c>
      <c r="X582" s="2807">
        <f t="shared" ref="X582:X645" si="9">ROUND(Y582/W582*10000,0)</f>
        <v>3159</v>
      </c>
      <c r="Y582" s="2807">
        <v>16.720199999999998</v>
      </c>
    </row>
    <row r="583" spans="22:25">
      <c r="V583" s="2807" t="s">
        <v>4665</v>
      </c>
      <c r="W583" s="2807">
        <v>52.93</v>
      </c>
      <c r="X583" s="2807">
        <f t="shared" si="9"/>
        <v>3159</v>
      </c>
      <c r="Y583" s="2807">
        <v>16.720199999999998</v>
      </c>
    </row>
    <row r="584" spans="22:25">
      <c r="V584" s="2807" t="s">
        <v>4666</v>
      </c>
      <c r="W584" s="2807">
        <v>52.93</v>
      </c>
      <c r="X584" s="2807">
        <f t="shared" si="9"/>
        <v>3159</v>
      </c>
      <c r="Y584" s="2807">
        <v>16.720199999999998</v>
      </c>
    </row>
    <row r="585" spans="22:25">
      <c r="V585" s="2807" t="s">
        <v>4667</v>
      </c>
      <c r="W585" s="2807">
        <v>52.93</v>
      </c>
      <c r="X585" s="2807">
        <f t="shared" si="9"/>
        <v>3159</v>
      </c>
      <c r="Y585" s="2807">
        <v>16.720199999999998</v>
      </c>
    </row>
    <row r="586" spans="22:25">
      <c r="V586" s="2807" t="s">
        <v>4668</v>
      </c>
      <c r="W586" s="2807">
        <v>52.93</v>
      </c>
      <c r="X586" s="2807">
        <f t="shared" si="9"/>
        <v>3159</v>
      </c>
      <c r="Y586" s="2807">
        <v>16.720199999999998</v>
      </c>
    </row>
    <row r="587" spans="22:25">
      <c r="V587" s="2807" t="s">
        <v>4669</v>
      </c>
      <c r="W587" s="2807">
        <v>52.93</v>
      </c>
      <c r="X587" s="2807">
        <f t="shared" si="9"/>
        <v>3159</v>
      </c>
      <c r="Y587" s="2807">
        <v>16.720199999999998</v>
      </c>
    </row>
    <row r="588" spans="22:25">
      <c r="V588" s="2807" t="s">
        <v>4670</v>
      </c>
      <c r="W588" s="2807">
        <v>52.93</v>
      </c>
      <c r="X588" s="2807">
        <f t="shared" si="9"/>
        <v>3159</v>
      </c>
      <c r="Y588" s="2807">
        <v>16.720199999999998</v>
      </c>
    </row>
    <row r="589" spans="22:25">
      <c r="V589" s="2807" t="s">
        <v>4671</v>
      </c>
      <c r="W589" s="2807">
        <v>59.92</v>
      </c>
      <c r="X589" s="2807">
        <f t="shared" si="9"/>
        <v>2790</v>
      </c>
      <c r="Y589" s="2807">
        <v>16.720199999999998</v>
      </c>
    </row>
    <row r="590" spans="22:25">
      <c r="V590" s="2807" t="s">
        <v>4672</v>
      </c>
      <c r="W590" s="2807">
        <v>59.92</v>
      </c>
      <c r="X590" s="2807">
        <f t="shared" si="9"/>
        <v>2790</v>
      </c>
      <c r="Y590" s="2807">
        <v>16.720199999999998</v>
      </c>
    </row>
    <row r="591" spans="22:25">
      <c r="V591" s="2807" t="s">
        <v>4673</v>
      </c>
      <c r="W591" s="2807">
        <v>59.92</v>
      </c>
      <c r="X591" s="2807">
        <f t="shared" si="9"/>
        <v>2790</v>
      </c>
      <c r="Y591" s="2807">
        <v>16.720199999999998</v>
      </c>
    </row>
    <row r="592" spans="22:25">
      <c r="V592" s="2807" t="s">
        <v>4674</v>
      </c>
      <c r="W592" s="2807">
        <v>59.92</v>
      </c>
      <c r="X592" s="2807">
        <f t="shared" si="9"/>
        <v>2790</v>
      </c>
      <c r="Y592" s="2807">
        <v>16.720199999999998</v>
      </c>
    </row>
    <row r="593" spans="22:25">
      <c r="V593" s="2807" t="s">
        <v>4675</v>
      </c>
      <c r="W593" s="2807">
        <v>59.92</v>
      </c>
      <c r="X593" s="2807">
        <f t="shared" si="9"/>
        <v>2790</v>
      </c>
      <c r="Y593" s="2807">
        <v>16.720199999999998</v>
      </c>
    </row>
    <row r="594" spans="22:25">
      <c r="V594" s="2807" t="s">
        <v>4676</v>
      </c>
      <c r="W594" s="2807">
        <v>59.92</v>
      </c>
      <c r="X594" s="2807">
        <f t="shared" si="9"/>
        <v>2790</v>
      </c>
      <c r="Y594" s="2807">
        <v>16.720199999999998</v>
      </c>
    </row>
    <row r="595" spans="22:25">
      <c r="V595" s="2807" t="s">
        <v>4677</v>
      </c>
      <c r="W595" s="2807">
        <v>59.92</v>
      </c>
      <c r="X595" s="2807">
        <f t="shared" si="9"/>
        <v>2790</v>
      </c>
      <c r="Y595" s="2807">
        <v>16.720199999999998</v>
      </c>
    </row>
    <row r="596" spans="22:25">
      <c r="V596" s="2807" t="s">
        <v>4678</v>
      </c>
      <c r="W596" s="2807">
        <v>59.92</v>
      </c>
      <c r="X596" s="2807">
        <f t="shared" si="9"/>
        <v>2790</v>
      </c>
      <c r="Y596" s="2807">
        <v>16.720199999999998</v>
      </c>
    </row>
    <row r="597" spans="22:25">
      <c r="V597" s="2807" t="s">
        <v>4679</v>
      </c>
      <c r="W597" s="2807">
        <v>59.92</v>
      </c>
      <c r="X597" s="2807">
        <f t="shared" si="9"/>
        <v>2790</v>
      </c>
      <c r="Y597" s="2807">
        <v>16.720199999999998</v>
      </c>
    </row>
    <row r="598" spans="22:25">
      <c r="V598" s="2807" t="s">
        <v>4680</v>
      </c>
      <c r="W598" s="2807">
        <v>59.92</v>
      </c>
      <c r="X598" s="2807">
        <f t="shared" si="9"/>
        <v>2790</v>
      </c>
      <c r="Y598" s="2807">
        <v>16.720199999999998</v>
      </c>
    </row>
    <row r="599" spans="22:25">
      <c r="V599" s="2807" t="s">
        <v>4681</v>
      </c>
      <c r="W599" s="2807">
        <v>59.92</v>
      </c>
      <c r="X599" s="2807">
        <f t="shared" si="9"/>
        <v>2790</v>
      </c>
      <c r="Y599" s="2807">
        <v>16.720199999999998</v>
      </c>
    </row>
    <row r="600" spans="22:25">
      <c r="V600" s="2807" t="s">
        <v>4682</v>
      </c>
      <c r="W600" s="2807">
        <v>59.92</v>
      </c>
      <c r="X600" s="2807">
        <f t="shared" si="9"/>
        <v>2790</v>
      </c>
      <c r="Y600" s="2807">
        <v>16.720199999999998</v>
      </c>
    </row>
    <row r="601" spans="22:25">
      <c r="V601" s="2807" t="s">
        <v>4683</v>
      </c>
      <c r="W601" s="2807">
        <v>50.93</v>
      </c>
      <c r="X601" s="2807">
        <f t="shared" si="9"/>
        <v>3283</v>
      </c>
      <c r="Y601" s="2807">
        <v>16.720199999999998</v>
      </c>
    </row>
    <row r="602" spans="22:25">
      <c r="V602" s="2807" t="s">
        <v>4684</v>
      </c>
      <c r="W602" s="2807">
        <v>50.93</v>
      </c>
      <c r="X602" s="2807">
        <f t="shared" si="9"/>
        <v>3283</v>
      </c>
      <c r="Y602" s="2807">
        <v>16.720199999999998</v>
      </c>
    </row>
    <row r="603" spans="22:25">
      <c r="V603" s="2807" t="s">
        <v>4685</v>
      </c>
      <c r="W603" s="2807">
        <v>50.93</v>
      </c>
      <c r="X603" s="2807">
        <f t="shared" si="9"/>
        <v>3283</v>
      </c>
      <c r="Y603" s="2807">
        <v>16.720199999999998</v>
      </c>
    </row>
    <row r="604" spans="22:25">
      <c r="V604" s="2807" t="s">
        <v>4686</v>
      </c>
      <c r="W604" s="2807">
        <v>50.93</v>
      </c>
      <c r="X604" s="2807">
        <f t="shared" si="9"/>
        <v>3283</v>
      </c>
      <c r="Y604" s="2807">
        <v>16.720199999999998</v>
      </c>
    </row>
    <row r="605" spans="22:25">
      <c r="V605" s="2807" t="s">
        <v>4687</v>
      </c>
      <c r="W605" s="2807">
        <v>50.93</v>
      </c>
      <c r="X605" s="2807">
        <f t="shared" si="9"/>
        <v>3283</v>
      </c>
      <c r="Y605" s="2807">
        <v>16.720199999999998</v>
      </c>
    </row>
    <row r="606" spans="22:25">
      <c r="V606" s="2807" t="s">
        <v>4688</v>
      </c>
      <c r="W606" s="2807">
        <v>50.93</v>
      </c>
      <c r="X606" s="2807">
        <f t="shared" si="9"/>
        <v>3283</v>
      </c>
      <c r="Y606" s="2807">
        <v>16.720199999999998</v>
      </c>
    </row>
    <row r="607" spans="22:25">
      <c r="V607" s="2807" t="s">
        <v>4689</v>
      </c>
      <c r="W607" s="2807">
        <v>50.93</v>
      </c>
      <c r="X607" s="2807">
        <f t="shared" si="9"/>
        <v>3283</v>
      </c>
      <c r="Y607" s="2807">
        <v>16.720199999999998</v>
      </c>
    </row>
    <row r="608" spans="22:25">
      <c r="V608" s="2807" t="s">
        <v>4690</v>
      </c>
      <c r="W608" s="2807">
        <v>50.93</v>
      </c>
      <c r="X608" s="2807">
        <f t="shared" si="9"/>
        <v>3283</v>
      </c>
      <c r="Y608" s="2807">
        <v>16.720199999999998</v>
      </c>
    </row>
    <row r="609" spans="22:25">
      <c r="V609" s="2807" t="s">
        <v>4691</v>
      </c>
      <c r="W609" s="2807">
        <v>50.93</v>
      </c>
      <c r="X609" s="2807">
        <f t="shared" si="9"/>
        <v>3283</v>
      </c>
      <c r="Y609" s="2807">
        <v>16.720199999999998</v>
      </c>
    </row>
    <row r="610" spans="22:25">
      <c r="V610" s="2807" t="s">
        <v>4692</v>
      </c>
      <c r="W610" s="2807">
        <v>50.93</v>
      </c>
      <c r="X610" s="2807">
        <f t="shared" si="9"/>
        <v>3283</v>
      </c>
      <c r="Y610" s="2807">
        <v>16.720199999999998</v>
      </c>
    </row>
    <row r="611" spans="22:25">
      <c r="V611" s="2807" t="s">
        <v>4693</v>
      </c>
      <c r="W611" s="2807">
        <v>50.93</v>
      </c>
      <c r="X611" s="2807">
        <f t="shared" si="9"/>
        <v>3283</v>
      </c>
      <c r="Y611" s="2807">
        <v>16.720199999999998</v>
      </c>
    </row>
    <row r="612" spans="22:25">
      <c r="V612" s="2807" t="s">
        <v>4694</v>
      </c>
      <c r="W612" s="2807">
        <v>50.93</v>
      </c>
      <c r="X612" s="2807">
        <f t="shared" si="9"/>
        <v>3283</v>
      </c>
      <c r="Y612" s="2807">
        <v>16.720199999999998</v>
      </c>
    </row>
    <row r="613" spans="22:25">
      <c r="V613" s="2807" t="s">
        <v>4695</v>
      </c>
      <c r="W613" s="2807">
        <v>50.93</v>
      </c>
      <c r="X613" s="2807">
        <f t="shared" si="9"/>
        <v>3283</v>
      </c>
      <c r="Y613" s="2807">
        <v>16.720199999999998</v>
      </c>
    </row>
    <row r="614" spans="22:25">
      <c r="V614" s="2807" t="s">
        <v>4696</v>
      </c>
      <c r="W614" s="2807">
        <v>50.93</v>
      </c>
      <c r="X614" s="2807">
        <f t="shared" si="9"/>
        <v>3283</v>
      </c>
      <c r="Y614" s="2807">
        <v>16.720199999999998</v>
      </c>
    </row>
    <row r="615" spans="22:25">
      <c r="V615" s="2807" t="s">
        <v>4697</v>
      </c>
      <c r="W615" s="2807">
        <v>52.93</v>
      </c>
      <c r="X615" s="2807">
        <f t="shared" si="9"/>
        <v>3159</v>
      </c>
      <c r="Y615" s="2807">
        <v>16.720199999999998</v>
      </c>
    </row>
    <row r="616" spans="22:25">
      <c r="V616" s="2807" t="s">
        <v>4698</v>
      </c>
      <c r="W616" s="2807">
        <v>52.93</v>
      </c>
      <c r="X616" s="2807">
        <f t="shared" si="9"/>
        <v>3159</v>
      </c>
      <c r="Y616" s="2807">
        <v>16.720199999999998</v>
      </c>
    </row>
    <row r="617" spans="22:25">
      <c r="V617" s="2807" t="s">
        <v>4699</v>
      </c>
      <c r="W617" s="2807">
        <v>52.93</v>
      </c>
      <c r="X617" s="2807">
        <f t="shared" si="9"/>
        <v>3159</v>
      </c>
      <c r="Y617" s="2807">
        <v>16.720199999999998</v>
      </c>
    </row>
    <row r="618" spans="22:25">
      <c r="V618" s="2807" t="s">
        <v>4700</v>
      </c>
      <c r="W618" s="2807">
        <v>52.93</v>
      </c>
      <c r="X618" s="2807">
        <f t="shared" si="9"/>
        <v>3159</v>
      </c>
      <c r="Y618" s="2807">
        <v>16.720199999999998</v>
      </c>
    </row>
    <row r="619" spans="22:25">
      <c r="V619" s="2807" t="s">
        <v>4701</v>
      </c>
      <c r="W619" s="2807">
        <v>52.93</v>
      </c>
      <c r="X619" s="2807">
        <f t="shared" si="9"/>
        <v>3159</v>
      </c>
      <c r="Y619" s="2807">
        <v>16.720199999999998</v>
      </c>
    </row>
    <row r="620" spans="22:25">
      <c r="V620" s="2807" t="s">
        <v>4702</v>
      </c>
      <c r="W620" s="2807">
        <v>52.93</v>
      </c>
      <c r="X620" s="2807">
        <f t="shared" si="9"/>
        <v>3159</v>
      </c>
      <c r="Y620" s="2807">
        <v>16.720199999999998</v>
      </c>
    </row>
    <row r="621" spans="22:25">
      <c r="V621" s="2807" t="s">
        <v>4703</v>
      </c>
      <c r="W621" s="2807">
        <v>52.93</v>
      </c>
      <c r="X621" s="2807">
        <f t="shared" si="9"/>
        <v>3159</v>
      </c>
      <c r="Y621" s="2807">
        <v>16.720199999999998</v>
      </c>
    </row>
    <row r="622" spans="22:25">
      <c r="V622" s="2807" t="s">
        <v>4704</v>
      </c>
      <c r="W622" s="2807">
        <v>52.93</v>
      </c>
      <c r="X622" s="2807">
        <f t="shared" si="9"/>
        <v>3159</v>
      </c>
      <c r="Y622" s="2807">
        <v>16.720199999999998</v>
      </c>
    </row>
    <row r="623" spans="22:25">
      <c r="V623" s="2807" t="s">
        <v>4705</v>
      </c>
      <c r="W623" s="2807">
        <v>52.93</v>
      </c>
      <c r="X623" s="2807">
        <f t="shared" si="9"/>
        <v>3159</v>
      </c>
      <c r="Y623" s="2807">
        <v>16.720199999999998</v>
      </c>
    </row>
    <row r="624" spans="22:25">
      <c r="V624" s="2807" t="s">
        <v>4706</v>
      </c>
      <c r="W624" s="2807">
        <v>52.93</v>
      </c>
      <c r="X624" s="2807">
        <f t="shared" si="9"/>
        <v>3159</v>
      </c>
      <c r="Y624" s="2807">
        <v>16.720199999999998</v>
      </c>
    </row>
    <row r="625" spans="22:25">
      <c r="V625" s="2807" t="s">
        <v>4707</v>
      </c>
      <c r="W625" s="2807">
        <v>52.93</v>
      </c>
      <c r="X625" s="2807">
        <f t="shared" si="9"/>
        <v>3159</v>
      </c>
      <c r="Y625" s="2807">
        <v>16.720199999999998</v>
      </c>
    </row>
    <row r="626" spans="22:25">
      <c r="V626" s="2807" t="s">
        <v>4708</v>
      </c>
      <c r="W626" s="2807">
        <v>52.93</v>
      </c>
      <c r="X626" s="2807">
        <f t="shared" si="9"/>
        <v>3159</v>
      </c>
      <c r="Y626" s="2807">
        <v>16.720199999999998</v>
      </c>
    </row>
    <row r="627" spans="22:25">
      <c r="V627" s="2807" t="s">
        <v>4709</v>
      </c>
      <c r="W627" s="2807">
        <v>52.93</v>
      </c>
      <c r="X627" s="2807">
        <f t="shared" si="9"/>
        <v>3159</v>
      </c>
      <c r="Y627" s="2807">
        <v>16.720199999999998</v>
      </c>
    </row>
    <row r="628" spans="22:25">
      <c r="V628" s="2807" t="s">
        <v>4710</v>
      </c>
      <c r="W628" s="2807">
        <v>52.93</v>
      </c>
      <c r="X628" s="2807">
        <f t="shared" si="9"/>
        <v>3159</v>
      </c>
      <c r="Y628" s="2807">
        <v>16.720199999999998</v>
      </c>
    </row>
    <row r="629" spans="22:25">
      <c r="V629" s="2807" t="s">
        <v>4711</v>
      </c>
      <c r="W629" s="2807">
        <v>52.93</v>
      </c>
      <c r="X629" s="2807">
        <f t="shared" si="9"/>
        <v>3159</v>
      </c>
      <c r="Y629" s="2807">
        <v>16.720199999999998</v>
      </c>
    </row>
    <row r="630" spans="22:25">
      <c r="V630" s="2807" t="s">
        <v>4712</v>
      </c>
      <c r="W630" s="2807">
        <v>52.93</v>
      </c>
      <c r="X630" s="2807">
        <f t="shared" si="9"/>
        <v>3159</v>
      </c>
      <c r="Y630" s="2807">
        <v>16.720199999999998</v>
      </c>
    </row>
    <row r="631" spans="22:25">
      <c r="V631" s="2807" t="s">
        <v>4713</v>
      </c>
      <c r="W631" s="2807">
        <v>52.93</v>
      </c>
      <c r="X631" s="2807">
        <f t="shared" si="9"/>
        <v>3159</v>
      </c>
      <c r="Y631" s="2807">
        <v>16.720199999999998</v>
      </c>
    </row>
    <row r="632" spans="22:25">
      <c r="V632" s="2807" t="s">
        <v>4714</v>
      </c>
      <c r="W632" s="2807">
        <v>52.93</v>
      </c>
      <c r="X632" s="2807">
        <f t="shared" si="9"/>
        <v>3159</v>
      </c>
      <c r="Y632" s="2807">
        <v>16.720199999999998</v>
      </c>
    </row>
    <row r="633" spans="22:25">
      <c r="V633" s="2807" t="s">
        <v>4715</v>
      </c>
      <c r="W633" s="2807">
        <v>52.93</v>
      </c>
      <c r="X633" s="2807">
        <f t="shared" si="9"/>
        <v>3159</v>
      </c>
      <c r="Y633" s="2807">
        <v>16.720199999999998</v>
      </c>
    </row>
    <row r="634" spans="22:25">
      <c r="V634" s="2807" t="s">
        <v>4716</v>
      </c>
      <c r="W634" s="2807">
        <v>52.93</v>
      </c>
      <c r="X634" s="2807">
        <f t="shared" si="9"/>
        <v>3159</v>
      </c>
      <c r="Y634" s="2807">
        <v>16.720199999999998</v>
      </c>
    </row>
    <row r="635" spans="22:25">
      <c r="V635" s="2807" t="s">
        <v>4717</v>
      </c>
      <c r="W635" s="2807">
        <v>52.93</v>
      </c>
      <c r="X635" s="2807">
        <f t="shared" si="9"/>
        <v>3159</v>
      </c>
      <c r="Y635" s="2807">
        <v>16.720199999999998</v>
      </c>
    </row>
    <row r="636" spans="22:25">
      <c r="V636" s="2807" t="s">
        <v>4718</v>
      </c>
      <c r="W636" s="2807">
        <v>52.93</v>
      </c>
      <c r="X636" s="2807">
        <f t="shared" si="9"/>
        <v>3159</v>
      </c>
      <c r="Y636" s="2807">
        <v>16.720199999999998</v>
      </c>
    </row>
    <row r="637" spans="22:25">
      <c r="V637" s="2807" t="s">
        <v>4719</v>
      </c>
      <c r="W637" s="2807">
        <v>52.93</v>
      </c>
      <c r="X637" s="2807">
        <f t="shared" si="9"/>
        <v>3159</v>
      </c>
      <c r="Y637" s="2807">
        <v>16.720199999999998</v>
      </c>
    </row>
    <row r="638" spans="22:25">
      <c r="V638" s="2807" t="s">
        <v>4720</v>
      </c>
      <c r="W638" s="2807">
        <v>52.93</v>
      </c>
      <c r="X638" s="2807">
        <f t="shared" si="9"/>
        <v>3159</v>
      </c>
      <c r="Y638" s="2807">
        <v>16.720199999999998</v>
      </c>
    </row>
    <row r="639" spans="22:25">
      <c r="V639" s="2807" t="s">
        <v>4721</v>
      </c>
      <c r="W639" s="2807">
        <v>52.93</v>
      </c>
      <c r="X639" s="2807">
        <f t="shared" si="9"/>
        <v>3159</v>
      </c>
      <c r="Y639" s="2807">
        <v>16.720199999999998</v>
      </c>
    </row>
    <row r="640" spans="22:25">
      <c r="V640" s="2807" t="s">
        <v>4722</v>
      </c>
      <c r="W640" s="2807">
        <v>52.93</v>
      </c>
      <c r="X640" s="2807">
        <f t="shared" si="9"/>
        <v>3159</v>
      </c>
      <c r="Y640" s="2807">
        <v>16.720199999999998</v>
      </c>
    </row>
    <row r="641" spans="22:25">
      <c r="V641" s="2807" t="s">
        <v>4723</v>
      </c>
      <c r="W641" s="2807">
        <v>52.93</v>
      </c>
      <c r="X641" s="2807">
        <f t="shared" si="9"/>
        <v>3159</v>
      </c>
      <c r="Y641" s="2807">
        <v>16.720199999999998</v>
      </c>
    </row>
    <row r="642" spans="22:25">
      <c r="V642" s="2807" t="s">
        <v>4724</v>
      </c>
      <c r="W642" s="2807">
        <v>52.93</v>
      </c>
      <c r="X642" s="2807">
        <f t="shared" si="9"/>
        <v>3159</v>
      </c>
      <c r="Y642" s="2807">
        <v>16.720199999999998</v>
      </c>
    </row>
    <row r="643" spans="22:25">
      <c r="V643" s="2807" t="s">
        <v>4725</v>
      </c>
      <c r="W643" s="2807">
        <v>52.93</v>
      </c>
      <c r="X643" s="2807">
        <f t="shared" si="9"/>
        <v>3159</v>
      </c>
      <c r="Y643" s="2807">
        <v>16.720199999999998</v>
      </c>
    </row>
    <row r="644" spans="22:25">
      <c r="V644" s="2807" t="s">
        <v>4726</v>
      </c>
      <c r="W644" s="2807">
        <v>50.93</v>
      </c>
      <c r="X644" s="2807">
        <f t="shared" si="9"/>
        <v>3283</v>
      </c>
      <c r="Y644" s="2807">
        <v>16.720199999999998</v>
      </c>
    </row>
    <row r="645" spans="22:25">
      <c r="V645" s="2807" t="s">
        <v>4727</v>
      </c>
      <c r="W645" s="2807">
        <v>50.93</v>
      </c>
      <c r="X645" s="2807">
        <f t="shared" si="9"/>
        <v>3283</v>
      </c>
      <c r="Y645" s="2807">
        <v>16.720199999999998</v>
      </c>
    </row>
    <row r="646" spans="22:25">
      <c r="V646" s="2807" t="s">
        <v>4728</v>
      </c>
      <c r="W646" s="2807">
        <v>50.93</v>
      </c>
      <c r="X646" s="2807">
        <f t="shared" ref="X646:X709" si="10">ROUND(Y646/W646*10000,0)</f>
        <v>3283</v>
      </c>
      <c r="Y646" s="2807">
        <v>16.720199999999998</v>
      </c>
    </row>
    <row r="647" spans="22:25">
      <c r="V647" s="2807" t="s">
        <v>4729</v>
      </c>
      <c r="W647" s="2807">
        <v>50.93</v>
      </c>
      <c r="X647" s="2807">
        <f t="shared" si="10"/>
        <v>3283</v>
      </c>
      <c r="Y647" s="2807">
        <v>16.720199999999998</v>
      </c>
    </row>
    <row r="648" spans="22:25">
      <c r="V648" s="2807" t="s">
        <v>4730</v>
      </c>
      <c r="W648" s="2807">
        <v>50.93</v>
      </c>
      <c r="X648" s="2807">
        <f t="shared" si="10"/>
        <v>3283</v>
      </c>
      <c r="Y648" s="2807">
        <v>16.720199999999998</v>
      </c>
    </row>
    <row r="649" spans="22:25">
      <c r="V649" s="2807" t="s">
        <v>4731</v>
      </c>
      <c r="W649" s="2807">
        <v>50.93</v>
      </c>
      <c r="X649" s="2807">
        <f t="shared" si="10"/>
        <v>3283</v>
      </c>
      <c r="Y649" s="2807">
        <v>16.720199999999998</v>
      </c>
    </row>
    <row r="650" spans="22:25">
      <c r="V650" s="2807" t="s">
        <v>4732</v>
      </c>
      <c r="W650" s="2807">
        <v>50.93</v>
      </c>
      <c r="X650" s="2807">
        <f t="shared" si="10"/>
        <v>3283</v>
      </c>
      <c r="Y650" s="2807">
        <v>16.720199999999998</v>
      </c>
    </row>
    <row r="651" spans="22:25">
      <c r="V651" s="2807" t="s">
        <v>4733</v>
      </c>
      <c r="W651" s="2807">
        <v>50.93</v>
      </c>
      <c r="X651" s="2807">
        <f t="shared" si="10"/>
        <v>3283</v>
      </c>
      <c r="Y651" s="2807">
        <v>16.720199999999998</v>
      </c>
    </row>
    <row r="652" spans="22:25">
      <c r="V652" s="2807" t="s">
        <v>4734</v>
      </c>
      <c r="W652" s="2807">
        <v>50.93</v>
      </c>
      <c r="X652" s="2807">
        <f t="shared" si="10"/>
        <v>3283</v>
      </c>
      <c r="Y652" s="2807">
        <v>16.720199999999998</v>
      </c>
    </row>
    <row r="653" spans="22:25">
      <c r="V653" s="2807" t="s">
        <v>4735</v>
      </c>
      <c r="W653" s="2807">
        <v>50.93</v>
      </c>
      <c r="X653" s="2807">
        <f t="shared" si="10"/>
        <v>3283</v>
      </c>
      <c r="Y653" s="2807">
        <v>16.720199999999998</v>
      </c>
    </row>
    <row r="654" spans="22:25">
      <c r="V654" s="2807" t="s">
        <v>4736</v>
      </c>
      <c r="W654" s="2807">
        <v>50.93</v>
      </c>
      <c r="X654" s="2807">
        <f t="shared" si="10"/>
        <v>3283</v>
      </c>
      <c r="Y654" s="2807">
        <v>16.720199999999998</v>
      </c>
    </row>
    <row r="655" spans="22:25">
      <c r="V655" s="2807" t="s">
        <v>4737</v>
      </c>
      <c r="W655" s="2807">
        <v>50.93</v>
      </c>
      <c r="X655" s="2807">
        <f t="shared" si="10"/>
        <v>3283</v>
      </c>
      <c r="Y655" s="2807">
        <v>16.720199999999998</v>
      </c>
    </row>
    <row r="656" spans="22:25">
      <c r="V656" s="2807" t="s">
        <v>4738</v>
      </c>
      <c r="W656" s="2807">
        <v>50.93</v>
      </c>
      <c r="X656" s="2807">
        <f t="shared" si="10"/>
        <v>3283</v>
      </c>
      <c r="Y656" s="2807">
        <v>16.720199999999998</v>
      </c>
    </row>
    <row r="657" spans="22:25">
      <c r="V657" s="2807" t="s">
        <v>4739</v>
      </c>
      <c r="W657" s="2807">
        <v>50.93</v>
      </c>
      <c r="X657" s="2807">
        <f t="shared" si="10"/>
        <v>3283</v>
      </c>
      <c r="Y657" s="2807">
        <v>16.720199999999998</v>
      </c>
    </row>
    <row r="658" spans="22:25">
      <c r="V658" s="2807" t="s">
        <v>4740</v>
      </c>
      <c r="W658" s="2807">
        <v>50.93</v>
      </c>
      <c r="X658" s="2807">
        <f t="shared" si="10"/>
        <v>3283</v>
      </c>
      <c r="Y658" s="2807">
        <v>16.720199999999998</v>
      </c>
    </row>
    <row r="659" spans="22:25">
      <c r="V659" s="2807" t="s">
        <v>4741</v>
      </c>
      <c r="W659" s="2807">
        <v>50.93</v>
      </c>
      <c r="X659" s="2807">
        <f t="shared" si="10"/>
        <v>3283</v>
      </c>
      <c r="Y659" s="2807">
        <v>16.720199999999998</v>
      </c>
    </row>
    <row r="660" spans="22:25">
      <c r="V660" s="2807" t="s">
        <v>4742</v>
      </c>
      <c r="W660" s="2807">
        <v>50.93</v>
      </c>
      <c r="X660" s="2807">
        <f t="shared" si="10"/>
        <v>3283</v>
      </c>
      <c r="Y660" s="2807">
        <v>16.720199999999998</v>
      </c>
    </row>
    <row r="661" spans="22:25">
      <c r="V661" s="2807" t="s">
        <v>4743</v>
      </c>
      <c r="W661" s="2807">
        <v>50.93</v>
      </c>
      <c r="X661" s="2807">
        <f t="shared" si="10"/>
        <v>3283</v>
      </c>
      <c r="Y661" s="2807">
        <v>16.720199999999998</v>
      </c>
    </row>
    <row r="662" spans="22:25">
      <c r="V662" s="2807" t="s">
        <v>4744</v>
      </c>
      <c r="W662" s="2807">
        <v>50.93</v>
      </c>
      <c r="X662" s="2807">
        <f t="shared" si="10"/>
        <v>3283</v>
      </c>
      <c r="Y662" s="2807">
        <v>16.720199999999998</v>
      </c>
    </row>
    <row r="663" spans="22:25">
      <c r="V663" s="2807" t="s">
        <v>4745</v>
      </c>
      <c r="W663" s="2807">
        <v>50.93</v>
      </c>
      <c r="X663" s="2807">
        <f t="shared" si="10"/>
        <v>3283</v>
      </c>
      <c r="Y663" s="2807">
        <v>16.720199999999998</v>
      </c>
    </row>
    <row r="664" spans="22:25">
      <c r="V664" s="2807" t="s">
        <v>4746</v>
      </c>
      <c r="W664" s="2807">
        <v>50.93</v>
      </c>
      <c r="X664" s="2807">
        <f t="shared" si="10"/>
        <v>3283</v>
      </c>
      <c r="Y664" s="2807">
        <v>16.720199999999998</v>
      </c>
    </row>
    <row r="665" spans="22:25">
      <c r="V665" s="2807" t="s">
        <v>4747</v>
      </c>
      <c r="W665" s="2807">
        <v>50.93</v>
      </c>
      <c r="X665" s="2807">
        <f t="shared" si="10"/>
        <v>3283</v>
      </c>
      <c r="Y665" s="2807">
        <v>16.720199999999998</v>
      </c>
    </row>
    <row r="666" spans="22:25">
      <c r="V666" s="2807" t="s">
        <v>4748</v>
      </c>
      <c r="W666" s="2807">
        <v>50.93</v>
      </c>
      <c r="X666" s="2807">
        <f t="shared" si="10"/>
        <v>3283</v>
      </c>
      <c r="Y666" s="2807">
        <v>16.720199999999998</v>
      </c>
    </row>
    <row r="667" spans="22:25">
      <c r="V667" s="2807" t="s">
        <v>4749</v>
      </c>
      <c r="W667" s="2807">
        <v>50.93</v>
      </c>
      <c r="X667" s="2807">
        <f t="shared" si="10"/>
        <v>3283</v>
      </c>
      <c r="Y667" s="2807">
        <v>16.720199999999998</v>
      </c>
    </row>
    <row r="668" spans="22:25">
      <c r="V668" s="2807" t="s">
        <v>4750</v>
      </c>
      <c r="W668" s="2807">
        <v>59.92</v>
      </c>
      <c r="X668" s="2807">
        <f t="shared" si="10"/>
        <v>2790</v>
      </c>
      <c r="Y668" s="2807">
        <v>16.720199999999998</v>
      </c>
    </row>
    <row r="669" spans="22:25">
      <c r="V669" s="2807" t="s">
        <v>4751</v>
      </c>
      <c r="W669" s="2807">
        <v>50.93</v>
      </c>
      <c r="X669" s="2807">
        <f t="shared" si="10"/>
        <v>3283</v>
      </c>
      <c r="Y669" s="2807">
        <v>16.720199999999998</v>
      </c>
    </row>
    <row r="670" spans="22:25">
      <c r="V670" s="2807" t="s">
        <v>4752</v>
      </c>
      <c r="W670" s="2807">
        <v>50.93</v>
      </c>
      <c r="X670" s="2807">
        <f t="shared" si="10"/>
        <v>3283</v>
      </c>
      <c r="Y670" s="2807">
        <v>16.720199999999998</v>
      </c>
    </row>
    <row r="671" spans="22:25">
      <c r="V671" s="2807" t="s">
        <v>4753</v>
      </c>
      <c r="W671" s="2807">
        <v>50.93</v>
      </c>
      <c r="X671" s="2807">
        <f t="shared" si="10"/>
        <v>3283</v>
      </c>
      <c r="Y671" s="2807">
        <v>16.720199999999998</v>
      </c>
    </row>
    <row r="672" spans="22:25">
      <c r="V672" s="2807" t="s">
        <v>4754</v>
      </c>
      <c r="W672" s="2807">
        <v>50.93</v>
      </c>
      <c r="X672" s="2807">
        <f t="shared" si="10"/>
        <v>3283</v>
      </c>
      <c r="Y672" s="2807">
        <v>16.720199999999998</v>
      </c>
    </row>
    <row r="673" spans="22:25">
      <c r="V673" s="2807" t="s">
        <v>4755</v>
      </c>
      <c r="W673" s="2807">
        <v>50.93</v>
      </c>
      <c r="X673" s="2807">
        <f t="shared" si="10"/>
        <v>3283</v>
      </c>
      <c r="Y673" s="2807">
        <v>16.720199999999998</v>
      </c>
    </row>
    <row r="674" spans="22:25">
      <c r="V674" s="2807" t="s">
        <v>4756</v>
      </c>
      <c r="W674" s="2807">
        <v>50.93</v>
      </c>
      <c r="X674" s="2807">
        <f t="shared" si="10"/>
        <v>3283</v>
      </c>
      <c r="Y674" s="2807">
        <v>16.720199999999998</v>
      </c>
    </row>
    <row r="675" spans="22:25">
      <c r="V675" s="2807" t="s">
        <v>4757</v>
      </c>
      <c r="W675" s="2807">
        <v>52.93</v>
      </c>
      <c r="X675" s="2807">
        <f t="shared" si="10"/>
        <v>3159</v>
      </c>
      <c r="Y675" s="2807">
        <v>16.720199999999998</v>
      </c>
    </row>
    <row r="676" spans="22:25">
      <c r="V676" s="2807" t="s">
        <v>4758</v>
      </c>
      <c r="W676" s="2807">
        <v>52.93</v>
      </c>
      <c r="X676" s="2807">
        <f t="shared" si="10"/>
        <v>3159</v>
      </c>
      <c r="Y676" s="2807">
        <v>16.720199999999998</v>
      </c>
    </row>
    <row r="677" spans="22:25">
      <c r="V677" s="2807" t="s">
        <v>4759</v>
      </c>
      <c r="W677" s="2807">
        <v>52.93</v>
      </c>
      <c r="X677" s="2807">
        <f t="shared" si="10"/>
        <v>3159</v>
      </c>
      <c r="Y677" s="2807">
        <v>16.720199999999998</v>
      </c>
    </row>
    <row r="678" spans="22:25">
      <c r="V678" s="2807" t="s">
        <v>4760</v>
      </c>
      <c r="W678" s="2807">
        <v>52.93</v>
      </c>
      <c r="X678" s="2807">
        <f t="shared" si="10"/>
        <v>3159</v>
      </c>
      <c r="Y678" s="2807">
        <v>16.720199999999998</v>
      </c>
    </row>
    <row r="679" spans="22:25">
      <c r="V679" s="2807" t="s">
        <v>4761</v>
      </c>
      <c r="W679" s="2807">
        <v>52.93</v>
      </c>
      <c r="X679" s="2807">
        <f t="shared" si="10"/>
        <v>3159</v>
      </c>
      <c r="Y679" s="2807">
        <v>16.720199999999998</v>
      </c>
    </row>
    <row r="680" spans="22:25">
      <c r="V680" s="2807" t="s">
        <v>4762</v>
      </c>
      <c r="W680" s="2807">
        <v>52.93</v>
      </c>
      <c r="X680" s="2807">
        <f t="shared" si="10"/>
        <v>3159</v>
      </c>
      <c r="Y680" s="2807">
        <v>16.720199999999998</v>
      </c>
    </row>
    <row r="681" spans="22:25">
      <c r="V681" s="2807" t="s">
        <v>4763</v>
      </c>
      <c r="W681" s="2807">
        <v>52.93</v>
      </c>
      <c r="X681" s="2807">
        <f t="shared" si="10"/>
        <v>3159</v>
      </c>
      <c r="Y681" s="2807">
        <v>16.720199999999998</v>
      </c>
    </row>
    <row r="682" spans="22:25">
      <c r="V682" s="2807" t="s">
        <v>4764</v>
      </c>
      <c r="W682" s="2807">
        <v>52.93</v>
      </c>
      <c r="X682" s="2807">
        <f t="shared" si="10"/>
        <v>3159</v>
      </c>
      <c r="Y682" s="2807">
        <v>16.720199999999998</v>
      </c>
    </row>
    <row r="683" spans="22:25">
      <c r="V683" s="2807" t="s">
        <v>4765</v>
      </c>
      <c r="W683" s="2807">
        <v>52.93</v>
      </c>
      <c r="X683" s="2807">
        <f t="shared" si="10"/>
        <v>3159</v>
      </c>
      <c r="Y683" s="2807">
        <v>16.720199999999998</v>
      </c>
    </row>
    <row r="684" spans="22:25">
      <c r="V684" s="2807" t="s">
        <v>4766</v>
      </c>
      <c r="W684" s="2807">
        <v>52.93</v>
      </c>
      <c r="X684" s="2807">
        <f t="shared" si="10"/>
        <v>3159</v>
      </c>
      <c r="Y684" s="2807">
        <v>16.720199999999998</v>
      </c>
    </row>
    <row r="685" spans="22:25">
      <c r="V685" s="2807" t="s">
        <v>4767</v>
      </c>
      <c r="W685" s="2807">
        <v>52.93</v>
      </c>
      <c r="X685" s="2807">
        <f t="shared" si="10"/>
        <v>3159</v>
      </c>
      <c r="Y685" s="2807">
        <v>16.720199999999998</v>
      </c>
    </row>
    <row r="686" spans="22:25">
      <c r="V686" s="2807" t="s">
        <v>4768</v>
      </c>
      <c r="W686" s="2807">
        <v>52.93</v>
      </c>
      <c r="X686" s="2807">
        <f t="shared" si="10"/>
        <v>3159</v>
      </c>
      <c r="Y686" s="2807">
        <v>16.720199999999998</v>
      </c>
    </row>
    <row r="687" spans="22:25">
      <c r="V687" s="2807" t="s">
        <v>4769</v>
      </c>
      <c r="W687" s="2807">
        <v>52.93</v>
      </c>
      <c r="X687" s="2807">
        <f t="shared" si="10"/>
        <v>3159</v>
      </c>
      <c r="Y687" s="2807">
        <v>16.720199999999998</v>
      </c>
    </row>
    <row r="688" spans="22:25">
      <c r="V688" s="2807" t="s">
        <v>4770</v>
      </c>
      <c r="W688" s="2807">
        <v>52.93</v>
      </c>
      <c r="X688" s="2807">
        <f t="shared" si="10"/>
        <v>3159</v>
      </c>
      <c r="Y688" s="2807">
        <v>16.720199999999998</v>
      </c>
    </row>
    <row r="689" spans="22:25">
      <c r="V689" s="2807" t="s">
        <v>4771</v>
      </c>
      <c r="W689" s="2807">
        <v>52.93</v>
      </c>
      <c r="X689" s="2807">
        <f t="shared" si="10"/>
        <v>3159</v>
      </c>
      <c r="Y689" s="2807">
        <v>16.720199999999998</v>
      </c>
    </row>
    <row r="690" spans="22:25">
      <c r="V690" s="2807" t="s">
        <v>4772</v>
      </c>
      <c r="W690" s="2807">
        <v>59.92</v>
      </c>
      <c r="X690" s="2807">
        <f t="shared" si="10"/>
        <v>2790</v>
      </c>
      <c r="Y690" s="2807">
        <v>16.720199999999998</v>
      </c>
    </row>
    <row r="691" spans="22:25">
      <c r="V691" s="2807" t="s">
        <v>4773</v>
      </c>
      <c r="W691" s="2807">
        <v>50.93</v>
      </c>
      <c r="X691" s="2807">
        <f t="shared" si="10"/>
        <v>3283</v>
      </c>
      <c r="Y691" s="2807">
        <v>16.720199999999998</v>
      </c>
    </row>
    <row r="692" spans="22:25">
      <c r="V692" s="2807" t="s">
        <v>4774</v>
      </c>
      <c r="W692" s="2807">
        <v>50.93</v>
      </c>
      <c r="X692" s="2807">
        <f t="shared" si="10"/>
        <v>3283</v>
      </c>
      <c r="Y692" s="2807">
        <v>16.720199999999998</v>
      </c>
    </row>
    <row r="693" spans="22:25">
      <c r="V693" s="2807" t="s">
        <v>4775</v>
      </c>
      <c r="W693" s="2807">
        <v>50.93</v>
      </c>
      <c r="X693" s="2807">
        <f t="shared" si="10"/>
        <v>3283</v>
      </c>
      <c r="Y693" s="2807">
        <v>16.720199999999998</v>
      </c>
    </row>
    <row r="694" spans="22:25">
      <c r="V694" s="2807" t="s">
        <v>4776</v>
      </c>
      <c r="W694" s="2807">
        <v>50.93</v>
      </c>
      <c r="X694" s="2807">
        <f t="shared" si="10"/>
        <v>3283</v>
      </c>
      <c r="Y694" s="2807">
        <v>16.720199999999998</v>
      </c>
    </row>
    <row r="695" spans="22:25">
      <c r="V695" s="2807" t="s">
        <v>4777</v>
      </c>
      <c r="W695" s="2807">
        <v>50.93</v>
      </c>
      <c r="X695" s="2807">
        <f t="shared" si="10"/>
        <v>3283</v>
      </c>
      <c r="Y695" s="2807">
        <v>16.720199999999998</v>
      </c>
    </row>
    <row r="696" spans="22:25">
      <c r="V696" s="2807" t="s">
        <v>4778</v>
      </c>
      <c r="W696" s="2807">
        <v>50.93</v>
      </c>
      <c r="X696" s="2807">
        <f t="shared" si="10"/>
        <v>3283</v>
      </c>
      <c r="Y696" s="2807">
        <v>16.720199999999998</v>
      </c>
    </row>
    <row r="697" spans="22:25">
      <c r="V697" s="2807" t="s">
        <v>4779</v>
      </c>
      <c r="W697" s="2807">
        <v>52.93</v>
      </c>
      <c r="X697" s="2807">
        <f t="shared" si="10"/>
        <v>3159</v>
      </c>
      <c r="Y697" s="2807">
        <v>16.720199999999998</v>
      </c>
    </row>
    <row r="698" spans="22:25">
      <c r="V698" s="2807" t="s">
        <v>4780</v>
      </c>
      <c r="W698" s="2807">
        <v>52.93</v>
      </c>
      <c r="X698" s="2807">
        <f t="shared" si="10"/>
        <v>3159</v>
      </c>
      <c r="Y698" s="2807">
        <v>16.720199999999998</v>
      </c>
    </row>
    <row r="699" spans="22:25">
      <c r="V699" s="2807" t="s">
        <v>4781</v>
      </c>
      <c r="W699" s="2807">
        <v>52.93</v>
      </c>
      <c r="X699" s="2807">
        <f t="shared" si="10"/>
        <v>3159</v>
      </c>
      <c r="Y699" s="2807">
        <v>16.720199999999998</v>
      </c>
    </row>
    <row r="700" spans="22:25">
      <c r="V700" s="2807" t="s">
        <v>4782</v>
      </c>
      <c r="W700" s="2807">
        <v>52.93</v>
      </c>
      <c r="X700" s="2807">
        <f t="shared" si="10"/>
        <v>3159</v>
      </c>
      <c r="Y700" s="2807">
        <v>16.720199999999998</v>
      </c>
    </row>
    <row r="701" spans="22:25">
      <c r="V701" s="2807" t="s">
        <v>4783</v>
      </c>
      <c r="W701" s="2807">
        <v>52.93</v>
      </c>
      <c r="X701" s="2807">
        <f t="shared" si="10"/>
        <v>3159</v>
      </c>
      <c r="Y701" s="2807">
        <v>16.720199999999998</v>
      </c>
    </row>
    <row r="702" spans="22:25">
      <c r="V702" s="2807" t="s">
        <v>4784</v>
      </c>
      <c r="W702" s="2807">
        <v>52.93</v>
      </c>
      <c r="X702" s="2807">
        <f t="shared" si="10"/>
        <v>3159</v>
      </c>
      <c r="Y702" s="2807">
        <v>16.720199999999998</v>
      </c>
    </row>
    <row r="703" spans="22:25">
      <c r="V703" s="2807" t="s">
        <v>4785</v>
      </c>
      <c r="W703" s="2807">
        <v>52.93</v>
      </c>
      <c r="X703" s="2807">
        <f t="shared" si="10"/>
        <v>3159</v>
      </c>
      <c r="Y703" s="2807">
        <v>16.720199999999998</v>
      </c>
    </row>
    <row r="704" spans="22:25">
      <c r="V704" s="2807" t="s">
        <v>4786</v>
      </c>
      <c r="W704" s="2807">
        <v>52.93</v>
      </c>
      <c r="X704" s="2807">
        <f t="shared" si="10"/>
        <v>3159</v>
      </c>
      <c r="Y704" s="2807">
        <v>16.720199999999998</v>
      </c>
    </row>
    <row r="705" spans="22:25">
      <c r="V705" s="2807" t="s">
        <v>4787</v>
      </c>
      <c r="W705" s="2807">
        <v>52.93</v>
      </c>
      <c r="X705" s="2807">
        <f t="shared" si="10"/>
        <v>3159</v>
      </c>
      <c r="Y705" s="2807">
        <v>16.720199999999998</v>
      </c>
    </row>
    <row r="706" spans="22:25">
      <c r="V706" s="2807" t="s">
        <v>4788</v>
      </c>
      <c r="W706" s="2807">
        <v>52.93</v>
      </c>
      <c r="X706" s="2807">
        <f t="shared" si="10"/>
        <v>3159</v>
      </c>
      <c r="Y706" s="2807">
        <v>16.720199999999998</v>
      </c>
    </row>
    <row r="707" spans="22:25">
      <c r="V707" s="2807" t="s">
        <v>4789</v>
      </c>
      <c r="W707" s="2807">
        <v>52.93</v>
      </c>
      <c r="X707" s="2807">
        <f t="shared" si="10"/>
        <v>3159</v>
      </c>
      <c r="Y707" s="2807">
        <v>16.720199999999998</v>
      </c>
    </row>
    <row r="708" spans="22:25">
      <c r="V708" s="2807" t="s">
        <v>4790</v>
      </c>
      <c r="W708" s="2807">
        <v>52.93</v>
      </c>
      <c r="X708" s="2807">
        <f t="shared" si="10"/>
        <v>3159</v>
      </c>
      <c r="Y708" s="2807">
        <v>16.720199999999998</v>
      </c>
    </row>
    <row r="709" spans="22:25">
      <c r="V709" s="2807" t="s">
        <v>4791</v>
      </c>
      <c r="W709" s="2807">
        <v>52.93</v>
      </c>
      <c r="X709" s="2807">
        <f t="shared" si="10"/>
        <v>3159</v>
      </c>
      <c r="Y709" s="2807">
        <v>16.720199999999998</v>
      </c>
    </row>
    <row r="710" spans="22:25">
      <c r="V710" s="2807" t="s">
        <v>4792</v>
      </c>
      <c r="W710" s="2807">
        <v>52.93</v>
      </c>
      <c r="X710" s="2807">
        <f t="shared" ref="X710:X753" si="11">ROUND(Y710/W710*10000,0)</f>
        <v>3159</v>
      </c>
      <c r="Y710" s="2807">
        <v>16.720199999999998</v>
      </c>
    </row>
    <row r="711" spans="22:25">
      <c r="V711" s="2807" t="s">
        <v>4793</v>
      </c>
      <c r="W711" s="2807">
        <v>52.93</v>
      </c>
      <c r="X711" s="2807">
        <f t="shared" si="11"/>
        <v>3159</v>
      </c>
      <c r="Y711" s="2807">
        <v>16.720199999999998</v>
      </c>
    </row>
    <row r="712" spans="22:25">
      <c r="V712" s="2807" t="s">
        <v>4794</v>
      </c>
      <c r="W712" s="2807">
        <v>50.93</v>
      </c>
      <c r="X712" s="2807">
        <f t="shared" si="11"/>
        <v>3283</v>
      </c>
      <c r="Y712" s="2807">
        <v>16.720199999999998</v>
      </c>
    </row>
    <row r="713" spans="22:25">
      <c r="V713" s="2807" t="s">
        <v>4795</v>
      </c>
      <c r="W713" s="2807">
        <v>50.93</v>
      </c>
      <c r="X713" s="2807">
        <f t="shared" si="11"/>
        <v>3283</v>
      </c>
      <c r="Y713" s="2807">
        <v>16.720199999999998</v>
      </c>
    </row>
    <row r="714" spans="22:25">
      <c r="V714" s="2807" t="s">
        <v>4796</v>
      </c>
      <c r="W714" s="2807">
        <v>50.93</v>
      </c>
      <c r="X714" s="2807">
        <f t="shared" si="11"/>
        <v>3283</v>
      </c>
      <c r="Y714" s="2807">
        <v>16.720199999999998</v>
      </c>
    </row>
    <row r="715" spans="22:25">
      <c r="V715" s="2807" t="s">
        <v>4797</v>
      </c>
      <c r="W715" s="2807">
        <v>50.93</v>
      </c>
      <c r="X715" s="2807">
        <f t="shared" si="11"/>
        <v>3283</v>
      </c>
      <c r="Y715" s="2807">
        <v>16.720199999999998</v>
      </c>
    </row>
    <row r="716" spans="22:25">
      <c r="V716" s="2807" t="s">
        <v>4798</v>
      </c>
      <c r="W716" s="2807">
        <v>50.93</v>
      </c>
      <c r="X716" s="2807">
        <f t="shared" si="11"/>
        <v>3283</v>
      </c>
      <c r="Y716" s="2807">
        <v>16.720199999999998</v>
      </c>
    </row>
    <row r="717" spans="22:25">
      <c r="V717" s="2807" t="s">
        <v>4799</v>
      </c>
      <c r="W717" s="2807">
        <v>50.93</v>
      </c>
      <c r="X717" s="2807">
        <f t="shared" si="11"/>
        <v>3283</v>
      </c>
      <c r="Y717" s="2807">
        <v>16.720199999999998</v>
      </c>
    </row>
    <row r="718" spans="22:25">
      <c r="V718" s="2807" t="s">
        <v>4800</v>
      </c>
      <c r="W718" s="2807">
        <v>52.93</v>
      </c>
      <c r="X718" s="2807">
        <f t="shared" si="11"/>
        <v>3159</v>
      </c>
      <c r="Y718" s="2807">
        <v>16.720199999999998</v>
      </c>
    </row>
    <row r="719" spans="22:25">
      <c r="V719" s="2807" t="s">
        <v>4801</v>
      </c>
      <c r="W719" s="2807">
        <v>52.93</v>
      </c>
      <c r="X719" s="2807">
        <f t="shared" si="11"/>
        <v>3159</v>
      </c>
      <c r="Y719" s="2807">
        <v>16.720199999999998</v>
      </c>
    </row>
    <row r="720" spans="22:25">
      <c r="V720" s="2807" t="s">
        <v>4802</v>
      </c>
      <c r="W720" s="2807">
        <v>52.93</v>
      </c>
      <c r="X720" s="2807">
        <f t="shared" si="11"/>
        <v>3159</v>
      </c>
      <c r="Y720" s="2807">
        <v>16.720199999999998</v>
      </c>
    </row>
    <row r="721" spans="22:25">
      <c r="V721" s="2807" t="s">
        <v>4803</v>
      </c>
      <c r="W721" s="2807">
        <v>52.93</v>
      </c>
      <c r="X721" s="2807">
        <f t="shared" si="11"/>
        <v>3159</v>
      </c>
      <c r="Y721" s="2807">
        <v>16.720199999999998</v>
      </c>
    </row>
    <row r="722" spans="22:25">
      <c r="V722" s="2807" t="s">
        <v>4804</v>
      </c>
      <c r="W722" s="2807">
        <v>52.93</v>
      </c>
      <c r="X722" s="2807">
        <f t="shared" si="11"/>
        <v>3159</v>
      </c>
      <c r="Y722" s="2807">
        <v>16.720199999999998</v>
      </c>
    </row>
    <row r="723" spans="22:25">
      <c r="V723" s="2807" t="s">
        <v>4805</v>
      </c>
      <c r="W723" s="2807">
        <v>52.93</v>
      </c>
      <c r="X723" s="2807">
        <f t="shared" si="11"/>
        <v>3159</v>
      </c>
      <c r="Y723" s="2807">
        <v>16.720199999999998</v>
      </c>
    </row>
    <row r="724" spans="22:25">
      <c r="V724" s="2807" t="s">
        <v>4806</v>
      </c>
      <c r="W724" s="2807">
        <v>52.93</v>
      </c>
      <c r="X724" s="2807">
        <f t="shared" si="11"/>
        <v>3159</v>
      </c>
      <c r="Y724" s="2807">
        <v>16.720199999999998</v>
      </c>
    </row>
    <row r="725" spans="22:25">
      <c r="V725" s="2807" t="s">
        <v>4807</v>
      </c>
      <c r="W725" s="2807">
        <v>52.93</v>
      </c>
      <c r="X725" s="2807">
        <f t="shared" si="11"/>
        <v>3159</v>
      </c>
      <c r="Y725" s="2807">
        <v>16.720199999999998</v>
      </c>
    </row>
    <row r="726" spans="22:25">
      <c r="V726" s="2807" t="s">
        <v>4808</v>
      </c>
      <c r="W726" s="2807">
        <v>52.93</v>
      </c>
      <c r="X726" s="2807">
        <f t="shared" si="11"/>
        <v>3159</v>
      </c>
      <c r="Y726" s="2807">
        <v>16.720199999999998</v>
      </c>
    </row>
    <row r="727" spans="22:25">
      <c r="V727" s="2807" t="s">
        <v>4809</v>
      </c>
      <c r="W727" s="2807">
        <v>59.92</v>
      </c>
      <c r="X727" s="2807">
        <f t="shared" si="11"/>
        <v>2790</v>
      </c>
      <c r="Y727" s="2807">
        <v>16.720199999999998</v>
      </c>
    </row>
    <row r="728" spans="22:25">
      <c r="V728" s="2807" t="s">
        <v>4810</v>
      </c>
      <c r="W728" s="2807">
        <v>59.92</v>
      </c>
      <c r="X728" s="2807">
        <f t="shared" si="11"/>
        <v>2790</v>
      </c>
      <c r="Y728" s="2807">
        <v>16.720199999999998</v>
      </c>
    </row>
    <row r="729" spans="22:25">
      <c r="V729" s="2807" t="s">
        <v>4811</v>
      </c>
      <c r="W729" s="2807">
        <v>52.93</v>
      </c>
      <c r="X729" s="2807">
        <f t="shared" si="11"/>
        <v>3159</v>
      </c>
      <c r="Y729" s="2807">
        <v>16.720199999999998</v>
      </c>
    </row>
    <row r="730" spans="22:25">
      <c r="V730" s="2807" t="s">
        <v>4812</v>
      </c>
      <c r="W730" s="2807">
        <v>52.93</v>
      </c>
      <c r="X730" s="2807">
        <f t="shared" si="11"/>
        <v>3159</v>
      </c>
      <c r="Y730" s="2807">
        <v>16.720199999999998</v>
      </c>
    </row>
    <row r="731" spans="22:25">
      <c r="V731" s="2807" t="s">
        <v>4813</v>
      </c>
      <c r="W731" s="2807">
        <v>52.93</v>
      </c>
      <c r="X731" s="2807">
        <f t="shared" si="11"/>
        <v>3159</v>
      </c>
      <c r="Y731" s="2807">
        <v>16.720199999999998</v>
      </c>
    </row>
    <row r="732" spans="22:25">
      <c r="V732" s="2807" t="s">
        <v>4814</v>
      </c>
      <c r="W732" s="2807">
        <v>89.38</v>
      </c>
      <c r="X732" s="2807">
        <f t="shared" si="11"/>
        <v>2432</v>
      </c>
      <c r="Y732" s="2807">
        <v>21.7363</v>
      </c>
    </row>
    <row r="733" spans="22:25">
      <c r="V733" s="2807" t="s">
        <v>4815</v>
      </c>
      <c r="W733" s="2807">
        <v>52.93</v>
      </c>
      <c r="X733" s="2807">
        <f t="shared" si="11"/>
        <v>3159</v>
      </c>
      <c r="Y733" s="2807">
        <v>16.720199999999998</v>
      </c>
    </row>
    <row r="734" spans="22:25">
      <c r="V734" s="2807" t="s">
        <v>4816</v>
      </c>
      <c r="W734" s="2807">
        <v>52.93</v>
      </c>
      <c r="X734" s="2807">
        <f t="shared" si="11"/>
        <v>3159</v>
      </c>
      <c r="Y734" s="2807">
        <v>16.720199999999998</v>
      </c>
    </row>
    <row r="735" spans="22:25">
      <c r="V735" s="2807" t="s">
        <v>4817</v>
      </c>
      <c r="W735" s="2807">
        <v>52.93</v>
      </c>
      <c r="X735" s="2807">
        <f t="shared" si="11"/>
        <v>3159</v>
      </c>
      <c r="Y735" s="2807">
        <v>16.720199999999998</v>
      </c>
    </row>
    <row r="736" spans="22:25">
      <c r="V736" s="2807" t="s">
        <v>4818</v>
      </c>
      <c r="W736" s="2807">
        <v>52.93</v>
      </c>
      <c r="X736" s="2807">
        <f t="shared" si="11"/>
        <v>3159</v>
      </c>
      <c r="Y736" s="2807">
        <v>16.720199999999998</v>
      </c>
    </row>
    <row r="737" spans="22:25">
      <c r="V737" s="2807" t="s">
        <v>4819</v>
      </c>
      <c r="W737" s="2807">
        <v>52.93</v>
      </c>
      <c r="X737" s="2807">
        <f t="shared" si="11"/>
        <v>3159</v>
      </c>
      <c r="Y737" s="2807">
        <v>16.720199999999998</v>
      </c>
    </row>
    <row r="738" spans="22:25">
      <c r="V738" s="2807" t="s">
        <v>4820</v>
      </c>
      <c r="W738" s="2807">
        <v>52.93</v>
      </c>
      <c r="X738" s="2807">
        <f t="shared" si="11"/>
        <v>3159</v>
      </c>
      <c r="Y738" s="2807">
        <v>16.720199999999998</v>
      </c>
    </row>
    <row r="739" spans="22:25">
      <c r="V739" s="2807" t="s">
        <v>4821</v>
      </c>
      <c r="W739" s="2807">
        <v>52.93</v>
      </c>
      <c r="X739" s="2807">
        <f t="shared" si="11"/>
        <v>3159</v>
      </c>
      <c r="Y739" s="2807">
        <v>16.720199999999998</v>
      </c>
    </row>
    <row r="740" spans="22:25">
      <c r="V740" s="2807" t="s">
        <v>4822</v>
      </c>
      <c r="W740" s="2807">
        <v>52.93</v>
      </c>
      <c r="X740" s="2807">
        <f t="shared" si="11"/>
        <v>3159</v>
      </c>
      <c r="Y740" s="2807">
        <v>16.720199999999998</v>
      </c>
    </row>
    <row r="741" spans="22:25">
      <c r="V741" s="2807" t="s">
        <v>4823</v>
      </c>
      <c r="W741" s="2807">
        <v>52.93</v>
      </c>
      <c r="X741" s="2807">
        <f t="shared" si="11"/>
        <v>3159</v>
      </c>
      <c r="Y741" s="2807">
        <v>16.720199999999998</v>
      </c>
    </row>
    <row r="742" spans="22:25">
      <c r="V742" s="2807" t="s">
        <v>4824</v>
      </c>
      <c r="W742" s="2807">
        <v>52.93</v>
      </c>
      <c r="X742" s="2807">
        <f t="shared" si="11"/>
        <v>3159</v>
      </c>
      <c r="Y742" s="2807">
        <v>16.720199999999998</v>
      </c>
    </row>
    <row r="743" spans="22:25">
      <c r="V743" s="2807" t="s">
        <v>4825</v>
      </c>
      <c r="W743" s="2807">
        <v>52.93</v>
      </c>
      <c r="X743" s="2807">
        <f t="shared" si="11"/>
        <v>3159</v>
      </c>
      <c r="Y743" s="2807">
        <v>16.720199999999998</v>
      </c>
    </row>
    <row r="744" spans="22:25">
      <c r="V744" s="2807" t="s">
        <v>4826</v>
      </c>
      <c r="W744" s="2807">
        <v>52.93</v>
      </c>
      <c r="X744" s="2807">
        <f t="shared" si="11"/>
        <v>3159</v>
      </c>
      <c r="Y744" s="2807">
        <v>16.720199999999998</v>
      </c>
    </row>
    <row r="745" spans="22:25">
      <c r="V745" s="2807" t="s">
        <v>4827</v>
      </c>
      <c r="W745" s="2807">
        <v>52.93</v>
      </c>
      <c r="X745" s="2807">
        <f t="shared" si="11"/>
        <v>3159</v>
      </c>
      <c r="Y745" s="2807">
        <v>16.720199999999998</v>
      </c>
    </row>
    <row r="746" spans="22:25">
      <c r="V746" s="2807" t="s">
        <v>4828</v>
      </c>
      <c r="W746" s="2807">
        <v>52.93</v>
      </c>
      <c r="X746" s="2807">
        <f t="shared" si="11"/>
        <v>3159</v>
      </c>
      <c r="Y746" s="2807">
        <v>16.720199999999998</v>
      </c>
    </row>
    <row r="747" spans="22:25">
      <c r="V747" s="2807" t="s">
        <v>4829</v>
      </c>
      <c r="W747" s="2807">
        <v>52.93</v>
      </c>
      <c r="X747" s="2807">
        <f t="shared" si="11"/>
        <v>3159</v>
      </c>
      <c r="Y747" s="2807">
        <v>16.720199999999998</v>
      </c>
    </row>
    <row r="748" spans="22:25">
      <c r="V748" s="2807" t="s">
        <v>4830</v>
      </c>
      <c r="W748" s="2807">
        <v>52.93</v>
      </c>
      <c r="X748" s="2807">
        <f t="shared" si="11"/>
        <v>3159</v>
      </c>
      <c r="Y748" s="2807">
        <v>16.720199999999998</v>
      </c>
    </row>
    <row r="749" spans="22:25">
      <c r="V749" s="2807" t="s">
        <v>4831</v>
      </c>
      <c r="W749" s="2807">
        <v>52.93</v>
      </c>
      <c r="X749" s="2807">
        <f t="shared" si="11"/>
        <v>3159</v>
      </c>
      <c r="Y749" s="2807">
        <v>16.720199999999998</v>
      </c>
    </row>
    <row r="750" spans="22:25">
      <c r="V750" s="2807" t="s">
        <v>4832</v>
      </c>
      <c r="W750" s="2807">
        <v>52.93</v>
      </c>
      <c r="X750" s="2807">
        <f t="shared" si="11"/>
        <v>3159</v>
      </c>
      <c r="Y750" s="2807">
        <v>16.720199999999998</v>
      </c>
    </row>
    <row r="751" spans="22:25">
      <c r="V751" s="2807" t="s">
        <v>4833</v>
      </c>
      <c r="W751" s="2807">
        <v>52.93</v>
      </c>
      <c r="X751" s="2807">
        <f t="shared" si="11"/>
        <v>3159</v>
      </c>
      <c r="Y751" s="2807">
        <v>16.720199999999998</v>
      </c>
    </row>
    <row r="752" spans="22:25">
      <c r="V752" s="2807" t="s">
        <v>4834</v>
      </c>
      <c r="W752" s="2807">
        <v>52.93</v>
      </c>
      <c r="X752" s="2807">
        <f t="shared" si="11"/>
        <v>3159</v>
      </c>
      <c r="Y752" s="2807">
        <v>16.720199999999998</v>
      </c>
    </row>
    <row r="753" spans="22:25">
      <c r="V753" s="2807" t="s">
        <v>4835</v>
      </c>
      <c r="W753" s="2807">
        <v>52.93</v>
      </c>
      <c r="X753" s="2807">
        <f t="shared" si="11"/>
        <v>3159</v>
      </c>
      <c r="Y753" s="2807">
        <v>16.720199999999998</v>
      </c>
    </row>
  </sheetData>
  <phoneticPr fontId="13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37"/>
  <sheetViews>
    <sheetView tabSelected="1" topLeftCell="D31" workbookViewId="0">
      <selection activeCell="K54" sqref="K54"/>
    </sheetView>
  </sheetViews>
  <sheetFormatPr defaultRowHeight="13.5"/>
  <cols>
    <col min="1" max="5" width="9" style="2807"/>
    <col min="6" max="6" width="14.375" style="2807" bestFit="1" customWidth="1"/>
    <col min="7" max="7" width="10.5" style="2807" bestFit="1" customWidth="1"/>
    <col min="8" max="8" width="9.5" style="2807" bestFit="1" customWidth="1"/>
    <col min="9" max="9" width="10.5" style="2807" bestFit="1" customWidth="1"/>
    <col min="10" max="16" width="9" style="2807"/>
    <col min="17" max="17" width="31.625" style="2807" bestFit="1" customWidth="1"/>
    <col min="18" max="21" width="9" style="2807"/>
    <col min="22" max="22" width="10.5" style="2807" bestFit="1" customWidth="1"/>
    <col min="23" max="25" width="9" style="2807"/>
    <col min="26" max="26" width="11.625" style="2807" bestFit="1" customWidth="1"/>
    <col min="27" max="16384" width="9" style="2807"/>
  </cols>
  <sheetData>
    <row r="1" spans="1:26">
      <c r="A1" s="1414" t="s">
        <v>3379</v>
      </c>
      <c r="P1" s="3190" t="s">
        <v>4456</v>
      </c>
      <c r="Q1" s="3190" t="s">
        <v>4515</v>
      </c>
      <c r="R1" s="3190" t="s">
        <v>4507</v>
      </c>
      <c r="S1" s="1422" t="s">
        <v>4837</v>
      </c>
      <c r="T1" s="3190" t="s">
        <v>4509</v>
      </c>
      <c r="U1" s="3190" t="s">
        <v>4510</v>
      </c>
      <c r="V1" s="3190" t="s">
        <v>4511</v>
      </c>
      <c r="W1" s="3190" t="s">
        <v>4512</v>
      </c>
      <c r="X1" s="3190" t="s">
        <v>4513</v>
      </c>
      <c r="Y1" s="3190" t="s">
        <v>4449</v>
      </c>
      <c r="Z1" s="3190" t="s">
        <v>4850</v>
      </c>
    </row>
    <row r="2" spans="1:26">
      <c r="A2" s="1414" t="s">
        <v>3382</v>
      </c>
      <c r="B2" s="1414" t="s">
        <v>3380</v>
      </c>
      <c r="C2" s="1414" t="s">
        <v>3381</v>
      </c>
      <c r="G2" s="2807">
        <v>1</v>
      </c>
      <c r="H2" s="2807">
        <f>54+34+34+54</f>
        <v>176</v>
      </c>
      <c r="I2" s="2807">
        <v>749</v>
      </c>
      <c r="P2" s="3190">
        <f>A3</f>
        <v>1</v>
      </c>
      <c r="Q2" s="3190" t="str">
        <f>A1</f>
        <v>京(2023)昌不动产权第0051717号</v>
      </c>
      <c r="R2" s="1422" t="s">
        <v>4498</v>
      </c>
      <c r="S2" s="3190">
        <v>501</v>
      </c>
      <c r="T2" s="3190">
        <v>37</v>
      </c>
      <c r="U2" s="3190">
        <v>5</v>
      </c>
      <c r="V2" s="3190">
        <f>C3</f>
        <v>754.84</v>
      </c>
      <c r="W2" s="1422" t="s">
        <v>4517</v>
      </c>
      <c r="X2" s="1422" t="s">
        <v>4516</v>
      </c>
      <c r="Y2" s="3190">
        <v>19023</v>
      </c>
      <c r="Z2" s="3190">
        <v>1436</v>
      </c>
    </row>
    <row r="3" spans="1:26">
      <c r="A3" s="3139">
        <v>1</v>
      </c>
      <c r="B3" s="3139" t="s">
        <v>4238</v>
      </c>
      <c r="C3" s="3139">
        <v>754.84</v>
      </c>
      <c r="F3" s="1414" t="s">
        <v>4140</v>
      </c>
      <c r="G3" s="1414" t="s">
        <v>4137</v>
      </c>
      <c r="H3" s="1414" t="s">
        <v>4138</v>
      </c>
      <c r="I3" s="1414" t="s">
        <v>4139</v>
      </c>
      <c r="K3" s="1414" t="s">
        <v>4564</v>
      </c>
      <c r="P3" s="3190">
        <f t="shared" ref="P3:P55" si="0">A4</f>
        <v>2</v>
      </c>
      <c r="Q3" s="3190" t="s">
        <v>4514</v>
      </c>
      <c r="R3" s="3190" t="s">
        <v>4497</v>
      </c>
      <c r="S3" s="3190">
        <v>502</v>
      </c>
      <c r="T3" s="3190">
        <v>37</v>
      </c>
      <c r="U3" s="3190">
        <v>5</v>
      </c>
      <c r="V3" s="3190">
        <f t="shared" ref="V3:V55" si="1">C4</f>
        <v>776.82</v>
      </c>
      <c r="W3" s="1422" t="s">
        <v>4517</v>
      </c>
      <c r="X3" s="1422" t="s">
        <v>4516</v>
      </c>
      <c r="Y3" s="3190">
        <v>19023</v>
      </c>
      <c r="Z3" s="3190">
        <v>1478</v>
      </c>
    </row>
    <row r="4" spans="1:26">
      <c r="A4" s="2807">
        <v>2</v>
      </c>
      <c r="B4" s="2807" t="s">
        <v>4239</v>
      </c>
      <c r="C4" s="2807">
        <v>776.82</v>
      </c>
      <c r="F4" s="1414" t="s">
        <v>4498</v>
      </c>
      <c r="H4" s="2807">
        <f>C57</f>
        <v>42171.11</v>
      </c>
      <c r="J4" s="1414" t="s">
        <v>4493</v>
      </c>
      <c r="K4" s="2807">
        <v>2023</v>
      </c>
      <c r="L4" s="2807">
        <f>ROUND(1-(2024-K4)/60,2)</f>
        <v>0.98</v>
      </c>
      <c r="M4" s="2807">
        <f>H4*L4</f>
        <v>41327.6878</v>
      </c>
      <c r="P4" s="3190">
        <f t="shared" si="0"/>
        <v>3</v>
      </c>
      <c r="Q4" s="3190" t="s">
        <v>4514</v>
      </c>
      <c r="R4" s="3190" t="s">
        <v>4497</v>
      </c>
      <c r="S4" s="3190">
        <v>601</v>
      </c>
      <c r="T4" s="3190">
        <v>37</v>
      </c>
      <c r="U4" s="3190">
        <v>6</v>
      </c>
      <c r="V4" s="3190">
        <f t="shared" si="1"/>
        <v>780.05</v>
      </c>
      <c r="W4" s="1422" t="s">
        <v>4517</v>
      </c>
      <c r="X4" s="1422" t="s">
        <v>4516</v>
      </c>
      <c r="Y4" s="3190">
        <v>19023</v>
      </c>
      <c r="Z4" s="3190">
        <v>1484</v>
      </c>
    </row>
    <row r="5" spans="1:26">
      <c r="A5" s="2807">
        <v>3</v>
      </c>
      <c r="B5" s="2807" t="s">
        <v>4240</v>
      </c>
      <c r="C5" s="2807">
        <v>780.05</v>
      </c>
      <c r="F5" s="1414" t="s">
        <v>4500</v>
      </c>
      <c r="H5" s="2807">
        <f>'2号楼'!C37</f>
        <v>25524.139999999989</v>
      </c>
      <c r="J5" s="1414" t="s">
        <v>4506</v>
      </c>
      <c r="K5" s="2807">
        <v>2021</v>
      </c>
      <c r="L5" s="2807">
        <f t="shared" ref="L5:L8" si="2">ROUND(1-(2024-K5)/60,2)</f>
        <v>0.95</v>
      </c>
      <c r="M5" s="2807">
        <f t="shared" ref="M5:M7" si="3">H5*L5</f>
        <v>24247.932999999986</v>
      </c>
      <c r="P5" s="3190">
        <f t="shared" si="0"/>
        <v>4</v>
      </c>
      <c r="Q5" s="3190" t="s">
        <v>4514</v>
      </c>
      <c r="R5" s="3190" t="s">
        <v>4497</v>
      </c>
      <c r="S5" s="3190">
        <v>602</v>
      </c>
      <c r="T5" s="3190">
        <v>37</v>
      </c>
      <c r="U5" s="3190">
        <v>6</v>
      </c>
      <c r="V5" s="3190">
        <f t="shared" si="1"/>
        <v>772.92</v>
      </c>
      <c r="W5" s="1422" t="s">
        <v>4517</v>
      </c>
      <c r="X5" s="1422" t="s">
        <v>4516</v>
      </c>
      <c r="Y5" s="3190">
        <v>19023</v>
      </c>
      <c r="Z5" s="3190">
        <v>1470</v>
      </c>
    </row>
    <row r="6" spans="1:26">
      <c r="A6" s="2807">
        <v>4</v>
      </c>
      <c r="B6" s="2807" t="s">
        <v>4241</v>
      </c>
      <c r="C6" s="2807">
        <v>772.92</v>
      </c>
      <c r="F6" s="1414" t="s">
        <v>4502</v>
      </c>
      <c r="H6" s="2807">
        <f>'3号楼'!C37</f>
        <v>25425.37</v>
      </c>
      <c r="J6" s="1414" t="s">
        <v>4494</v>
      </c>
      <c r="K6" s="2807">
        <v>2021</v>
      </c>
      <c r="L6" s="2807">
        <f t="shared" si="2"/>
        <v>0.95</v>
      </c>
      <c r="M6" s="2807">
        <f t="shared" si="3"/>
        <v>24154.101499999997</v>
      </c>
      <c r="P6" s="3190">
        <f t="shared" si="0"/>
        <v>5</v>
      </c>
      <c r="Q6" s="3190" t="s">
        <v>4514</v>
      </c>
      <c r="R6" s="3190" t="s">
        <v>4497</v>
      </c>
      <c r="S6" s="3190">
        <v>701</v>
      </c>
      <c r="T6" s="3190">
        <v>37</v>
      </c>
      <c r="U6" s="3190">
        <v>7</v>
      </c>
      <c r="V6" s="3190">
        <f t="shared" si="1"/>
        <v>780.05</v>
      </c>
      <c r="W6" s="1422" t="s">
        <v>4517</v>
      </c>
      <c r="X6" s="1422" t="s">
        <v>4516</v>
      </c>
      <c r="Y6" s="3190">
        <v>19023</v>
      </c>
      <c r="Z6" s="3190">
        <v>1484</v>
      </c>
    </row>
    <row r="7" spans="1:26">
      <c r="A7" s="2807">
        <v>5</v>
      </c>
      <c r="B7" s="2807" t="s">
        <v>4242</v>
      </c>
      <c r="C7" s="2807">
        <v>780.05</v>
      </c>
      <c r="F7" s="1414" t="s">
        <v>4503</v>
      </c>
      <c r="H7" s="2807">
        <f>'4号楼'!C57</f>
        <v>43414.549999999974</v>
      </c>
      <c r="J7" s="1414" t="s">
        <v>4495</v>
      </c>
      <c r="K7" s="2807">
        <v>2023</v>
      </c>
      <c r="L7" s="2807">
        <f t="shared" si="2"/>
        <v>0.98</v>
      </c>
      <c r="M7" s="2807">
        <f t="shared" si="3"/>
        <v>42546.258999999976</v>
      </c>
      <c r="N7" s="2807">
        <f>ROUND((M4+M5+M6+M7)/(H4+H5+H6+H7),2)</f>
        <v>0.97</v>
      </c>
      <c r="P7" s="3190">
        <f t="shared" si="0"/>
        <v>6</v>
      </c>
      <c r="Q7" s="3190" t="s">
        <v>4514</v>
      </c>
      <c r="R7" s="3190" t="s">
        <v>4497</v>
      </c>
      <c r="S7" s="3190">
        <v>702</v>
      </c>
      <c r="T7" s="3190">
        <v>37</v>
      </c>
      <c r="U7" s="3190">
        <v>7</v>
      </c>
      <c r="V7" s="3190">
        <f t="shared" si="1"/>
        <v>772.92</v>
      </c>
      <c r="W7" s="1422" t="s">
        <v>4517</v>
      </c>
      <c r="X7" s="1422" t="s">
        <v>4516</v>
      </c>
      <c r="Y7" s="3190">
        <v>19023</v>
      </c>
      <c r="Z7" s="3190">
        <v>1470</v>
      </c>
    </row>
    <row r="8" spans="1:26">
      <c r="A8" s="2807">
        <v>6</v>
      </c>
      <c r="B8" s="2807" t="s">
        <v>4243</v>
      </c>
      <c r="C8" s="2807">
        <v>772.92</v>
      </c>
      <c r="F8" s="1414" t="s">
        <v>4505</v>
      </c>
      <c r="G8" s="2807">
        <f>'5号楼'!C3</f>
        <v>56346.27</v>
      </c>
      <c r="I8" s="2807">
        <f>'5号楼'!F10</f>
        <v>39819.02000000012</v>
      </c>
      <c r="J8" s="1414" t="s">
        <v>4496</v>
      </c>
      <c r="K8" s="2807">
        <v>2023</v>
      </c>
      <c r="L8" s="2807">
        <f t="shared" si="2"/>
        <v>0.98</v>
      </c>
      <c r="M8" s="2807">
        <f>(G8+I8)*L8</f>
        <v>94241.984200000123</v>
      </c>
      <c r="P8" s="3190">
        <f t="shared" si="0"/>
        <v>7</v>
      </c>
      <c r="Q8" s="3190" t="s">
        <v>4514</v>
      </c>
      <c r="R8" s="3190" t="s">
        <v>4497</v>
      </c>
      <c r="S8" s="3190">
        <v>801</v>
      </c>
      <c r="T8" s="3190">
        <v>37</v>
      </c>
      <c r="U8" s="3190">
        <v>8</v>
      </c>
      <c r="V8" s="3190">
        <f t="shared" si="1"/>
        <v>780.05</v>
      </c>
      <c r="W8" s="1422" t="s">
        <v>4517</v>
      </c>
      <c r="X8" s="1422" t="s">
        <v>4516</v>
      </c>
      <c r="Y8" s="3190">
        <v>19023</v>
      </c>
      <c r="Z8" s="3190">
        <v>1484</v>
      </c>
    </row>
    <row r="9" spans="1:26">
      <c r="A9" s="2807">
        <v>7</v>
      </c>
      <c r="B9" s="2807" t="s">
        <v>4244</v>
      </c>
      <c r="C9" s="2807">
        <v>780.05</v>
      </c>
      <c r="F9" s="1414" t="s">
        <v>4157</v>
      </c>
      <c r="G9" s="2807">
        <f>SUM(G4:G8)</f>
        <v>56346.27</v>
      </c>
      <c r="H9" s="2807">
        <f t="shared" ref="H9:I9" si="4">SUM(H4:H8)</f>
        <v>136535.16999999995</v>
      </c>
      <c r="I9" s="2807">
        <f t="shared" si="4"/>
        <v>39819.02000000012</v>
      </c>
      <c r="P9" s="3190">
        <f t="shared" si="0"/>
        <v>8</v>
      </c>
      <c r="Q9" s="3190" t="s">
        <v>4514</v>
      </c>
      <c r="R9" s="3190" t="s">
        <v>4497</v>
      </c>
      <c r="S9" s="3190">
        <v>802</v>
      </c>
      <c r="T9" s="3190">
        <v>37</v>
      </c>
      <c r="U9" s="3190">
        <v>8</v>
      </c>
      <c r="V9" s="3190">
        <f t="shared" si="1"/>
        <v>772.92</v>
      </c>
      <c r="W9" s="1422" t="s">
        <v>4517</v>
      </c>
      <c r="X9" s="1422" t="s">
        <v>4516</v>
      </c>
      <c r="Y9" s="3190">
        <v>19023</v>
      </c>
      <c r="Z9" s="3190">
        <v>1470</v>
      </c>
    </row>
    <row r="10" spans="1:26">
      <c r="A10" s="2807">
        <v>8</v>
      </c>
      <c r="B10" s="2807" t="s">
        <v>4245</v>
      </c>
      <c r="C10" s="2807">
        <v>772.92</v>
      </c>
      <c r="F10" s="1414" t="s">
        <v>4148</v>
      </c>
      <c r="G10" s="2807">
        <f>G9+H9+I9</f>
        <v>232700.46000000008</v>
      </c>
      <c r="P10" s="3190">
        <f t="shared" si="0"/>
        <v>9</v>
      </c>
      <c r="Q10" s="3190" t="s">
        <v>4514</v>
      </c>
      <c r="R10" s="3190" t="s">
        <v>4497</v>
      </c>
      <c r="S10" s="3190">
        <v>901</v>
      </c>
      <c r="T10" s="3190">
        <v>37</v>
      </c>
      <c r="U10" s="3190">
        <v>9</v>
      </c>
      <c r="V10" s="3190">
        <f t="shared" si="1"/>
        <v>780.05</v>
      </c>
      <c r="W10" s="1422" t="s">
        <v>4517</v>
      </c>
      <c r="X10" s="1422" t="s">
        <v>4516</v>
      </c>
      <c r="Y10" s="3190">
        <v>19023</v>
      </c>
      <c r="Z10" s="3190">
        <v>1484</v>
      </c>
    </row>
    <row r="11" spans="1:26">
      <c r="A11" s="2807">
        <v>9</v>
      </c>
      <c r="B11" s="2807" t="s">
        <v>4246</v>
      </c>
      <c r="C11" s="2807">
        <v>780.05</v>
      </c>
      <c r="P11" s="3190">
        <f t="shared" si="0"/>
        <v>10</v>
      </c>
      <c r="Q11" s="3190" t="s">
        <v>4514</v>
      </c>
      <c r="R11" s="3190" t="s">
        <v>4497</v>
      </c>
      <c r="S11" s="3190">
        <v>902</v>
      </c>
      <c r="T11" s="3190">
        <v>37</v>
      </c>
      <c r="U11" s="3190">
        <v>9</v>
      </c>
      <c r="V11" s="3190">
        <f t="shared" si="1"/>
        <v>772.92</v>
      </c>
      <c r="W11" s="1422" t="s">
        <v>4517</v>
      </c>
      <c r="X11" s="1422" t="s">
        <v>4516</v>
      </c>
      <c r="Y11" s="3190">
        <v>19023</v>
      </c>
      <c r="Z11" s="3190">
        <v>1470</v>
      </c>
    </row>
    <row r="12" spans="1:26">
      <c r="A12" s="2807">
        <v>10</v>
      </c>
      <c r="B12" s="2807" t="s">
        <v>4247</v>
      </c>
      <c r="C12" s="2807">
        <v>772.92</v>
      </c>
      <c r="F12" s="1414" t="s">
        <v>4149</v>
      </c>
      <c r="G12" s="2807">
        <f>C3</f>
        <v>754.84</v>
      </c>
      <c r="P12" s="3190">
        <f t="shared" si="0"/>
        <v>11</v>
      </c>
      <c r="Q12" s="3190" t="s">
        <v>4514</v>
      </c>
      <c r="R12" s="3190" t="s">
        <v>4497</v>
      </c>
      <c r="S12" s="3190" t="str">
        <f t="shared" ref="S12:S55" si="5">RIGHT(B13,4)</f>
        <v>1001</v>
      </c>
      <c r="T12" s="3190">
        <v>37</v>
      </c>
      <c r="U12" s="3190">
        <v>10</v>
      </c>
      <c r="V12" s="3190">
        <f t="shared" si="1"/>
        <v>780.05</v>
      </c>
      <c r="W12" s="1422" t="s">
        <v>4517</v>
      </c>
      <c r="X12" s="1422" t="s">
        <v>4516</v>
      </c>
      <c r="Y12" s="3190">
        <v>19023</v>
      </c>
      <c r="Z12" s="3190">
        <v>1484</v>
      </c>
    </row>
    <row r="13" spans="1:26">
      <c r="A13" s="2807">
        <v>11</v>
      </c>
      <c r="B13" s="2807" t="s">
        <v>4248</v>
      </c>
      <c r="C13" s="2807">
        <v>780.05</v>
      </c>
      <c r="F13" s="1414" t="s">
        <v>4150</v>
      </c>
      <c r="G13" s="2807">
        <f>'5号楼'!C4</f>
        <v>52.93</v>
      </c>
      <c r="P13" s="3190">
        <f t="shared" si="0"/>
        <v>12</v>
      </c>
      <c r="Q13" s="3190" t="s">
        <v>4514</v>
      </c>
      <c r="R13" s="3190" t="s">
        <v>4497</v>
      </c>
      <c r="S13" s="3190" t="str">
        <f t="shared" si="5"/>
        <v>1002</v>
      </c>
      <c r="T13" s="3190">
        <v>37</v>
      </c>
      <c r="U13" s="3190">
        <v>10</v>
      </c>
      <c r="V13" s="3190">
        <f t="shared" si="1"/>
        <v>772.92</v>
      </c>
      <c r="W13" s="1422" t="s">
        <v>4517</v>
      </c>
      <c r="X13" s="1422" t="s">
        <v>4516</v>
      </c>
      <c r="Y13" s="3190">
        <v>19023</v>
      </c>
      <c r="Z13" s="3190">
        <v>1470</v>
      </c>
    </row>
    <row r="14" spans="1:26">
      <c r="A14" s="2807">
        <v>12</v>
      </c>
      <c r="B14" s="2807" t="s">
        <v>4249</v>
      </c>
      <c r="C14" s="2807">
        <v>772.92</v>
      </c>
      <c r="P14" s="3190">
        <f t="shared" si="0"/>
        <v>13</v>
      </c>
      <c r="Q14" s="3190" t="s">
        <v>4514</v>
      </c>
      <c r="R14" s="3190" t="s">
        <v>4497</v>
      </c>
      <c r="S14" s="3190" t="str">
        <f t="shared" si="5"/>
        <v>1201</v>
      </c>
      <c r="T14" s="3190">
        <v>37</v>
      </c>
      <c r="U14" s="3190">
        <v>12</v>
      </c>
      <c r="V14" s="3190">
        <f t="shared" si="1"/>
        <v>780.05</v>
      </c>
      <c r="W14" s="1422" t="s">
        <v>4517</v>
      </c>
      <c r="X14" s="1422" t="s">
        <v>4516</v>
      </c>
      <c r="Y14" s="3190">
        <v>19974</v>
      </c>
      <c r="Z14" s="3190">
        <v>1558</v>
      </c>
    </row>
    <row r="15" spans="1:26">
      <c r="A15" s="2807">
        <v>13</v>
      </c>
      <c r="B15" s="2807" t="s">
        <v>4250</v>
      </c>
      <c r="C15" s="2807">
        <v>780.05</v>
      </c>
      <c r="P15" s="3190">
        <f t="shared" si="0"/>
        <v>14</v>
      </c>
      <c r="Q15" s="3190" t="s">
        <v>4514</v>
      </c>
      <c r="R15" s="3190" t="s">
        <v>4497</v>
      </c>
      <c r="S15" s="3190" t="str">
        <f t="shared" si="5"/>
        <v>1202</v>
      </c>
      <c r="T15" s="3190">
        <v>37</v>
      </c>
      <c r="U15" s="3190">
        <v>12</v>
      </c>
      <c r="V15" s="3190">
        <f t="shared" si="1"/>
        <v>772.92</v>
      </c>
      <c r="W15" s="1422" t="s">
        <v>4517</v>
      </c>
      <c r="X15" s="1422" t="s">
        <v>4516</v>
      </c>
      <c r="Y15" s="3190">
        <v>19974</v>
      </c>
      <c r="Z15" s="3190">
        <v>1544</v>
      </c>
    </row>
    <row r="16" spans="1:26">
      <c r="A16" s="2807">
        <v>14</v>
      </c>
      <c r="B16" s="2807" t="s">
        <v>4251</v>
      </c>
      <c r="C16" s="2807">
        <v>772.92</v>
      </c>
      <c r="F16" s="1422" t="s">
        <v>4552</v>
      </c>
      <c r="G16" s="1422" t="s">
        <v>4549</v>
      </c>
      <c r="H16" s="1422" t="s">
        <v>4551</v>
      </c>
      <c r="I16" s="1422" t="s">
        <v>4548</v>
      </c>
      <c r="J16" s="1422" t="s">
        <v>4550</v>
      </c>
      <c r="K16" s="1422" t="s">
        <v>4558</v>
      </c>
      <c r="L16" s="1422" t="s">
        <v>4561</v>
      </c>
      <c r="P16" s="3190">
        <f t="shared" si="0"/>
        <v>15</v>
      </c>
      <c r="Q16" s="3190" t="s">
        <v>4514</v>
      </c>
      <c r="R16" s="3190" t="s">
        <v>4497</v>
      </c>
      <c r="S16" s="3190" t="str">
        <f t="shared" si="5"/>
        <v>1301</v>
      </c>
      <c r="T16" s="3190">
        <v>37</v>
      </c>
      <c r="U16" s="3190">
        <v>13</v>
      </c>
      <c r="V16" s="3190">
        <f t="shared" si="1"/>
        <v>780.05</v>
      </c>
      <c r="W16" s="1422" t="s">
        <v>4517</v>
      </c>
      <c r="X16" s="1422" t="s">
        <v>4516</v>
      </c>
      <c r="Y16" s="3190">
        <v>19974</v>
      </c>
      <c r="Z16" s="3190">
        <v>1558</v>
      </c>
    </row>
    <row r="17" spans="1:26">
      <c r="A17" s="2807">
        <v>15</v>
      </c>
      <c r="B17" s="2807" t="s">
        <v>4252</v>
      </c>
      <c r="C17" s="2807">
        <v>780.05</v>
      </c>
      <c r="F17" s="3190">
        <v>1</v>
      </c>
      <c r="G17" s="1422" t="s">
        <v>4516</v>
      </c>
      <c r="H17" s="3190">
        <v>54</v>
      </c>
      <c r="I17" s="3190">
        <f>H4</f>
        <v>42171.11</v>
      </c>
      <c r="J17" s="1422" t="s">
        <v>4554</v>
      </c>
      <c r="K17" s="1422" t="s">
        <v>4559</v>
      </c>
      <c r="L17" s="1422" t="s">
        <v>4562</v>
      </c>
      <c r="P17" s="3190">
        <f t="shared" si="0"/>
        <v>16</v>
      </c>
      <c r="Q17" s="3190" t="s">
        <v>4514</v>
      </c>
      <c r="R17" s="3190" t="s">
        <v>4497</v>
      </c>
      <c r="S17" s="3190" t="str">
        <f t="shared" si="5"/>
        <v>1302</v>
      </c>
      <c r="T17" s="3190">
        <v>37</v>
      </c>
      <c r="U17" s="3190">
        <v>13</v>
      </c>
      <c r="V17" s="3190">
        <f t="shared" si="1"/>
        <v>772.92</v>
      </c>
      <c r="W17" s="1422" t="s">
        <v>4517</v>
      </c>
      <c r="X17" s="1422" t="s">
        <v>4516</v>
      </c>
      <c r="Y17" s="3190">
        <v>19974</v>
      </c>
      <c r="Z17" s="3190">
        <v>1544</v>
      </c>
    </row>
    <row r="18" spans="1:26">
      <c r="A18" s="2807">
        <v>16</v>
      </c>
      <c r="B18" s="2807" t="s">
        <v>4253</v>
      </c>
      <c r="C18" s="2807">
        <v>772.92</v>
      </c>
      <c r="F18" s="3190">
        <v>2</v>
      </c>
      <c r="G18" s="1422" t="s">
        <v>4516</v>
      </c>
      <c r="H18" s="3190">
        <v>34</v>
      </c>
      <c r="I18" s="3190">
        <f>H5</f>
        <v>25524.139999999989</v>
      </c>
      <c r="J18" s="3191" t="s">
        <v>4555</v>
      </c>
      <c r="K18" s="1422" t="s">
        <v>4559</v>
      </c>
      <c r="L18" s="1422" t="s">
        <v>4562</v>
      </c>
      <c r="P18" s="3190">
        <f t="shared" si="0"/>
        <v>17</v>
      </c>
      <c r="Q18" s="3190" t="s">
        <v>4514</v>
      </c>
      <c r="R18" s="3190" t="s">
        <v>4497</v>
      </c>
      <c r="S18" s="3190" t="str">
        <f t="shared" si="5"/>
        <v>1401</v>
      </c>
      <c r="T18" s="3190">
        <v>37</v>
      </c>
      <c r="U18" s="3190">
        <v>14</v>
      </c>
      <c r="V18" s="3190">
        <f t="shared" si="1"/>
        <v>780.05</v>
      </c>
      <c r="W18" s="1422" t="s">
        <v>4517</v>
      </c>
      <c r="X18" s="1422" t="s">
        <v>4516</v>
      </c>
      <c r="Y18" s="3190">
        <v>19974</v>
      </c>
      <c r="Z18" s="3190">
        <v>1558</v>
      </c>
    </row>
    <row r="19" spans="1:26">
      <c r="A19" s="2807">
        <v>17</v>
      </c>
      <c r="B19" s="2807" t="s">
        <v>4254</v>
      </c>
      <c r="C19" s="2807">
        <v>780.05</v>
      </c>
      <c r="F19" s="3190">
        <v>3</v>
      </c>
      <c r="G19" s="1422" t="s">
        <v>4516</v>
      </c>
      <c r="H19" s="3190">
        <v>34</v>
      </c>
      <c r="I19" s="3190">
        <f>H6</f>
        <v>25425.37</v>
      </c>
      <c r="J19" s="3191" t="s">
        <v>4555</v>
      </c>
      <c r="K19" s="1422" t="s">
        <v>4559</v>
      </c>
      <c r="L19" s="1422" t="s">
        <v>4562</v>
      </c>
      <c r="P19" s="3190">
        <f t="shared" si="0"/>
        <v>18</v>
      </c>
      <c r="Q19" s="3190" t="s">
        <v>4514</v>
      </c>
      <c r="R19" s="3190" t="s">
        <v>4497</v>
      </c>
      <c r="S19" s="3190" t="str">
        <f t="shared" si="5"/>
        <v>1402</v>
      </c>
      <c r="T19" s="3190">
        <v>37</v>
      </c>
      <c r="U19" s="3190">
        <v>14</v>
      </c>
      <c r="V19" s="3190">
        <f t="shared" si="1"/>
        <v>772.92</v>
      </c>
      <c r="W19" s="1422" t="s">
        <v>4517</v>
      </c>
      <c r="X19" s="1422" t="s">
        <v>4516</v>
      </c>
      <c r="Y19" s="3190">
        <v>19974</v>
      </c>
      <c r="Z19" s="3190">
        <v>1544</v>
      </c>
    </row>
    <row r="20" spans="1:26">
      <c r="A20" s="2807">
        <v>18</v>
      </c>
      <c r="B20" s="2807" t="s">
        <v>4255</v>
      </c>
      <c r="C20" s="2807">
        <v>772.92</v>
      </c>
      <c r="F20" s="3190">
        <v>4</v>
      </c>
      <c r="G20" s="1422" t="s">
        <v>4516</v>
      </c>
      <c r="H20" s="3190">
        <v>54</v>
      </c>
      <c r="I20" s="3190">
        <f>H7</f>
        <v>43414.549999999974</v>
      </c>
      <c r="J20" s="1422" t="s">
        <v>4554</v>
      </c>
      <c r="K20" s="1422" t="s">
        <v>4559</v>
      </c>
      <c r="L20" s="1422" t="s">
        <v>4562</v>
      </c>
      <c r="P20" s="3190">
        <f t="shared" si="0"/>
        <v>19</v>
      </c>
      <c r="Q20" s="3190" t="s">
        <v>4514</v>
      </c>
      <c r="R20" s="3190" t="s">
        <v>4497</v>
      </c>
      <c r="S20" s="3190" t="str">
        <f t="shared" si="5"/>
        <v>1501</v>
      </c>
      <c r="T20" s="3190">
        <v>37</v>
      </c>
      <c r="U20" s="3190">
        <v>15</v>
      </c>
      <c r="V20" s="3190">
        <f t="shared" si="1"/>
        <v>780.05</v>
      </c>
      <c r="W20" s="1422" t="s">
        <v>4517</v>
      </c>
      <c r="X20" s="1422" t="s">
        <v>4516</v>
      </c>
      <c r="Y20" s="3190">
        <v>19974</v>
      </c>
      <c r="Z20" s="3190">
        <v>1558</v>
      </c>
    </row>
    <row r="21" spans="1:26">
      <c r="A21" s="2807">
        <v>19</v>
      </c>
      <c r="B21" s="2807" t="s">
        <v>4256</v>
      </c>
      <c r="C21" s="2807">
        <v>780.05</v>
      </c>
      <c r="F21" s="3190">
        <v>5</v>
      </c>
      <c r="G21" s="1422" t="s">
        <v>4546</v>
      </c>
      <c r="H21" s="3190">
        <v>1</v>
      </c>
      <c r="I21" s="3190">
        <f>G8</f>
        <v>56346.27</v>
      </c>
      <c r="J21" s="3192" t="s">
        <v>4556</v>
      </c>
      <c r="K21" s="1422" t="s">
        <v>4559</v>
      </c>
      <c r="L21" s="1422" t="s">
        <v>4562</v>
      </c>
      <c r="P21" s="3190">
        <f t="shared" si="0"/>
        <v>20</v>
      </c>
      <c r="Q21" s="3190" t="s">
        <v>4514</v>
      </c>
      <c r="R21" s="3190" t="s">
        <v>4497</v>
      </c>
      <c r="S21" s="3190" t="str">
        <f t="shared" si="5"/>
        <v>1502</v>
      </c>
      <c r="T21" s="3190">
        <v>37</v>
      </c>
      <c r="U21" s="3190">
        <v>15</v>
      </c>
      <c r="V21" s="3190">
        <f t="shared" si="1"/>
        <v>772.92</v>
      </c>
      <c r="W21" s="1422" t="s">
        <v>4517</v>
      </c>
      <c r="X21" s="1422" t="s">
        <v>4516</v>
      </c>
      <c r="Y21" s="3190">
        <v>19974</v>
      </c>
      <c r="Z21" s="3190">
        <v>1544</v>
      </c>
    </row>
    <row r="22" spans="1:26">
      <c r="A22" s="2807">
        <v>20</v>
      </c>
      <c r="B22" s="2807" t="s">
        <v>4257</v>
      </c>
      <c r="C22" s="2807">
        <v>772.92</v>
      </c>
      <c r="F22" s="3190"/>
      <c r="G22" s="1422" t="s">
        <v>4553</v>
      </c>
      <c r="H22" s="3190">
        <v>749</v>
      </c>
      <c r="I22" s="3190">
        <f>I8</f>
        <v>39819.02000000012</v>
      </c>
      <c r="J22" s="1422" t="s">
        <v>4557</v>
      </c>
      <c r="K22" s="1422" t="s">
        <v>4560</v>
      </c>
      <c r="L22" s="1422" t="s">
        <v>4562</v>
      </c>
      <c r="P22" s="3190">
        <f t="shared" si="0"/>
        <v>21</v>
      </c>
      <c r="Q22" s="3190" t="s">
        <v>4514</v>
      </c>
      <c r="R22" s="3190" t="s">
        <v>4497</v>
      </c>
      <c r="S22" s="3190" t="str">
        <f t="shared" si="5"/>
        <v>1601</v>
      </c>
      <c r="T22" s="3190">
        <v>37</v>
      </c>
      <c r="U22" s="3190">
        <v>16</v>
      </c>
      <c r="V22" s="3190">
        <f t="shared" si="1"/>
        <v>780.05</v>
      </c>
      <c r="W22" s="1422" t="s">
        <v>4517</v>
      </c>
      <c r="X22" s="1422" t="s">
        <v>4516</v>
      </c>
      <c r="Y22" s="3190">
        <v>19974</v>
      </c>
      <c r="Z22" s="3190">
        <v>1558</v>
      </c>
    </row>
    <row r="23" spans="1:26">
      <c r="A23" s="2807">
        <v>21</v>
      </c>
      <c r="B23" s="2807" t="s">
        <v>4258</v>
      </c>
      <c r="C23" s="2807">
        <v>780.05</v>
      </c>
      <c r="F23" s="3190"/>
      <c r="G23" s="3190"/>
      <c r="H23" s="3190">
        <f>SUM(H17:H22)</f>
        <v>926</v>
      </c>
      <c r="I23" s="3190">
        <f>SUM(I17:I22)</f>
        <v>232700.46000000008</v>
      </c>
      <c r="J23" s="3190"/>
      <c r="K23" s="3190"/>
      <c r="L23" s="3190"/>
      <c r="P23" s="3190">
        <f t="shared" si="0"/>
        <v>22</v>
      </c>
      <c r="Q23" s="3190" t="s">
        <v>4514</v>
      </c>
      <c r="R23" s="3190" t="s">
        <v>4497</v>
      </c>
      <c r="S23" s="3190" t="str">
        <f t="shared" si="5"/>
        <v>1602</v>
      </c>
      <c r="T23" s="3190">
        <v>37</v>
      </c>
      <c r="U23" s="3190">
        <v>16</v>
      </c>
      <c r="V23" s="3190">
        <f t="shared" si="1"/>
        <v>772.92</v>
      </c>
      <c r="W23" s="1422" t="s">
        <v>4517</v>
      </c>
      <c r="X23" s="1422" t="s">
        <v>4516</v>
      </c>
      <c r="Y23" s="3190">
        <v>19974</v>
      </c>
      <c r="Z23" s="3190">
        <v>1544</v>
      </c>
    </row>
    <row r="24" spans="1:26">
      <c r="A24" s="2807">
        <v>22</v>
      </c>
      <c r="B24" s="2807" t="s">
        <v>4259</v>
      </c>
      <c r="C24" s="2807">
        <v>772.92</v>
      </c>
      <c r="P24" s="3190">
        <f t="shared" si="0"/>
        <v>23</v>
      </c>
      <c r="Q24" s="3190" t="s">
        <v>4514</v>
      </c>
      <c r="R24" s="3190" t="s">
        <v>4497</v>
      </c>
      <c r="S24" s="3190" t="str">
        <f t="shared" si="5"/>
        <v>1701</v>
      </c>
      <c r="T24" s="3190">
        <v>37</v>
      </c>
      <c r="U24" s="3190">
        <v>17</v>
      </c>
      <c r="V24" s="3190">
        <f t="shared" si="1"/>
        <v>780.05</v>
      </c>
      <c r="W24" s="1422" t="s">
        <v>4517</v>
      </c>
      <c r="X24" s="1422" t="s">
        <v>4516</v>
      </c>
      <c r="Y24" s="3190">
        <v>19974</v>
      </c>
      <c r="Z24" s="3190">
        <v>1558</v>
      </c>
    </row>
    <row r="25" spans="1:26">
      <c r="A25" s="2807">
        <v>23</v>
      </c>
      <c r="B25" s="2807" t="s">
        <v>4260</v>
      </c>
      <c r="C25" s="2807">
        <v>780.05</v>
      </c>
      <c r="P25" s="3190">
        <f t="shared" si="0"/>
        <v>24</v>
      </c>
      <c r="Q25" s="3190" t="s">
        <v>4514</v>
      </c>
      <c r="R25" s="3190" t="s">
        <v>4497</v>
      </c>
      <c r="S25" s="3190" t="str">
        <f t="shared" si="5"/>
        <v>1702</v>
      </c>
      <c r="T25" s="3190">
        <v>37</v>
      </c>
      <c r="U25" s="3190">
        <v>17</v>
      </c>
      <c r="V25" s="3190">
        <f t="shared" si="1"/>
        <v>772.92</v>
      </c>
      <c r="W25" s="1422" t="s">
        <v>4517</v>
      </c>
      <c r="X25" s="1422" t="s">
        <v>4516</v>
      </c>
      <c r="Y25" s="3190">
        <v>19974</v>
      </c>
      <c r="Z25" s="3190">
        <v>1544</v>
      </c>
    </row>
    <row r="26" spans="1:26">
      <c r="A26" s="2807">
        <v>24</v>
      </c>
      <c r="B26" s="2807" t="s">
        <v>4261</v>
      </c>
      <c r="C26" s="2807">
        <v>772.92</v>
      </c>
      <c r="P26" s="3190">
        <f t="shared" si="0"/>
        <v>25</v>
      </c>
      <c r="Q26" s="3190" t="s">
        <v>4514</v>
      </c>
      <c r="R26" s="3190" t="s">
        <v>4497</v>
      </c>
      <c r="S26" s="3190" t="str">
        <f t="shared" si="5"/>
        <v>1801</v>
      </c>
      <c r="T26" s="3190">
        <v>37</v>
      </c>
      <c r="U26" s="3190">
        <v>18</v>
      </c>
      <c r="V26" s="3190">
        <f t="shared" si="1"/>
        <v>788.94</v>
      </c>
      <c r="W26" s="1422" t="s">
        <v>4517</v>
      </c>
      <c r="X26" s="1422" t="s">
        <v>4516</v>
      </c>
      <c r="Y26" s="3190">
        <v>19974</v>
      </c>
      <c r="Z26" s="3190">
        <v>1576</v>
      </c>
    </row>
    <row r="27" spans="1:26">
      <c r="A27" s="2807">
        <v>25</v>
      </c>
      <c r="B27" s="2807" t="s">
        <v>4262</v>
      </c>
      <c r="C27" s="2807">
        <v>788.94</v>
      </c>
      <c r="P27" s="3190">
        <f t="shared" si="0"/>
        <v>26</v>
      </c>
      <c r="Q27" s="3190" t="s">
        <v>4514</v>
      </c>
      <c r="R27" s="3190" t="s">
        <v>4497</v>
      </c>
      <c r="S27" s="3190" t="str">
        <f t="shared" si="5"/>
        <v>1802</v>
      </c>
      <c r="T27" s="3190">
        <v>37</v>
      </c>
      <c r="U27" s="3190">
        <v>18</v>
      </c>
      <c r="V27" s="3190">
        <f t="shared" si="1"/>
        <v>780.61</v>
      </c>
      <c r="W27" s="1422" t="s">
        <v>4517</v>
      </c>
      <c r="X27" s="1422" t="s">
        <v>4516</v>
      </c>
      <c r="Y27" s="3190">
        <v>19974</v>
      </c>
      <c r="Z27" s="3190">
        <v>1559</v>
      </c>
    </row>
    <row r="28" spans="1:26">
      <c r="A28" s="2807">
        <v>26</v>
      </c>
      <c r="B28" s="2807" t="s">
        <v>4263</v>
      </c>
      <c r="C28" s="2807">
        <v>780.61</v>
      </c>
      <c r="P28" s="3190">
        <f t="shared" si="0"/>
        <v>27</v>
      </c>
      <c r="Q28" s="3190" t="s">
        <v>4514</v>
      </c>
      <c r="R28" s="3190" t="s">
        <v>4497</v>
      </c>
      <c r="S28" s="3190" t="str">
        <f t="shared" si="5"/>
        <v>1901</v>
      </c>
      <c r="T28" s="3190">
        <v>37</v>
      </c>
      <c r="U28" s="3190">
        <v>19</v>
      </c>
      <c r="V28" s="3190">
        <f t="shared" si="1"/>
        <v>788.94</v>
      </c>
      <c r="W28" s="1422" t="s">
        <v>4517</v>
      </c>
      <c r="X28" s="1422" t="s">
        <v>4516</v>
      </c>
      <c r="Y28" s="3190">
        <v>19974</v>
      </c>
      <c r="Z28" s="3190">
        <v>1576</v>
      </c>
    </row>
    <row r="29" spans="1:26">
      <c r="A29" s="2807">
        <v>27</v>
      </c>
      <c r="B29" s="2807" t="s">
        <v>4264</v>
      </c>
      <c r="C29" s="2807">
        <v>788.94</v>
      </c>
      <c r="P29" s="3190">
        <f t="shared" si="0"/>
        <v>28</v>
      </c>
      <c r="Q29" s="3190" t="s">
        <v>4514</v>
      </c>
      <c r="R29" s="3190" t="s">
        <v>4497</v>
      </c>
      <c r="S29" s="3190" t="str">
        <f t="shared" si="5"/>
        <v>1902</v>
      </c>
      <c r="T29" s="3190">
        <v>37</v>
      </c>
      <c r="U29" s="3190">
        <v>19</v>
      </c>
      <c r="V29" s="3190">
        <f t="shared" si="1"/>
        <v>780.61</v>
      </c>
      <c r="W29" s="1422" t="s">
        <v>4517</v>
      </c>
      <c r="X29" s="1422" t="s">
        <v>4516</v>
      </c>
      <c r="Y29" s="3190">
        <v>19974</v>
      </c>
      <c r="Z29" s="3190">
        <v>1559</v>
      </c>
    </row>
    <row r="30" spans="1:26">
      <c r="A30" s="2807">
        <v>28</v>
      </c>
      <c r="B30" s="2807" t="s">
        <v>4265</v>
      </c>
      <c r="C30" s="2807">
        <v>780.61</v>
      </c>
      <c r="P30" s="3190">
        <f t="shared" si="0"/>
        <v>29</v>
      </c>
      <c r="Q30" s="3190" t="s">
        <v>4514</v>
      </c>
      <c r="R30" s="3190" t="s">
        <v>4497</v>
      </c>
      <c r="S30" s="3190" t="str">
        <f t="shared" si="5"/>
        <v>2001</v>
      </c>
      <c r="T30" s="3190">
        <v>37</v>
      </c>
      <c r="U30" s="3190">
        <v>20</v>
      </c>
      <c r="V30" s="3190">
        <f t="shared" si="1"/>
        <v>788.94</v>
      </c>
      <c r="W30" s="1422" t="s">
        <v>4517</v>
      </c>
      <c r="X30" s="1422" t="s">
        <v>4516</v>
      </c>
      <c r="Y30" s="3190">
        <v>19974</v>
      </c>
      <c r="Z30" s="3190">
        <v>1576</v>
      </c>
    </row>
    <row r="31" spans="1:26">
      <c r="A31" s="2807">
        <v>29</v>
      </c>
      <c r="B31" s="2807" t="s">
        <v>4266</v>
      </c>
      <c r="C31" s="2807">
        <v>788.94</v>
      </c>
      <c r="P31" s="3190">
        <f t="shared" si="0"/>
        <v>30</v>
      </c>
      <c r="Q31" s="3190" t="s">
        <v>4514</v>
      </c>
      <c r="R31" s="3190" t="s">
        <v>4497</v>
      </c>
      <c r="S31" s="3190" t="str">
        <f t="shared" si="5"/>
        <v>2002</v>
      </c>
      <c r="T31" s="3190">
        <v>37</v>
      </c>
      <c r="U31" s="3190">
        <v>20</v>
      </c>
      <c r="V31" s="3190">
        <f t="shared" si="1"/>
        <v>780.61</v>
      </c>
      <c r="W31" s="1422" t="s">
        <v>4517</v>
      </c>
      <c r="X31" s="1422" t="s">
        <v>4516</v>
      </c>
      <c r="Y31" s="3190">
        <v>19974</v>
      </c>
      <c r="Z31" s="3190">
        <v>1559</v>
      </c>
    </row>
    <row r="32" spans="1:26">
      <c r="A32" s="2807">
        <v>30</v>
      </c>
      <c r="B32" s="2807" t="s">
        <v>4267</v>
      </c>
      <c r="C32" s="2807">
        <v>780.61</v>
      </c>
      <c r="P32" s="3190">
        <f t="shared" si="0"/>
        <v>31</v>
      </c>
      <c r="Q32" s="3190" t="s">
        <v>4514</v>
      </c>
      <c r="R32" s="3190" t="s">
        <v>4497</v>
      </c>
      <c r="S32" s="3190" t="str">
        <f t="shared" si="5"/>
        <v>2101</v>
      </c>
      <c r="T32" s="3190">
        <v>37</v>
      </c>
      <c r="U32" s="3190">
        <v>21</v>
      </c>
      <c r="V32" s="3190">
        <f t="shared" si="1"/>
        <v>788.94</v>
      </c>
      <c r="W32" s="1422" t="s">
        <v>4517</v>
      </c>
      <c r="X32" s="1422" t="s">
        <v>4516</v>
      </c>
      <c r="Y32" s="3190">
        <v>19974</v>
      </c>
      <c r="Z32" s="3190">
        <v>1576</v>
      </c>
    </row>
    <row r="33" spans="1:26">
      <c r="A33" s="2807">
        <v>31</v>
      </c>
      <c r="B33" s="2807" t="s">
        <v>4268</v>
      </c>
      <c r="C33" s="2807">
        <v>788.94</v>
      </c>
      <c r="P33" s="3190">
        <f t="shared" si="0"/>
        <v>32</v>
      </c>
      <c r="Q33" s="3190" t="s">
        <v>4514</v>
      </c>
      <c r="R33" s="3190" t="s">
        <v>4497</v>
      </c>
      <c r="S33" s="3190" t="str">
        <f t="shared" si="5"/>
        <v>2102</v>
      </c>
      <c r="T33" s="3190">
        <v>37</v>
      </c>
      <c r="U33" s="3190">
        <v>21</v>
      </c>
      <c r="V33" s="3190">
        <f t="shared" si="1"/>
        <v>780.61</v>
      </c>
      <c r="W33" s="1422" t="s">
        <v>4517</v>
      </c>
      <c r="X33" s="1422" t="s">
        <v>4516</v>
      </c>
      <c r="Y33" s="3190">
        <v>19974</v>
      </c>
      <c r="Z33" s="3190">
        <v>1559</v>
      </c>
    </row>
    <row r="34" spans="1:26">
      <c r="A34" s="2807">
        <v>32</v>
      </c>
      <c r="B34" s="2807" t="s">
        <v>4269</v>
      </c>
      <c r="C34" s="2807">
        <v>780.61</v>
      </c>
      <c r="P34" s="3190">
        <f t="shared" si="0"/>
        <v>33</v>
      </c>
      <c r="Q34" s="3190" t="s">
        <v>4514</v>
      </c>
      <c r="R34" s="3190" t="s">
        <v>4497</v>
      </c>
      <c r="S34" s="3190" t="str">
        <f t="shared" si="5"/>
        <v>2201</v>
      </c>
      <c r="T34" s="3190">
        <v>37</v>
      </c>
      <c r="U34" s="3190">
        <v>22</v>
      </c>
      <c r="V34" s="3190">
        <f t="shared" si="1"/>
        <v>789.56</v>
      </c>
      <c r="W34" s="1422" t="s">
        <v>4517</v>
      </c>
      <c r="X34" s="1422" t="s">
        <v>4516</v>
      </c>
      <c r="Y34" s="3190">
        <v>19974</v>
      </c>
      <c r="Z34" s="3190">
        <v>1577</v>
      </c>
    </row>
    <row r="35" spans="1:26">
      <c r="A35" s="2807">
        <v>33</v>
      </c>
      <c r="B35" s="2807" t="s">
        <v>4270</v>
      </c>
      <c r="C35" s="2807">
        <v>789.56</v>
      </c>
      <c r="P35" s="3190">
        <f t="shared" si="0"/>
        <v>34</v>
      </c>
      <c r="Q35" s="3190" t="s">
        <v>4514</v>
      </c>
      <c r="R35" s="3190" t="s">
        <v>4497</v>
      </c>
      <c r="S35" s="3190" t="str">
        <f t="shared" si="5"/>
        <v>2202</v>
      </c>
      <c r="T35" s="3190">
        <v>37</v>
      </c>
      <c r="U35" s="3190">
        <v>22</v>
      </c>
      <c r="V35" s="3190">
        <f t="shared" si="1"/>
        <v>781.22</v>
      </c>
      <c r="W35" s="1422" t="s">
        <v>4517</v>
      </c>
      <c r="X35" s="1422" t="s">
        <v>4516</v>
      </c>
      <c r="Y35" s="3190">
        <v>19974</v>
      </c>
      <c r="Z35" s="3190">
        <v>1560</v>
      </c>
    </row>
    <row r="36" spans="1:26">
      <c r="A36" s="2807">
        <v>34</v>
      </c>
      <c r="B36" s="2807" t="s">
        <v>4271</v>
      </c>
      <c r="C36" s="2807">
        <v>781.22</v>
      </c>
      <c r="P36" s="3190">
        <f t="shared" si="0"/>
        <v>35</v>
      </c>
      <c r="Q36" s="3190" t="s">
        <v>4514</v>
      </c>
      <c r="R36" s="3190" t="s">
        <v>4497</v>
      </c>
      <c r="S36" s="3190" t="str">
        <f t="shared" si="5"/>
        <v>2401</v>
      </c>
      <c r="T36" s="3190">
        <v>37</v>
      </c>
      <c r="U36" s="3190">
        <v>24</v>
      </c>
      <c r="V36" s="3190">
        <f t="shared" si="1"/>
        <v>789.56</v>
      </c>
      <c r="W36" s="1422" t="s">
        <v>4517</v>
      </c>
      <c r="X36" s="1422" t="s">
        <v>4516</v>
      </c>
      <c r="Y36" s="3190">
        <v>20925</v>
      </c>
      <c r="Z36" s="3190">
        <v>1652</v>
      </c>
    </row>
    <row r="37" spans="1:26">
      <c r="A37" s="2807">
        <v>35</v>
      </c>
      <c r="B37" s="2807" t="s">
        <v>4272</v>
      </c>
      <c r="C37" s="2807">
        <v>789.56</v>
      </c>
      <c r="P37" s="3190">
        <f t="shared" si="0"/>
        <v>36</v>
      </c>
      <c r="Q37" s="3190" t="s">
        <v>4514</v>
      </c>
      <c r="R37" s="3190" t="s">
        <v>4497</v>
      </c>
      <c r="S37" s="3190" t="str">
        <f t="shared" si="5"/>
        <v>2402</v>
      </c>
      <c r="T37" s="3190">
        <v>37</v>
      </c>
      <c r="U37" s="3190">
        <v>24</v>
      </c>
      <c r="V37" s="3190">
        <f t="shared" si="1"/>
        <v>781.22</v>
      </c>
      <c r="W37" s="1422" t="s">
        <v>4517</v>
      </c>
      <c r="X37" s="1422" t="s">
        <v>4516</v>
      </c>
      <c r="Y37" s="3190">
        <v>20925</v>
      </c>
      <c r="Z37" s="3190">
        <v>1635</v>
      </c>
    </row>
    <row r="38" spans="1:26">
      <c r="A38" s="2807">
        <v>36</v>
      </c>
      <c r="B38" s="2807" t="s">
        <v>4273</v>
      </c>
      <c r="C38" s="2807">
        <v>781.22</v>
      </c>
      <c r="P38" s="3190">
        <f t="shared" si="0"/>
        <v>37</v>
      </c>
      <c r="Q38" s="3190" t="s">
        <v>4514</v>
      </c>
      <c r="R38" s="3190" t="s">
        <v>4497</v>
      </c>
      <c r="S38" s="3190" t="str">
        <f t="shared" si="5"/>
        <v>2501</v>
      </c>
      <c r="T38" s="3190">
        <v>37</v>
      </c>
      <c r="U38" s="3190">
        <v>25</v>
      </c>
      <c r="V38" s="3190">
        <f t="shared" si="1"/>
        <v>789.56</v>
      </c>
      <c r="W38" s="1422" t="s">
        <v>4517</v>
      </c>
      <c r="X38" s="1422" t="s">
        <v>4516</v>
      </c>
      <c r="Y38" s="3190">
        <v>20925</v>
      </c>
      <c r="Z38" s="3190">
        <v>1652</v>
      </c>
    </row>
    <row r="39" spans="1:26">
      <c r="A39" s="2807">
        <v>37</v>
      </c>
      <c r="B39" s="2807" t="s">
        <v>4274</v>
      </c>
      <c r="C39" s="2807">
        <v>789.56</v>
      </c>
      <c r="P39" s="3190">
        <f t="shared" si="0"/>
        <v>38</v>
      </c>
      <c r="Q39" s="3190" t="s">
        <v>4514</v>
      </c>
      <c r="R39" s="3190" t="s">
        <v>4497</v>
      </c>
      <c r="S39" s="3190" t="str">
        <f t="shared" si="5"/>
        <v>2502</v>
      </c>
      <c r="T39" s="3190">
        <v>37</v>
      </c>
      <c r="U39" s="3190">
        <v>25</v>
      </c>
      <c r="V39" s="3190">
        <f t="shared" si="1"/>
        <v>781.22</v>
      </c>
      <c r="W39" s="1422" t="s">
        <v>4517</v>
      </c>
      <c r="X39" s="1422" t="s">
        <v>4516</v>
      </c>
      <c r="Y39" s="3190">
        <v>20925</v>
      </c>
      <c r="Z39" s="3190">
        <v>1635</v>
      </c>
    </row>
    <row r="40" spans="1:26">
      <c r="A40" s="2807">
        <v>38</v>
      </c>
      <c r="B40" s="2807" t="s">
        <v>4275</v>
      </c>
      <c r="C40" s="2807">
        <v>781.22</v>
      </c>
      <c r="P40" s="3190">
        <f t="shared" si="0"/>
        <v>39</v>
      </c>
      <c r="Q40" s="3190" t="s">
        <v>4514</v>
      </c>
      <c r="R40" s="3190" t="s">
        <v>4497</v>
      </c>
      <c r="S40" s="3190" t="str">
        <f t="shared" si="5"/>
        <v>2601</v>
      </c>
      <c r="T40" s="3190">
        <v>37</v>
      </c>
      <c r="U40" s="3190">
        <v>26</v>
      </c>
      <c r="V40" s="3190">
        <f t="shared" si="1"/>
        <v>789.56</v>
      </c>
      <c r="W40" s="1422" t="s">
        <v>4517</v>
      </c>
      <c r="X40" s="1422" t="s">
        <v>4516</v>
      </c>
      <c r="Y40" s="3190">
        <v>20925</v>
      </c>
      <c r="Z40" s="3190">
        <v>1652</v>
      </c>
    </row>
    <row r="41" spans="1:26" ht="14.25" thickBot="1">
      <c r="A41" s="2807">
        <v>39</v>
      </c>
      <c r="B41" s="2807" t="s">
        <v>4276</v>
      </c>
      <c r="C41" s="2807">
        <v>789.56</v>
      </c>
      <c r="P41" s="3190">
        <f t="shared" si="0"/>
        <v>40</v>
      </c>
      <c r="Q41" s="3190" t="s">
        <v>4514</v>
      </c>
      <c r="R41" s="3190" t="s">
        <v>4497</v>
      </c>
      <c r="S41" s="3190" t="str">
        <f t="shared" si="5"/>
        <v>2602</v>
      </c>
      <c r="T41" s="3190">
        <v>37</v>
      </c>
      <c r="U41" s="3190">
        <v>26</v>
      </c>
      <c r="V41" s="3190">
        <f t="shared" si="1"/>
        <v>781.22</v>
      </c>
      <c r="W41" s="1422" t="s">
        <v>4517</v>
      </c>
      <c r="X41" s="1422" t="s">
        <v>4516</v>
      </c>
      <c r="Y41" s="3190">
        <v>20925</v>
      </c>
      <c r="Z41" s="3190">
        <v>1635</v>
      </c>
    </row>
    <row r="42" spans="1:26" ht="14.25" thickBot="1">
      <c r="A42" s="2807">
        <v>40</v>
      </c>
      <c r="B42" s="2807" t="s">
        <v>4277</v>
      </c>
      <c r="C42" s="2807">
        <v>781.22</v>
      </c>
      <c r="F42" s="3541" t="s">
        <v>4867</v>
      </c>
      <c r="G42" s="3541" t="s">
        <v>4512</v>
      </c>
      <c r="H42" s="3541" t="s">
        <v>4868</v>
      </c>
      <c r="I42" s="3541" t="s">
        <v>4869</v>
      </c>
      <c r="J42" s="3541" t="s">
        <v>657</v>
      </c>
      <c r="P42" s="3190">
        <f t="shared" si="0"/>
        <v>41</v>
      </c>
      <c r="Q42" s="3190" t="s">
        <v>4514</v>
      </c>
      <c r="R42" s="3190" t="s">
        <v>4497</v>
      </c>
      <c r="S42" s="3190" t="str">
        <f t="shared" si="5"/>
        <v>2701</v>
      </c>
      <c r="T42" s="3190">
        <v>37</v>
      </c>
      <c r="U42" s="3190">
        <v>27</v>
      </c>
      <c r="V42" s="3190">
        <f t="shared" si="1"/>
        <v>789.56</v>
      </c>
      <c r="W42" s="1422" t="s">
        <v>4517</v>
      </c>
      <c r="X42" s="1422" t="s">
        <v>4516</v>
      </c>
      <c r="Y42" s="3190">
        <v>20925</v>
      </c>
      <c r="Z42" s="3190">
        <v>1652</v>
      </c>
    </row>
    <row r="43" spans="1:26" ht="14.25" thickBot="1">
      <c r="A43" s="2807">
        <v>41</v>
      </c>
      <c r="B43" s="2807" t="s">
        <v>4278</v>
      </c>
      <c r="C43" s="2807">
        <v>789.56</v>
      </c>
      <c r="F43" s="3540">
        <v>42171.11</v>
      </c>
      <c r="G43" s="3542" t="s">
        <v>4565</v>
      </c>
      <c r="H43" s="3542" t="s">
        <v>21</v>
      </c>
      <c r="I43" s="3543">
        <f>ROUND(J43/F43*10000,0)</f>
        <v>20119</v>
      </c>
      <c r="J43" s="3540">
        <v>84843</v>
      </c>
      <c r="P43" s="3190">
        <f t="shared" si="0"/>
        <v>42</v>
      </c>
      <c r="Q43" s="3190" t="s">
        <v>4514</v>
      </c>
      <c r="R43" s="3190" t="s">
        <v>4497</v>
      </c>
      <c r="S43" s="3190" t="str">
        <f t="shared" si="5"/>
        <v>2702</v>
      </c>
      <c r="T43" s="3190">
        <v>37</v>
      </c>
      <c r="U43" s="3190">
        <v>27</v>
      </c>
      <c r="V43" s="3190">
        <f t="shared" si="1"/>
        <v>781.22</v>
      </c>
      <c r="W43" s="1422" t="s">
        <v>4517</v>
      </c>
      <c r="X43" s="1422" t="s">
        <v>4516</v>
      </c>
      <c r="Y43" s="3190">
        <v>20925</v>
      </c>
      <c r="Z43" s="3190">
        <v>1635</v>
      </c>
    </row>
    <row r="44" spans="1:26" ht="14.25" thickBot="1">
      <c r="A44" s="2807">
        <v>42</v>
      </c>
      <c r="B44" s="2807" t="s">
        <v>4279</v>
      </c>
      <c r="C44" s="2807">
        <v>781.22</v>
      </c>
      <c r="F44" s="3540">
        <v>25524.14</v>
      </c>
      <c r="G44" s="3542" t="s">
        <v>4565</v>
      </c>
      <c r="H44" s="3542" t="s">
        <v>21</v>
      </c>
      <c r="I44" s="3543">
        <f t="shared" ref="I44:I49" si="6">ROUND(J44/F44*10000,0)</f>
        <v>20199</v>
      </c>
      <c r="J44" s="3540">
        <v>51555</v>
      </c>
      <c r="P44" s="3190">
        <f t="shared" si="0"/>
        <v>43</v>
      </c>
      <c r="Q44" s="3190" t="s">
        <v>4514</v>
      </c>
      <c r="R44" s="3190" t="s">
        <v>4497</v>
      </c>
      <c r="S44" s="3190" t="str">
        <f t="shared" si="5"/>
        <v>2801</v>
      </c>
      <c r="T44" s="3190">
        <v>37</v>
      </c>
      <c r="U44" s="3190">
        <v>28</v>
      </c>
      <c r="V44" s="3190">
        <f t="shared" si="1"/>
        <v>789.56</v>
      </c>
      <c r="W44" s="1422" t="s">
        <v>4517</v>
      </c>
      <c r="X44" s="1422" t="s">
        <v>4516</v>
      </c>
      <c r="Y44" s="3190">
        <v>20925</v>
      </c>
      <c r="Z44" s="3190">
        <v>1652</v>
      </c>
    </row>
    <row r="45" spans="1:26" ht="14.25" thickBot="1">
      <c r="A45" s="2807">
        <v>43</v>
      </c>
      <c r="B45" s="2807" t="s">
        <v>4280</v>
      </c>
      <c r="C45" s="2807">
        <v>789.56</v>
      </c>
      <c r="F45" s="3540">
        <v>25425.37</v>
      </c>
      <c r="G45" s="3542" t="s">
        <v>4565</v>
      </c>
      <c r="H45" s="3542" t="s">
        <v>21</v>
      </c>
      <c r="I45" s="3543">
        <f t="shared" si="6"/>
        <v>20195</v>
      </c>
      <c r="J45" s="3540">
        <v>51347</v>
      </c>
      <c r="P45" s="3190">
        <f t="shared" si="0"/>
        <v>44</v>
      </c>
      <c r="Q45" s="3190" t="s">
        <v>4514</v>
      </c>
      <c r="R45" s="3190" t="s">
        <v>4497</v>
      </c>
      <c r="S45" s="3190" t="str">
        <f t="shared" si="5"/>
        <v>2802</v>
      </c>
      <c r="T45" s="3190">
        <v>37</v>
      </c>
      <c r="U45" s="3190">
        <v>28</v>
      </c>
      <c r="V45" s="3190">
        <f t="shared" si="1"/>
        <v>781.22</v>
      </c>
      <c r="W45" s="1422" t="s">
        <v>4517</v>
      </c>
      <c r="X45" s="1422" t="s">
        <v>4516</v>
      </c>
      <c r="Y45" s="3190">
        <v>20925</v>
      </c>
      <c r="Z45" s="3190">
        <v>1635</v>
      </c>
    </row>
    <row r="46" spans="1:26" ht="14.25" thickBot="1">
      <c r="A46" s="2807">
        <v>44</v>
      </c>
      <c r="B46" s="2807" t="s">
        <v>4281</v>
      </c>
      <c r="C46" s="2807">
        <v>781.22</v>
      </c>
      <c r="F46" s="3540">
        <v>43414.55</v>
      </c>
      <c r="G46" s="3542" t="s">
        <v>4565</v>
      </c>
      <c r="H46" s="3542" t="s">
        <v>21</v>
      </c>
      <c r="I46" s="3543">
        <f t="shared" si="6"/>
        <v>20119</v>
      </c>
      <c r="J46" s="3540">
        <v>87345</v>
      </c>
      <c r="P46" s="3190">
        <f t="shared" si="0"/>
        <v>45</v>
      </c>
      <c r="Q46" s="3190" t="s">
        <v>4514</v>
      </c>
      <c r="R46" s="3190" t="s">
        <v>4497</v>
      </c>
      <c r="S46" s="3190" t="str">
        <f t="shared" si="5"/>
        <v>2901</v>
      </c>
      <c r="T46" s="3190">
        <v>37</v>
      </c>
      <c r="U46" s="3190">
        <v>29</v>
      </c>
      <c r="V46" s="3190">
        <f t="shared" si="1"/>
        <v>789.56</v>
      </c>
      <c r="W46" s="1422" t="s">
        <v>4517</v>
      </c>
      <c r="X46" s="1422" t="s">
        <v>4516</v>
      </c>
      <c r="Y46" s="3190">
        <v>20925</v>
      </c>
      <c r="Z46" s="3190">
        <v>1652</v>
      </c>
    </row>
    <row r="47" spans="1:26" ht="14.25" thickBot="1">
      <c r="A47" s="2807">
        <v>45</v>
      </c>
      <c r="B47" s="2807" t="s">
        <v>4282</v>
      </c>
      <c r="C47" s="2807">
        <v>789.56</v>
      </c>
      <c r="F47" s="3540">
        <v>56346.27</v>
      </c>
      <c r="G47" s="3542" t="s">
        <v>670</v>
      </c>
      <c r="H47" s="3542" t="s">
        <v>670</v>
      </c>
      <c r="I47" s="3543">
        <f t="shared" si="6"/>
        <v>15436</v>
      </c>
      <c r="J47" s="3540">
        <v>86974</v>
      </c>
      <c r="P47" s="3190">
        <f t="shared" si="0"/>
        <v>46</v>
      </c>
      <c r="Q47" s="3190" t="s">
        <v>4514</v>
      </c>
      <c r="R47" s="3190" t="s">
        <v>4497</v>
      </c>
      <c r="S47" s="3190" t="str">
        <f t="shared" si="5"/>
        <v>2902</v>
      </c>
      <c r="T47" s="3190">
        <v>37</v>
      </c>
      <c r="U47" s="3190">
        <v>29</v>
      </c>
      <c r="V47" s="3190">
        <f t="shared" si="1"/>
        <v>781.22</v>
      </c>
      <c r="W47" s="1422" t="s">
        <v>4517</v>
      </c>
      <c r="X47" s="1422" t="s">
        <v>4516</v>
      </c>
      <c r="Y47" s="3190">
        <v>20925</v>
      </c>
      <c r="Z47" s="3190">
        <v>1635</v>
      </c>
    </row>
    <row r="48" spans="1:26" ht="14.25" thickBot="1">
      <c r="A48" s="2807">
        <v>46</v>
      </c>
      <c r="B48" s="2807" t="s">
        <v>4283</v>
      </c>
      <c r="C48" s="2807">
        <v>781.22</v>
      </c>
      <c r="F48" s="3540">
        <v>39819.019999999997</v>
      </c>
      <c r="G48" s="3542" t="s">
        <v>4870</v>
      </c>
      <c r="H48" s="3542" t="s">
        <v>4870</v>
      </c>
      <c r="I48" s="3543">
        <f t="shared" si="6"/>
        <v>3315</v>
      </c>
      <c r="J48" s="3540">
        <v>13199</v>
      </c>
      <c r="P48" s="3190">
        <f t="shared" si="0"/>
        <v>47</v>
      </c>
      <c r="Q48" s="3190" t="s">
        <v>4514</v>
      </c>
      <c r="R48" s="3190" t="s">
        <v>4497</v>
      </c>
      <c r="S48" s="3190" t="str">
        <f t="shared" si="5"/>
        <v>3001</v>
      </c>
      <c r="T48" s="3190">
        <v>37</v>
      </c>
      <c r="U48" s="3190">
        <v>30</v>
      </c>
      <c r="V48" s="3190">
        <f t="shared" si="1"/>
        <v>789.56</v>
      </c>
      <c r="W48" s="1422" t="s">
        <v>4517</v>
      </c>
      <c r="X48" s="1422" t="s">
        <v>4516</v>
      </c>
      <c r="Y48" s="3190">
        <v>20925</v>
      </c>
      <c r="Z48" s="3190">
        <v>1652</v>
      </c>
    </row>
    <row r="49" spans="1:26" ht="14.25" thickBot="1">
      <c r="A49" s="2807">
        <v>47</v>
      </c>
      <c r="B49" s="2807" t="s">
        <v>4284</v>
      </c>
      <c r="C49" s="2807">
        <v>789.56</v>
      </c>
      <c r="F49" s="3540">
        <v>232700.46</v>
      </c>
      <c r="G49" s="3540"/>
      <c r="H49" s="3540"/>
      <c r="I49" s="3543">
        <f t="shared" si="6"/>
        <v>16126</v>
      </c>
      <c r="J49" s="3540">
        <v>375263</v>
      </c>
      <c r="P49" s="3190">
        <f t="shared" si="0"/>
        <v>48</v>
      </c>
      <c r="Q49" s="3190" t="s">
        <v>4514</v>
      </c>
      <c r="R49" s="3190" t="s">
        <v>4497</v>
      </c>
      <c r="S49" s="3190" t="str">
        <f t="shared" si="5"/>
        <v>3002</v>
      </c>
      <c r="T49" s="3190">
        <v>37</v>
      </c>
      <c r="U49" s="3190">
        <v>30</v>
      </c>
      <c r="V49" s="3190">
        <f t="shared" si="1"/>
        <v>781.22</v>
      </c>
      <c r="W49" s="1422" t="s">
        <v>4517</v>
      </c>
      <c r="X49" s="1422" t="s">
        <v>4516</v>
      </c>
      <c r="Y49" s="3190">
        <v>20925</v>
      </c>
      <c r="Z49" s="3190">
        <v>1635</v>
      </c>
    </row>
    <row r="50" spans="1:26">
      <c r="A50" s="2807">
        <v>48</v>
      </c>
      <c r="B50" s="2807" t="s">
        <v>4285</v>
      </c>
      <c r="C50" s="2807">
        <v>781.22</v>
      </c>
      <c r="P50" s="3190">
        <f t="shared" si="0"/>
        <v>49</v>
      </c>
      <c r="Q50" s="3190" t="s">
        <v>4514</v>
      </c>
      <c r="R50" s="3190" t="s">
        <v>4497</v>
      </c>
      <c r="S50" s="3190" t="str">
        <f t="shared" si="5"/>
        <v>3101</v>
      </c>
      <c r="T50" s="3190">
        <v>37</v>
      </c>
      <c r="U50" s="3190">
        <v>31</v>
      </c>
      <c r="V50" s="3190">
        <f t="shared" si="1"/>
        <v>789.56</v>
      </c>
      <c r="W50" s="1422" t="s">
        <v>4517</v>
      </c>
      <c r="X50" s="1422" t="s">
        <v>4516</v>
      </c>
      <c r="Y50" s="3190">
        <v>20925</v>
      </c>
      <c r="Z50" s="3190">
        <v>1652</v>
      </c>
    </row>
    <row r="51" spans="1:26">
      <c r="A51" s="2807">
        <v>49</v>
      </c>
      <c r="B51" s="2807" t="s">
        <v>4286</v>
      </c>
      <c r="C51" s="2807">
        <v>789.56</v>
      </c>
      <c r="P51" s="3190">
        <f t="shared" si="0"/>
        <v>50</v>
      </c>
      <c r="Q51" s="3190" t="s">
        <v>4514</v>
      </c>
      <c r="R51" s="3190" t="s">
        <v>4497</v>
      </c>
      <c r="S51" s="3190" t="str">
        <f t="shared" si="5"/>
        <v>3102</v>
      </c>
      <c r="T51" s="3190">
        <v>37</v>
      </c>
      <c r="U51" s="3190">
        <v>31</v>
      </c>
      <c r="V51" s="3190">
        <f t="shared" si="1"/>
        <v>781.22</v>
      </c>
      <c r="W51" s="1422" t="s">
        <v>4517</v>
      </c>
      <c r="X51" s="1422" t="s">
        <v>4516</v>
      </c>
      <c r="Y51" s="3190">
        <v>20925</v>
      </c>
      <c r="Z51" s="3190">
        <v>1635</v>
      </c>
    </row>
    <row r="52" spans="1:26">
      <c r="A52" s="2807">
        <v>50</v>
      </c>
      <c r="B52" s="2807" t="s">
        <v>4287</v>
      </c>
      <c r="C52" s="2807">
        <v>781.22</v>
      </c>
      <c r="P52" s="3190">
        <f t="shared" si="0"/>
        <v>51</v>
      </c>
      <c r="Q52" s="3190" t="s">
        <v>4514</v>
      </c>
      <c r="R52" s="3190" t="s">
        <v>4497</v>
      </c>
      <c r="S52" s="3190" t="str">
        <f t="shared" si="5"/>
        <v>3201</v>
      </c>
      <c r="T52" s="3190">
        <v>37</v>
      </c>
      <c r="U52" s="3190">
        <v>32</v>
      </c>
      <c r="V52" s="3190">
        <f t="shared" si="1"/>
        <v>789.56</v>
      </c>
      <c r="W52" s="1422" t="s">
        <v>4517</v>
      </c>
      <c r="X52" s="1422" t="s">
        <v>4516</v>
      </c>
      <c r="Y52" s="3190">
        <v>20925</v>
      </c>
      <c r="Z52" s="3190">
        <v>1652</v>
      </c>
    </row>
    <row r="53" spans="1:26">
      <c r="A53" s="2807">
        <v>51</v>
      </c>
      <c r="B53" s="2807" t="s">
        <v>4288</v>
      </c>
      <c r="C53" s="2807">
        <v>789.56</v>
      </c>
      <c r="P53" s="3190">
        <f t="shared" si="0"/>
        <v>52</v>
      </c>
      <c r="Q53" s="3190" t="s">
        <v>4514</v>
      </c>
      <c r="R53" s="3190" t="s">
        <v>4497</v>
      </c>
      <c r="S53" s="3190" t="str">
        <f t="shared" si="5"/>
        <v>3202</v>
      </c>
      <c r="T53" s="3190">
        <v>37</v>
      </c>
      <c r="U53" s="3190">
        <v>32</v>
      </c>
      <c r="V53" s="3190">
        <f t="shared" si="1"/>
        <v>781.22</v>
      </c>
      <c r="W53" s="1422" t="s">
        <v>4517</v>
      </c>
      <c r="X53" s="1422" t="s">
        <v>4516</v>
      </c>
      <c r="Y53" s="3190">
        <v>20925</v>
      </c>
      <c r="Z53" s="3190">
        <v>1635</v>
      </c>
    </row>
    <row r="54" spans="1:26">
      <c r="A54" s="2807">
        <v>52</v>
      </c>
      <c r="B54" s="2807" t="s">
        <v>4289</v>
      </c>
      <c r="C54" s="2807">
        <v>781.22</v>
      </c>
      <c r="P54" s="3190">
        <f t="shared" si="0"/>
        <v>53</v>
      </c>
      <c r="Q54" s="3190" t="s">
        <v>4514</v>
      </c>
      <c r="R54" s="3190" t="s">
        <v>4497</v>
      </c>
      <c r="S54" s="3190" t="str">
        <f t="shared" si="5"/>
        <v>3301</v>
      </c>
      <c r="T54" s="3190">
        <v>37</v>
      </c>
      <c r="U54" s="3190">
        <v>33</v>
      </c>
      <c r="V54" s="3190">
        <f t="shared" si="1"/>
        <v>789.56</v>
      </c>
      <c r="W54" s="1422" t="s">
        <v>4517</v>
      </c>
      <c r="X54" s="1422" t="s">
        <v>4516</v>
      </c>
      <c r="Y54" s="3190">
        <v>20925</v>
      </c>
      <c r="Z54" s="3190">
        <v>1652</v>
      </c>
    </row>
    <row r="55" spans="1:26">
      <c r="A55" s="2807">
        <v>53</v>
      </c>
      <c r="B55" s="2807" t="s">
        <v>4290</v>
      </c>
      <c r="C55" s="2807">
        <v>789.56</v>
      </c>
      <c r="P55" s="3190">
        <f t="shared" si="0"/>
        <v>54</v>
      </c>
      <c r="Q55" s="3190" t="s">
        <v>4514</v>
      </c>
      <c r="R55" s="3190" t="s">
        <v>4497</v>
      </c>
      <c r="S55" s="3190" t="str">
        <f t="shared" si="5"/>
        <v>3302</v>
      </c>
      <c r="T55" s="3190">
        <v>37</v>
      </c>
      <c r="U55" s="3190">
        <v>33</v>
      </c>
      <c r="V55" s="3190">
        <f t="shared" si="1"/>
        <v>781.22</v>
      </c>
      <c r="W55" s="1422" t="s">
        <v>4517</v>
      </c>
      <c r="X55" s="1422" t="s">
        <v>4516</v>
      </c>
      <c r="Y55" s="3190">
        <v>20925</v>
      </c>
      <c r="Z55" s="3190">
        <v>1635</v>
      </c>
    </row>
    <row r="56" spans="1:26">
      <c r="A56" s="2807">
        <v>54</v>
      </c>
      <c r="B56" s="2807" t="s">
        <v>4291</v>
      </c>
      <c r="C56" s="2807">
        <v>781.22</v>
      </c>
      <c r="P56" s="1422" t="s">
        <v>4563</v>
      </c>
      <c r="Q56" s="3190"/>
      <c r="R56" s="3190"/>
      <c r="S56" s="3190"/>
      <c r="T56" s="3190"/>
      <c r="U56" s="3190"/>
      <c r="V56" s="3190">
        <f>SUM(V2:V55)</f>
        <v>42171.11</v>
      </c>
      <c r="W56" s="3190"/>
      <c r="X56" s="3190"/>
      <c r="Y56" s="3190"/>
      <c r="Z56" s="3190">
        <f t="shared" ref="W56:Z56" si="7">SUM(Z2:Z55)</f>
        <v>84843</v>
      </c>
    </row>
    <row r="57" spans="1:26">
      <c r="C57" s="2807">
        <f>SUM(C3:C56)</f>
        <v>42171.11</v>
      </c>
      <c r="P57" s="3190">
        <v>1</v>
      </c>
      <c r="Q57" s="3190" t="s">
        <v>4518</v>
      </c>
      <c r="R57" s="3190" t="s">
        <v>4499</v>
      </c>
      <c r="S57" s="3190">
        <v>501</v>
      </c>
      <c r="T57" s="3190">
        <v>25</v>
      </c>
      <c r="U57" s="3190">
        <v>5</v>
      </c>
      <c r="V57" s="3190">
        <v>728.32</v>
      </c>
      <c r="W57" s="3190" t="s">
        <v>4565</v>
      </c>
      <c r="X57" s="3190" t="s">
        <v>21</v>
      </c>
      <c r="Y57" s="3190">
        <v>19023</v>
      </c>
      <c r="Z57" s="3190">
        <v>1385</v>
      </c>
    </row>
    <row r="58" spans="1:26">
      <c r="P58" s="3190">
        <v>2</v>
      </c>
      <c r="Q58" s="3190" t="s">
        <v>4518</v>
      </c>
      <c r="R58" s="3190" t="s">
        <v>4499</v>
      </c>
      <c r="S58" s="3190">
        <v>502</v>
      </c>
      <c r="T58" s="3190">
        <v>25</v>
      </c>
      <c r="U58" s="3190">
        <v>5</v>
      </c>
      <c r="V58" s="3190">
        <v>773.1</v>
      </c>
      <c r="W58" s="3190" t="s">
        <v>4565</v>
      </c>
      <c r="X58" s="3190" t="s">
        <v>21</v>
      </c>
      <c r="Y58" s="3190">
        <v>19023</v>
      </c>
      <c r="Z58" s="3190">
        <v>1471</v>
      </c>
    </row>
    <row r="59" spans="1:26">
      <c r="P59" s="3190">
        <v>3</v>
      </c>
      <c r="Q59" s="3190" t="s">
        <v>4518</v>
      </c>
      <c r="R59" s="3190" t="s">
        <v>4499</v>
      </c>
      <c r="S59" s="3190">
        <v>601</v>
      </c>
      <c r="T59" s="3190">
        <v>25</v>
      </c>
      <c r="U59" s="3190">
        <v>6</v>
      </c>
      <c r="V59" s="3190">
        <v>728.32</v>
      </c>
      <c r="W59" s="3190" t="s">
        <v>4565</v>
      </c>
      <c r="X59" s="3190" t="s">
        <v>21</v>
      </c>
      <c r="Y59" s="3190">
        <v>19023</v>
      </c>
      <c r="Z59" s="3190">
        <v>1385</v>
      </c>
    </row>
    <row r="60" spans="1:26">
      <c r="P60" s="3190">
        <v>4</v>
      </c>
      <c r="Q60" s="3190" t="s">
        <v>4518</v>
      </c>
      <c r="R60" s="3190" t="s">
        <v>4499</v>
      </c>
      <c r="S60" s="3190">
        <v>602</v>
      </c>
      <c r="T60" s="3190">
        <v>25</v>
      </c>
      <c r="U60" s="3190">
        <v>6</v>
      </c>
      <c r="V60" s="3190">
        <v>773.1</v>
      </c>
      <c r="W60" s="3190" t="s">
        <v>4565</v>
      </c>
      <c r="X60" s="3190" t="s">
        <v>21</v>
      </c>
      <c r="Y60" s="3190">
        <v>19023</v>
      </c>
      <c r="Z60" s="3190">
        <v>1471</v>
      </c>
    </row>
    <row r="61" spans="1:26">
      <c r="P61" s="3190">
        <v>5</v>
      </c>
      <c r="Q61" s="3190" t="s">
        <v>4518</v>
      </c>
      <c r="R61" s="3190" t="s">
        <v>4499</v>
      </c>
      <c r="S61" s="3190">
        <v>701</v>
      </c>
      <c r="T61" s="3190">
        <v>25</v>
      </c>
      <c r="U61" s="3190">
        <v>7</v>
      </c>
      <c r="V61" s="3190">
        <v>728.32</v>
      </c>
      <c r="W61" s="3190" t="s">
        <v>4565</v>
      </c>
      <c r="X61" s="3190" t="s">
        <v>21</v>
      </c>
      <c r="Y61" s="3190">
        <v>19023</v>
      </c>
      <c r="Z61" s="3190">
        <v>1385</v>
      </c>
    </row>
    <row r="62" spans="1:26">
      <c r="P62" s="3190">
        <v>6</v>
      </c>
      <c r="Q62" s="3190" t="s">
        <v>4518</v>
      </c>
      <c r="R62" s="3190" t="s">
        <v>4499</v>
      </c>
      <c r="S62" s="3190">
        <v>702</v>
      </c>
      <c r="T62" s="3190">
        <v>25</v>
      </c>
      <c r="U62" s="3190">
        <v>7</v>
      </c>
      <c r="V62" s="3190">
        <v>773.1</v>
      </c>
      <c r="W62" s="3190" t="s">
        <v>4565</v>
      </c>
      <c r="X62" s="3190" t="s">
        <v>21</v>
      </c>
      <c r="Y62" s="3190">
        <v>19023</v>
      </c>
      <c r="Z62" s="3190">
        <v>1471</v>
      </c>
    </row>
    <row r="63" spans="1:26">
      <c r="P63" s="3190">
        <v>7</v>
      </c>
      <c r="Q63" s="3190" t="s">
        <v>4518</v>
      </c>
      <c r="R63" s="3190" t="s">
        <v>4499</v>
      </c>
      <c r="S63" s="3190">
        <v>801</v>
      </c>
      <c r="T63" s="3190">
        <v>25</v>
      </c>
      <c r="U63" s="3190">
        <v>8</v>
      </c>
      <c r="V63" s="3190">
        <v>728.32</v>
      </c>
      <c r="W63" s="3190" t="s">
        <v>4565</v>
      </c>
      <c r="X63" s="3190" t="s">
        <v>21</v>
      </c>
      <c r="Y63" s="3190">
        <v>19974</v>
      </c>
      <c r="Z63" s="3190">
        <v>1455</v>
      </c>
    </row>
    <row r="64" spans="1:26">
      <c r="P64" s="3190">
        <v>8</v>
      </c>
      <c r="Q64" s="3190" t="s">
        <v>4518</v>
      </c>
      <c r="R64" s="3190" t="s">
        <v>4499</v>
      </c>
      <c r="S64" s="3190">
        <v>802</v>
      </c>
      <c r="T64" s="3190">
        <v>25</v>
      </c>
      <c r="U64" s="3190">
        <v>8</v>
      </c>
      <c r="V64" s="3190">
        <v>773.1</v>
      </c>
      <c r="W64" s="3190" t="s">
        <v>4565</v>
      </c>
      <c r="X64" s="3190" t="s">
        <v>21</v>
      </c>
      <c r="Y64" s="3190">
        <v>19974</v>
      </c>
      <c r="Z64" s="3190">
        <v>1544</v>
      </c>
    </row>
    <row r="65" spans="16:26">
      <c r="P65" s="3190">
        <v>9</v>
      </c>
      <c r="Q65" s="3190" t="s">
        <v>4518</v>
      </c>
      <c r="R65" s="3190" t="s">
        <v>4499</v>
      </c>
      <c r="S65" s="3190">
        <v>901</v>
      </c>
      <c r="T65" s="3190">
        <v>25</v>
      </c>
      <c r="U65" s="3190">
        <v>9</v>
      </c>
      <c r="V65" s="3190">
        <v>728.32</v>
      </c>
      <c r="W65" s="3190" t="s">
        <v>4565</v>
      </c>
      <c r="X65" s="3190" t="s">
        <v>21</v>
      </c>
      <c r="Y65" s="3190">
        <v>19974</v>
      </c>
      <c r="Z65" s="3190">
        <v>1455</v>
      </c>
    </row>
    <row r="66" spans="16:26">
      <c r="P66" s="3190">
        <v>10</v>
      </c>
      <c r="Q66" s="3190" t="s">
        <v>4518</v>
      </c>
      <c r="R66" s="3190" t="s">
        <v>4499</v>
      </c>
      <c r="S66" s="3190">
        <v>902</v>
      </c>
      <c r="T66" s="3190">
        <v>25</v>
      </c>
      <c r="U66" s="3190">
        <v>9</v>
      </c>
      <c r="V66" s="3190">
        <v>773.1</v>
      </c>
      <c r="W66" s="3190" t="s">
        <v>4565</v>
      </c>
      <c r="X66" s="3190" t="s">
        <v>21</v>
      </c>
      <c r="Y66" s="3190">
        <v>19974</v>
      </c>
      <c r="Z66" s="3190">
        <v>1544</v>
      </c>
    </row>
    <row r="67" spans="16:26">
      <c r="P67" s="3190">
        <v>11</v>
      </c>
      <c r="Q67" s="3190" t="s">
        <v>4518</v>
      </c>
      <c r="R67" s="3190" t="s">
        <v>4499</v>
      </c>
      <c r="S67" s="3190" t="s">
        <v>4520</v>
      </c>
      <c r="T67" s="3190">
        <v>25</v>
      </c>
      <c r="U67" s="3190">
        <v>10</v>
      </c>
      <c r="V67" s="3190">
        <v>728.32</v>
      </c>
      <c r="W67" s="3190" t="s">
        <v>4565</v>
      </c>
      <c r="X67" s="3190" t="s">
        <v>21</v>
      </c>
      <c r="Y67" s="3190">
        <v>19974</v>
      </c>
      <c r="Z67" s="3190">
        <v>1455</v>
      </c>
    </row>
    <row r="68" spans="16:26">
      <c r="P68" s="3190">
        <v>12</v>
      </c>
      <c r="Q68" s="3190" t="s">
        <v>4518</v>
      </c>
      <c r="R68" s="3190" t="s">
        <v>4499</v>
      </c>
      <c r="S68" s="3190" t="s">
        <v>4521</v>
      </c>
      <c r="T68" s="3190">
        <v>25</v>
      </c>
      <c r="U68" s="3190">
        <v>10</v>
      </c>
      <c r="V68" s="3190">
        <v>773.1</v>
      </c>
      <c r="W68" s="3190" t="s">
        <v>4565</v>
      </c>
      <c r="X68" s="3190" t="s">
        <v>21</v>
      </c>
      <c r="Y68" s="3190">
        <v>19974</v>
      </c>
      <c r="Z68" s="3190">
        <v>1544</v>
      </c>
    </row>
    <row r="69" spans="16:26">
      <c r="P69" s="3190">
        <v>13</v>
      </c>
      <c r="Q69" s="3190" t="s">
        <v>4518</v>
      </c>
      <c r="R69" s="3190" t="s">
        <v>4499</v>
      </c>
      <c r="S69" s="3190" t="s">
        <v>4522</v>
      </c>
      <c r="T69" s="3190">
        <v>25</v>
      </c>
      <c r="U69" s="3190">
        <v>11</v>
      </c>
      <c r="V69" s="3190">
        <v>728.32</v>
      </c>
      <c r="W69" s="3190" t="s">
        <v>4565</v>
      </c>
      <c r="X69" s="3190" t="s">
        <v>21</v>
      </c>
      <c r="Y69" s="3190">
        <v>19974</v>
      </c>
      <c r="Z69" s="3190">
        <v>1455</v>
      </c>
    </row>
    <row r="70" spans="16:26">
      <c r="P70" s="3190">
        <v>14</v>
      </c>
      <c r="Q70" s="3190" t="s">
        <v>4518</v>
      </c>
      <c r="R70" s="3190" t="s">
        <v>4499</v>
      </c>
      <c r="S70" s="3190" t="s">
        <v>4523</v>
      </c>
      <c r="T70" s="3190">
        <v>25</v>
      </c>
      <c r="U70" s="3190">
        <v>11</v>
      </c>
      <c r="V70" s="3190">
        <v>773.1</v>
      </c>
      <c r="W70" s="3190" t="s">
        <v>4565</v>
      </c>
      <c r="X70" s="3190" t="s">
        <v>21</v>
      </c>
      <c r="Y70" s="3190">
        <v>19974</v>
      </c>
      <c r="Z70" s="3190">
        <v>1544</v>
      </c>
    </row>
    <row r="71" spans="16:26">
      <c r="P71" s="3190">
        <v>15</v>
      </c>
      <c r="Q71" s="3190" t="s">
        <v>4518</v>
      </c>
      <c r="R71" s="3190" t="s">
        <v>4499</v>
      </c>
      <c r="S71" s="3190" t="s">
        <v>4524</v>
      </c>
      <c r="T71" s="3190">
        <v>25</v>
      </c>
      <c r="U71" s="3190">
        <v>12</v>
      </c>
      <c r="V71" s="3190">
        <v>728.32</v>
      </c>
      <c r="W71" s="3190" t="s">
        <v>4565</v>
      </c>
      <c r="X71" s="3190" t="s">
        <v>21</v>
      </c>
      <c r="Y71" s="3190">
        <v>19974</v>
      </c>
      <c r="Z71" s="3190">
        <v>1455</v>
      </c>
    </row>
    <row r="72" spans="16:26">
      <c r="P72" s="3190">
        <v>16</v>
      </c>
      <c r="Q72" s="3190" t="s">
        <v>4518</v>
      </c>
      <c r="R72" s="3190" t="s">
        <v>4499</v>
      </c>
      <c r="S72" s="3190" t="s">
        <v>4525</v>
      </c>
      <c r="T72" s="3190">
        <v>25</v>
      </c>
      <c r="U72" s="3190">
        <v>12</v>
      </c>
      <c r="V72" s="3190">
        <v>773.1</v>
      </c>
      <c r="W72" s="3190" t="s">
        <v>4565</v>
      </c>
      <c r="X72" s="3190" t="s">
        <v>21</v>
      </c>
      <c r="Y72" s="3190">
        <v>19974</v>
      </c>
      <c r="Z72" s="3190">
        <v>1544</v>
      </c>
    </row>
    <row r="73" spans="16:26">
      <c r="P73" s="3190">
        <v>17</v>
      </c>
      <c r="Q73" s="3190" t="s">
        <v>4518</v>
      </c>
      <c r="R73" s="3190" t="s">
        <v>4499</v>
      </c>
      <c r="S73" s="3190" t="s">
        <v>4526</v>
      </c>
      <c r="T73" s="3190">
        <v>25</v>
      </c>
      <c r="U73" s="3190">
        <v>13</v>
      </c>
      <c r="V73" s="3190">
        <v>728.32</v>
      </c>
      <c r="W73" s="3190" t="s">
        <v>4565</v>
      </c>
      <c r="X73" s="3190" t="s">
        <v>21</v>
      </c>
      <c r="Y73" s="3190">
        <v>19974</v>
      </c>
      <c r="Z73" s="3190">
        <v>1455</v>
      </c>
    </row>
    <row r="74" spans="16:26">
      <c r="P74" s="3190">
        <v>18</v>
      </c>
      <c r="Q74" s="3190" t="s">
        <v>4518</v>
      </c>
      <c r="R74" s="3190" t="s">
        <v>4499</v>
      </c>
      <c r="S74" s="3190" t="s">
        <v>4527</v>
      </c>
      <c r="T74" s="3190">
        <v>25</v>
      </c>
      <c r="U74" s="3190">
        <v>13</v>
      </c>
      <c r="V74" s="3190">
        <v>773.1</v>
      </c>
      <c r="W74" s="3190" t="s">
        <v>4565</v>
      </c>
      <c r="X74" s="3190" t="s">
        <v>21</v>
      </c>
      <c r="Y74" s="3190">
        <v>19974</v>
      </c>
      <c r="Z74" s="3190">
        <v>1544</v>
      </c>
    </row>
    <row r="75" spans="16:26">
      <c r="P75" s="3190">
        <v>19</v>
      </c>
      <c r="Q75" s="3190" t="s">
        <v>4518</v>
      </c>
      <c r="R75" s="3190" t="s">
        <v>4499</v>
      </c>
      <c r="S75" s="3190" t="s">
        <v>4528</v>
      </c>
      <c r="T75" s="3190">
        <v>25</v>
      </c>
      <c r="U75" s="3190">
        <v>14</v>
      </c>
      <c r="V75" s="3190">
        <v>728.32</v>
      </c>
      <c r="W75" s="3190" t="s">
        <v>4565</v>
      </c>
      <c r="X75" s="3190" t="s">
        <v>21</v>
      </c>
      <c r="Y75" s="3190">
        <v>19974</v>
      </c>
      <c r="Z75" s="3190">
        <v>1455</v>
      </c>
    </row>
    <row r="76" spans="16:26">
      <c r="P76" s="3190">
        <v>20</v>
      </c>
      <c r="Q76" s="3190" t="s">
        <v>4518</v>
      </c>
      <c r="R76" s="3190" t="s">
        <v>4499</v>
      </c>
      <c r="S76" s="3190" t="s">
        <v>4529</v>
      </c>
      <c r="T76" s="3190">
        <v>25</v>
      </c>
      <c r="U76" s="3190">
        <v>14</v>
      </c>
      <c r="V76" s="3190">
        <v>773.1</v>
      </c>
      <c r="W76" s="3190" t="s">
        <v>4565</v>
      </c>
      <c r="X76" s="3190" t="s">
        <v>21</v>
      </c>
      <c r="Y76" s="3190">
        <v>19974</v>
      </c>
      <c r="Z76" s="3190">
        <v>1544</v>
      </c>
    </row>
    <row r="77" spans="16:26">
      <c r="P77" s="3190">
        <v>21</v>
      </c>
      <c r="Q77" s="3190" t="s">
        <v>4518</v>
      </c>
      <c r="R77" s="3190" t="s">
        <v>4499</v>
      </c>
      <c r="S77" s="3190" t="s">
        <v>4530</v>
      </c>
      <c r="T77" s="3190">
        <v>25</v>
      </c>
      <c r="U77" s="3190">
        <v>15</v>
      </c>
      <c r="V77" s="3190">
        <v>728.32</v>
      </c>
      <c r="W77" s="3190" t="s">
        <v>4565</v>
      </c>
      <c r="X77" s="3190" t="s">
        <v>21</v>
      </c>
      <c r="Y77" s="3190">
        <v>20925</v>
      </c>
      <c r="Z77" s="3190">
        <v>1524</v>
      </c>
    </row>
    <row r="78" spans="16:26">
      <c r="P78" s="3190">
        <v>22</v>
      </c>
      <c r="Q78" s="3190" t="s">
        <v>4518</v>
      </c>
      <c r="R78" s="3190" t="s">
        <v>4499</v>
      </c>
      <c r="S78" s="3190" t="s">
        <v>4531</v>
      </c>
      <c r="T78" s="3190">
        <v>25</v>
      </c>
      <c r="U78" s="3190">
        <v>15</v>
      </c>
      <c r="V78" s="3190">
        <v>773.1</v>
      </c>
      <c r="W78" s="3190" t="s">
        <v>4565</v>
      </c>
      <c r="X78" s="3190" t="s">
        <v>21</v>
      </c>
      <c r="Y78" s="3190">
        <v>20925</v>
      </c>
      <c r="Z78" s="3190">
        <v>1618</v>
      </c>
    </row>
    <row r="79" spans="16:26">
      <c r="P79" s="3190">
        <v>23</v>
      </c>
      <c r="Q79" s="3190" t="s">
        <v>4518</v>
      </c>
      <c r="R79" s="3190" t="s">
        <v>4499</v>
      </c>
      <c r="S79" s="3190" t="s">
        <v>4532</v>
      </c>
      <c r="T79" s="3190">
        <v>25</v>
      </c>
      <c r="U79" s="3190">
        <v>16</v>
      </c>
      <c r="V79" s="3190">
        <v>728.32</v>
      </c>
      <c r="W79" s="3190" t="s">
        <v>4565</v>
      </c>
      <c r="X79" s="3190" t="s">
        <v>21</v>
      </c>
      <c r="Y79" s="3190">
        <v>20925</v>
      </c>
      <c r="Z79" s="3190">
        <v>1524</v>
      </c>
    </row>
    <row r="80" spans="16:26">
      <c r="P80" s="3190">
        <v>24</v>
      </c>
      <c r="Q80" s="3190" t="s">
        <v>4518</v>
      </c>
      <c r="R80" s="3190" t="s">
        <v>4499</v>
      </c>
      <c r="S80" s="3190" t="s">
        <v>4533</v>
      </c>
      <c r="T80" s="3190">
        <v>25</v>
      </c>
      <c r="U80" s="3190">
        <v>16</v>
      </c>
      <c r="V80" s="3190">
        <v>773.1</v>
      </c>
      <c r="W80" s="3190" t="s">
        <v>4565</v>
      </c>
      <c r="X80" s="3190" t="s">
        <v>21</v>
      </c>
      <c r="Y80" s="3190">
        <v>20925</v>
      </c>
      <c r="Z80" s="3190">
        <v>1618</v>
      </c>
    </row>
    <row r="81" spans="16:26">
      <c r="P81" s="3190">
        <v>25</v>
      </c>
      <c r="Q81" s="3190" t="s">
        <v>4518</v>
      </c>
      <c r="R81" s="3190" t="s">
        <v>4499</v>
      </c>
      <c r="S81" s="3190" t="s">
        <v>4534</v>
      </c>
      <c r="T81" s="3190">
        <v>25</v>
      </c>
      <c r="U81" s="3190">
        <v>17</v>
      </c>
      <c r="V81" s="3190">
        <v>728.32</v>
      </c>
      <c r="W81" s="3190" t="s">
        <v>4565</v>
      </c>
      <c r="X81" s="3190" t="s">
        <v>21</v>
      </c>
      <c r="Y81" s="3190">
        <v>20925</v>
      </c>
      <c r="Z81" s="3190">
        <v>1524</v>
      </c>
    </row>
    <row r="82" spans="16:26">
      <c r="P82" s="3190">
        <v>26</v>
      </c>
      <c r="Q82" s="3190" t="s">
        <v>4518</v>
      </c>
      <c r="R82" s="3190" t="s">
        <v>4499</v>
      </c>
      <c r="S82" s="3190" t="s">
        <v>4535</v>
      </c>
      <c r="T82" s="3190">
        <v>25</v>
      </c>
      <c r="U82" s="3190">
        <v>17</v>
      </c>
      <c r="V82" s="3190">
        <v>773.1</v>
      </c>
      <c r="W82" s="3190" t="s">
        <v>4565</v>
      </c>
      <c r="X82" s="3190" t="s">
        <v>21</v>
      </c>
      <c r="Y82" s="3190">
        <v>20925</v>
      </c>
      <c r="Z82" s="3190">
        <v>1618</v>
      </c>
    </row>
    <row r="83" spans="16:26">
      <c r="P83" s="3190">
        <v>27</v>
      </c>
      <c r="Q83" s="3190" t="s">
        <v>4518</v>
      </c>
      <c r="R83" s="3190" t="s">
        <v>4499</v>
      </c>
      <c r="S83" s="3190" t="s">
        <v>4536</v>
      </c>
      <c r="T83" s="3190">
        <v>25</v>
      </c>
      <c r="U83" s="3190">
        <v>18</v>
      </c>
      <c r="V83" s="3190">
        <v>728.32</v>
      </c>
      <c r="W83" s="3190" t="s">
        <v>4565</v>
      </c>
      <c r="X83" s="3190" t="s">
        <v>21</v>
      </c>
      <c r="Y83" s="3190">
        <v>20925</v>
      </c>
      <c r="Z83" s="3190">
        <v>1524</v>
      </c>
    </row>
    <row r="84" spans="16:26">
      <c r="P84" s="3190">
        <v>28</v>
      </c>
      <c r="Q84" s="3190" t="s">
        <v>4518</v>
      </c>
      <c r="R84" s="3190" t="s">
        <v>4499</v>
      </c>
      <c r="S84" s="3190" t="s">
        <v>4537</v>
      </c>
      <c r="T84" s="3190">
        <v>25</v>
      </c>
      <c r="U84" s="3190">
        <v>18</v>
      </c>
      <c r="V84" s="3190">
        <v>773.1</v>
      </c>
      <c r="W84" s="3190" t="s">
        <v>4565</v>
      </c>
      <c r="X84" s="3190" t="s">
        <v>21</v>
      </c>
      <c r="Y84" s="3190">
        <v>20925</v>
      </c>
      <c r="Z84" s="3190">
        <v>1618</v>
      </c>
    </row>
    <row r="85" spans="16:26">
      <c r="P85" s="3190">
        <v>29</v>
      </c>
      <c r="Q85" s="3190" t="s">
        <v>4518</v>
      </c>
      <c r="R85" s="3190" t="s">
        <v>4499</v>
      </c>
      <c r="S85" s="3190" t="s">
        <v>4538</v>
      </c>
      <c r="T85" s="3190">
        <v>25</v>
      </c>
      <c r="U85" s="3190">
        <v>19</v>
      </c>
      <c r="V85" s="3190">
        <v>728.32</v>
      </c>
      <c r="W85" s="3190" t="s">
        <v>4565</v>
      </c>
      <c r="X85" s="3190" t="s">
        <v>21</v>
      </c>
      <c r="Y85" s="3190">
        <v>20925</v>
      </c>
      <c r="Z85" s="3190">
        <v>1524</v>
      </c>
    </row>
    <row r="86" spans="16:26">
      <c r="P86" s="3190">
        <v>30</v>
      </c>
      <c r="Q86" s="3190" t="s">
        <v>4518</v>
      </c>
      <c r="R86" s="3190" t="s">
        <v>4499</v>
      </c>
      <c r="S86" s="3190" t="s">
        <v>4539</v>
      </c>
      <c r="T86" s="3190">
        <v>25</v>
      </c>
      <c r="U86" s="3190">
        <v>19</v>
      </c>
      <c r="V86" s="3190">
        <v>773.1</v>
      </c>
      <c r="W86" s="3190" t="s">
        <v>4565</v>
      </c>
      <c r="X86" s="3190" t="s">
        <v>21</v>
      </c>
      <c r="Y86" s="3190">
        <v>20925</v>
      </c>
      <c r="Z86" s="3190">
        <v>1618</v>
      </c>
    </row>
    <row r="87" spans="16:26">
      <c r="P87" s="3190">
        <v>31</v>
      </c>
      <c r="Q87" s="3190" t="s">
        <v>4518</v>
      </c>
      <c r="R87" s="3190" t="s">
        <v>4499</v>
      </c>
      <c r="S87" s="3190" t="s">
        <v>4540</v>
      </c>
      <c r="T87" s="3190">
        <v>25</v>
      </c>
      <c r="U87" s="3190">
        <v>20</v>
      </c>
      <c r="V87" s="3190">
        <v>728.32</v>
      </c>
      <c r="W87" s="3190" t="s">
        <v>4565</v>
      </c>
      <c r="X87" s="3190" t="s">
        <v>21</v>
      </c>
      <c r="Y87" s="3190">
        <v>20925</v>
      </c>
      <c r="Z87" s="3190">
        <v>1524</v>
      </c>
    </row>
    <row r="88" spans="16:26">
      <c r="P88" s="3190">
        <v>32</v>
      </c>
      <c r="Q88" s="3190" t="s">
        <v>4518</v>
      </c>
      <c r="R88" s="3190" t="s">
        <v>4499</v>
      </c>
      <c r="S88" s="3190" t="s">
        <v>4541</v>
      </c>
      <c r="T88" s="3190">
        <v>25</v>
      </c>
      <c r="U88" s="3190">
        <v>20</v>
      </c>
      <c r="V88" s="3190">
        <v>773.1</v>
      </c>
      <c r="W88" s="3190" t="s">
        <v>4565</v>
      </c>
      <c r="X88" s="3190" t="s">
        <v>21</v>
      </c>
      <c r="Y88" s="3190">
        <v>20925</v>
      </c>
      <c r="Z88" s="3190">
        <v>1618</v>
      </c>
    </row>
    <row r="89" spans="16:26">
      <c r="P89" s="3190">
        <v>33</v>
      </c>
      <c r="Q89" s="3190" t="s">
        <v>4518</v>
      </c>
      <c r="R89" s="3190" t="s">
        <v>4499</v>
      </c>
      <c r="S89" s="3190" t="s">
        <v>4542</v>
      </c>
      <c r="T89" s="3190">
        <v>25</v>
      </c>
      <c r="U89" s="3190">
        <v>21</v>
      </c>
      <c r="V89" s="3190">
        <v>728.32</v>
      </c>
      <c r="W89" s="3190" t="s">
        <v>4565</v>
      </c>
      <c r="X89" s="3190" t="s">
        <v>21</v>
      </c>
      <c r="Y89" s="3190">
        <v>20925</v>
      </c>
      <c r="Z89" s="3190">
        <v>1524</v>
      </c>
    </row>
    <row r="90" spans="16:26">
      <c r="P90" s="3190">
        <v>34</v>
      </c>
      <c r="Q90" s="3190" t="s">
        <v>4518</v>
      </c>
      <c r="R90" s="3190" t="s">
        <v>4499</v>
      </c>
      <c r="S90" s="3190" t="s">
        <v>4543</v>
      </c>
      <c r="T90" s="3190">
        <v>25</v>
      </c>
      <c r="U90" s="3190">
        <v>21</v>
      </c>
      <c r="V90" s="3190">
        <v>773.1</v>
      </c>
      <c r="W90" s="3190" t="s">
        <v>4565</v>
      </c>
      <c r="X90" s="3190" t="s">
        <v>21</v>
      </c>
      <c r="Y90" s="3190">
        <v>20925</v>
      </c>
      <c r="Z90" s="3190">
        <v>1618</v>
      </c>
    </row>
    <row r="91" spans="16:26">
      <c r="P91" s="3190" t="s">
        <v>4566</v>
      </c>
      <c r="Q91" s="3190"/>
      <c r="R91" s="3190"/>
      <c r="S91" s="3190" t="s">
        <v>4567</v>
      </c>
      <c r="T91" s="3190"/>
      <c r="U91" s="3190"/>
      <c r="V91" s="3190">
        <f>SUM(V57:V90)</f>
        <v>25524.139999999989</v>
      </c>
      <c r="W91" s="3190"/>
      <c r="X91" s="3190"/>
      <c r="Y91" s="3190"/>
      <c r="Z91" s="3190">
        <f>SUM(Z57:Z90)</f>
        <v>51555</v>
      </c>
    </row>
    <row r="92" spans="16:26">
      <c r="P92" s="3190">
        <v>1</v>
      </c>
      <c r="Q92" s="3190" t="s">
        <v>4519</v>
      </c>
      <c r="R92" s="3190" t="s">
        <v>4501</v>
      </c>
      <c r="S92" s="3190">
        <v>501</v>
      </c>
      <c r="T92" s="3190">
        <v>25</v>
      </c>
      <c r="U92" s="3190">
        <v>5</v>
      </c>
      <c r="V92" s="3190">
        <v>725.98</v>
      </c>
      <c r="W92" s="3190" t="s">
        <v>4565</v>
      </c>
      <c r="X92" s="3190" t="s">
        <v>21</v>
      </c>
      <c r="Y92" s="3190">
        <v>19023</v>
      </c>
      <c r="Z92" s="3190">
        <v>1381</v>
      </c>
    </row>
    <row r="93" spans="16:26">
      <c r="P93" s="3190">
        <v>2</v>
      </c>
      <c r="Q93" s="3190" t="s">
        <v>4519</v>
      </c>
      <c r="R93" s="3190" t="s">
        <v>4501</v>
      </c>
      <c r="S93" s="3190">
        <v>502</v>
      </c>
      <c r="T93" s="3190">
        <v>25</v>
      </c>
      <c r="U93" s="3190">
        <v>5</v>
      </c>
      <c r="V93" s="3190">
        <v>769.63</v>
      </c>
      <c r="W93" s="3190" t="s">
        <v>4565</v>
      </c>
      <c r="X93" s="3190" t="s">
        <v>21</v>
      </c>
      <c r="Y93" s="3190">
        <v>19023</v>
      </c>
      <c r="Z93" s="3190">
        <v>1464</v>
      </c>
    </row>
    <row r="94" spans="16:26">
      <c r="P94" s="3190">
        <v>3</v>
      </c>
      <c r="Q94" s="3190" t="s">
        <v>4519</v>
      </c>
      <c r="R94" s="3190" t="s">
        <v>4501</v>
      </c>
      <c r="S94" s="3190">
        <v>601</v>
      </c>
      <c r="T94" s="3190">
        <v>25</v>
      </c>
      <c r="U94" s="3190">
        <v>6</v>
      </c>
      <c r="V94" s="3190">
        <v>725.98</v>
      </c>
      <c r="W94" s="3190" t="s">
        <v>4565</v>
      </c>
      <c r="X94" s="3190" t="s">
        <v>21</v>
      </c>
      <c r="Y94" s="3190">
        <v>19023</v>
      </c>
      <c r="Z94" s="3190">
        <v>1381</v>
      </c>
    </row>
    <row r="95" spans="16:26">
      <c r="P95" s="3190">
        <v>4</v>
      </c>
      <c r="Q95" s="3190" t="s">
        <v>4519</v>
      </c>
      <c r="R95" s="3190" t="s">
        <v>4501</v>
      </c>
      <c r="S95" s="3190">
        <v>602</v>
      </c>
      <c r="T95" s="3190">
        <v>25</v>
      </c>
      <c r="U95" s="3190">
        <v>6</v>
      </c>
      <c r="V95" s="3190">
        <v>769.63</v>
      </c>
      <c r="W95" s="3190" t="s">
        <v>4565</v>
      </c>
      <c r="X95" s="3190" t="s">
        <v>21</v>
      </c>
      <c r="Y95" s="3190">
        <v>19023</v>
      </c>
      <c r="Z95" s="3190">
        <v>1464</v>
      </c>
    </row>
    <row r="96" spans="16:26">
      <c r="P96" s="3190">
        <v>5</v>
      </c>
      <c r="Q96" s="3190" t="s">
        <v>4519</v>
      </c>
      <c r="R96" s="3190" t="s">
        <v>4501</v>
      </c>
      <c r="S96" s="3190">
        <v>701</v>
      </c>
      <c r="T96" s="3190">
        <v>25</v>
      </c>
      <c r="U96" s="3190">
        <v>7</v>
      </c>
      <c r="V96" s="3190">
        <v>725.98</v>
      </c>
      <c r="W96" s="3190" t="s">
        <v>4565</v>
      </c>
      <c r="X96" s="3190" t="s">
        <v>21</v>
      </c>
      <c r="Y96" s="3190">
        <v>19023</v>
      </c>
      <c r="Z96" s="3190">
        <v>1381</v>
      </c>
    </row>
    <row r="97" spans="16:26">
      <c r="P97" s="3190">
        <v>6</v>
      </c>
      <c r="Q97" s="3190" t="s">
        <v>4519</v>
      </c>
      <c r="R97" s="3190" t="s">
        <v>4501</v>
      </c>
      <c r="S97" s="3190">
        <v>702</v>
      </c>
      <c r="T97" s="3190">
        <v>25</v>
      </c>
      <c r="U97" s="3190">
        <v>7</v>
      </c>
      <c r="V97" s="3190">
        <v>769.63</v>
      </c>
      <c r="W97" s="3190" t="s">
        <v>4565</v>
      </c>
      <c r="X97" s="3190" t="s">
        <v>21</v>
      </c>
      <c r="Y97" s="3190">
        <v>19023</v>
      </c>
      <c r="Z97" s="3190">
        <v>1464</v>
      </c>
    </row>
    <row r="98" spans="16:26">
      <c r="P98" s="3190">
        <v>7</v>
      </c>
      <c r="Q98" s="3190" t="s">
        <v>4519</v>
      </c>
      <c r="R98" s="3190" t="s">
        <v>4501</v>
      </c>
      <c r="S98" s="3190">
        <v>801</v>
      </c>
      <c r="T98" s="3190">
        <v>25</v>
      </c>
      <c r="U98" s="3190">
        <v>8</v>
      </c>
      <c r="V98" s="3190">
        <v>725.98</v>
      </c>
      <c r="W98" s="3190" t="s">
        <v>4565</v>
      </c>
      <c r="X98" s="3190" t="s">
        <v>21</v>
      </c>
      <c r="Y98" s="3190">
        <v>19974</v>
      </c>
      <c r="Z98" s="3190">
        <v>1450</v>
      </c>
    </row>
    <row r="99" spans="16:26">
      <c r="P99" s="3190">
        <v>8</v>
      </c>
      <c r="Q99" s="3190" t="s">
        <v>4519</v>
      </c>
      <c r="R99" s="3190" t="s">
        <v>4501</v>
      </c>
      <c r="S99" s="3190">
        <v>802</v>
      </c>
      <c r="T99" s="3190">
        <v>25</v>
      </c>
      <c r="U99" s="3190">
        <v>8</v>
      </c>
      <c r="V99" s="3190">
        <v>769.63</v>
      </c>
      <c r="W99" s="3190" t="s">
        <v>4565</v>
      </c>
      <c r="X99" s="3190" t="s">
        <v>21</v>
      </c>
      <c r="Y99" s="3190">
        <v>19974</v>
      </c>
      <c r="Z99" s="3190">
        <v>1537</v>
      </c>
    </row>
    <row r="100" spans="16:26">
      <c r="P100" s="3190">
        <v>9</v>
      </c>
      <c r="Q100" s="3190" t="s">
        <v>4519</v>
      </c>
      <c r="R100" s="3190" t="s">
        <v>4501</v>
      </c>
      <c r="S100" s="3190">
        <v>901</v>
      </c>
      <c r="T100" s="3190">
        <v>25</v>
      </c>
      <c r="U100" s="3190">
        <v>9</v>
      </c>
      <c r="V100" s="3190">
        <v>725.98</v>
      </c>
      <c r="W100" s="3190" t="s">
        <v>4565</v>
      </c>
      <c r="X100" s="3190" t="s">
        <v>21</v>
      </c>
      <c r="Y100" s="3190">
        <v>19974</v>
      </c>
      <c r="Z100" s="3190">
        <v>1450</v>
      </c>
    </row>
    <row r="101" spans="16:26">
      <c r="P101" s="3190">
        <v>10</v>
      </c>
      <c r="Q101" s="3190" t="s">
        <v>4519</v>
      </c>
      <c r="R101" s="3190" t="s">
        <v>4501</v>
      </c>
      <c r="S101" s="3190">
        <v>902</v>
      </c>
      <c r="T101" s="3190">
        <v>25</v>
      </c>
      <c r="U101" s="3190">
        <v>9</v>
      </c>
      <c r="V101" s="3190">
        <v>769.63</v>
      </c>
      <c r="W101" s="3190" t="s">
        <v>4565</v>
      </c>
      <c r="X101" s="3190" t="s">
        <v>21</v>
      </c>
      <c r="Y101" s="3190">
        <v>19974</v>
      </c>
      <c r="Z101" s="3190">
        <v>1537</v>
      </c>
    </row>
    <row r="102" spans="16:26">
      <c r="P102" s="3190">
        <v>11</v>
      </c>
      <c r="Q102" s="3190" t="s">
        <v>4519</v>
      </c>
      <c r="R102" s="3190" t="s">
        <v>4501</v>
      </c>
      <c r="S102" s="3190" t="s">
        <v>4520</v>
      </c>
      <c r="T102" s="3190">
        <v>25</v>
      </c>
      <c r="U102" s="3190">
        <v>10</v>
      </c>
      <c r="V102" s="3190">
        <v>725.98</v>
      </c>
      <c r="W102" s="3190" t="s">
        <v>4565</v>
      </c>
      <c r="X102" s="3190" t="s">
        <v>21</v>
      </c>
      <c r="Y102" s="3190">
        <v>19974</v>
      </c>
      <c r="Z102" s="3190">
        <v>1450</v>
      </c>
    </row>
    <row r="103" spans="16:26">
      <c r="P103" s="3190">
        <v>12</v>
      </c>
      <c r="Q103" s="3190" t="s">
        <v>4519</v>
      </c>
      <c r="R103" s="3190" t="s">
        <v>4501</v>
      </c>
      <c r="S103" s="3190" t="s">
        <v>4521</v>
      </c>
      <c r="T103" s="3190">
        <v>25</v>
      </c>
      <c r="U103" s="3190">
        <v>10</v>
      </c>
      <c r="V103" s="3190">
        <v>769.63</v>
      </c>
      <c r="W103" s="3190" t="s">
        <v>4565</v>
      </c>
      <c r="X103" s="3190" t="s">
        <v>21</v>
      </c>
      <c r="Y103" s="3190">
        <v>19974</v>
      </c>
      <c r="Z103" s="3190">
        <v>1537</v>
      </c>
    </row>
    <row r="104" spans="16:26">
      <c r="P104" s="3190">
        <v>13</v>
      </c>
      <c r="Q104" s="3190" t="s">
        <v>4519</v>
      </c>
      <c r="R104" s="3190" t="s">
        <v>4501</v>
      </c>
      <c r="S104" s="3190" t="s">
        <v>4522</v>
      </c>
      <c r="T104" s="3190">
        <v>25</v>
      </c>
      <c r="U104" s="3190">
        <v>11</v>
      </c>
      <c r="V104" s="3190">
        <v>725.98</v>
      </c>
      <c r="W104" s="3190" t="s">
        <v>4565</v>
      </c>
      <c r="X104" s="3190" t="s">
        <v>21</v>
      </c>
      <c r="Y104" s="3190">
        <v>19974</v>
      </c>
      <c r="Z104" s="3190">
        <v>1450</v>
      </c>
    </row>
    <row r="105" spans="16:26">
      <c r="P105" s="3190">
        <v>14</v>
      </c>
      <c r="Q105" s="3190" t="s">
        <v>4519</v>
      </c>
      <c r="R105" s="3190" t="s">
        <v>4501</v>
      </c>
      <c r="S105" s="3190" t="s">
        <v>4523</v>
      </c>
      <c r="T105" s="3190">
        <v>25</v>
      </c>
      <c r="U105" s="3190">
        <v>11</v>
      </c>
      <c r="V105" s="3190">
        <v>769.63</v>
      </c>
      <c r="W105" s="3190" t="s">
        <v>4565</v>
      </c>
      <c r="X105" s="3190" t="s">
        <v>21</v>
      </c>
      <c r="Y105" s="3190">
        <v>19974</v>
      </c>
      <c r="Z105" s="3190">
        <v>1537</v>
      </c>
    </row>
    <row r="106" spans="16:26">
      <c r="P106" s="3190">
        <v>15</v>
      </c>
      <c r="Q106" s="3190" t="s">
        <v>4519</v>
      </c>
      <c r="R106" s="3190" t="s">
        <v>4501</v>
      </c>
      <c r="S106" s="3190" t="s">
        <v>4524</v>
      </c>
      <c r="T106" s="3190">
        <v>25</v>
      </c>
      <c r="U106" s="3190">
        <v>12</v>
      </c>
      <c r="V106" s="3190">
        <v>725.98</v>
      </c>
      <c r="W106" s="3190" t="s">
        <v>4565</v>
      </c>
      <c r="X106" s="3190" t="s">
        <v>21</v>
      </c>
      <c r="Y106" s="3190">
        <v>19974</v>
      </c>
      <c r="Z106" s="3190">
        <v>1450</v>
      </c>
    </row>
    <row r="107" spans="16:26">
      <c r="P107" s="3190">
        <v>16</v>
      </c>
      <c r="Q107" s="3190" t="s">
        <v>4519</v>
      </c>
      <c r="R107" s="3190" t="s">
        <v>4501</v>
      </c>
      <c r="S107" s="3190" t="s">
        <v>4525</v>
      </c>
      <c r="T107" s="3190">
        <v>25</v>
      </c>
      <c r="U107" s="3190">
        <v>12</v>
      </c>
      <c r="V107" s="3190">
        <v>769.63</v>
      </c>
      <c r="W107" s="3190" t="s">
        <v>4565</v>
      </c>
      <c r="X107" s="3190" t="s">
        <v>21</v>
      </c>
      <c r="Y107" s="3190">
        <v>19974</v>
      </c>
      <c r="Z107" s="3190">
        <v>1537</v>
      </c>
    </row>
    <row r="108" spans="16:26">
      <c r="P108" s="3190">
        <v>17</v>
      </c>
      <c r="Q108" s="3190" t="s">
        <v>4519</v>
      </c>
      <c r="R108" s="3190" t="s">
        <v>4501</v>
      </c>
      <c r="S108" s="3190" t="s">
        <v>4526</v>
      </c>
      <c r="T108" s="3190">
        <v>25</v>
      </c>
      <c r="U108" s="3190">
        <v>13</v>
      </c>
      <c r="V108" s="3190">
        <v>725.98</v>
      </c>
      <c r="W108" s="3190" t="s">
        <v>4565</v>
      </c>
      <c r="X108" s="3190" t="s">
        <v>21</v>
      </c>
      <c r="Y108" s="3190">
        <v>19974</v>
      </c>
      <c r="Z108" s="3190">
        <v>1450</v>
      </c>
    </row>
    <row r="109" spans="16:26">
      <c r="P109" s="3190">
        <v>18</v>
      </c>
      <c r="Q109" s="3190" t="s">
        <v>4519</v>
      </c>
      <c r="R109" s="3190" t="s">
        <v>4501</v>
      </c>
      <c r="S109" s="3190" t="s">
        <v>4527</v>
      </c>
      <c r="T109" s="3190">
        <v>25</v>
      </c>
      <c r="U109" s="3190">
        <v>13</v>
      </c>
      <c r="V109" s="3190">
        <v>769.63</v>
      </c>
      <c r="W109" s="3190" t="s">
        <v>4565</v>
      </c>
      <c r="X109" s="3190" t="s">
        <v>21</v>
      </c>
      <c r="Y109" s="3190">
        <v>19974</v>
      </c>
      <c r="Z109" s="3190">
        <v>1537</v>
      </c>
    </row>
    <row r="110" spans="16:26">
      <c r="P110" s="3190">
        <v>19</v>
      </c>
      <c r="Q110" s="3190" t="s">
        <v>4519</v>
      </c>
      <c r="R110" s="3190" t="s">
        <v>4501</v>
      </c>
      <c r="S110" s="3190" t="s">
        <v>4528</v>
      </c>
      <c r="T110" s="3190">
        <v>25</v>
      </c>
      <c r="U110" s="3190">
        <v>14</v>
      </c>
      <c r="V110" s="3190">
        <v>725.98</v>
      </c>
      <c r="W110" s="3190" t="s">
        <v>4565</v>
      </c>
      <c r="X110" s="3190" t="s">
        <v>21</v>
      </c>
      <c r="Y110" s="3190">
        <v>19974</v>
      </c>
      <c r="Z110" s="3190">
        <v>1450</v>
      </c>
    </row>
    <row r="111" spans="16:26">
      <c r="P111" s="3190">
        <v>20</v>
      </c>
      <c r="Q111" s="3190" t="s">
        <v>4519</v>
      </c>
      <c r="R111" s="3190" t="s">
        <v>4501</v>
      </c>
      <c r="S111" s="3190" t="s">
        <v>4529</v>
      </c>
      <c r="T111" s="3190">
        <v>25</v>
      </c>
      <c r="U111" s="3190">
        <v>14</v>
      </c>
      <c r="V111" s="3190">
        <v>769.63</v>
      </c>
      <c r="W111" s="3190" t="s">
        <v>4565</v>
      </c>
      <c r="X111" s="3190" t="s">
        <v>21</v>
      </c>
      <c r="Y111" s="3190">
        <v>19974</v>
      </c>
      <c r="Z111" s="3190">
        <v>1537</v>
      </c>
    </row>
    <row r="112" spans="16:26">
      <c r="P112" s="3190">
        <v>21</v>
      </c>
      <c r="Q112" s="3190" t="s">
        <v>4519</v>
      </c>
      <c r="R112" s="3190" t="s">
        <v>4501</v>
      </c>
      <c r="S112" s="3190" t="s">
        <v>4530</v>
      </c>
      <c r="T112" s="3190">
        <v>25</v>
      </c>
      <c r="U112" s="3190">
        <v>15</v>
      </c>
      <c r="V112" s="3190">
        <v>725.98</v>
      </c>
      <c r="W112" s="3190" t="s">
        <v>4565</v>
      </c>
      <c r="X112" s="3190" t="s">
        <v>21</v>
      </c>
      <c r="Y112" s="3190">
        <v>20925</v>
      </c>
      <c r="Z112" s="3190">
        <v>1519</v>
      </c>
    </row>
    <row r="113" spans="16:26">
      <c r="P113" s="3190">
        <v>22</v>
      </c>
      <c r="Q113" s="3190" t="s">
        <v>4519</v>
      </c>
      <c r="R113" s="3190" t="s">
        <v>4501</v>
      </c>
      <c r="S113" s="3190" t="s">
        <v>4531</v>
      </c>
      <c r="T113" s="3190">
        <v>25</v>
      </c>
      <c r="U113" s="3190">
        <v>15</v>
      </c>
      <c r="V113" s="3190">
        <v>769.63</v>
      </c>
      <c r="W113" s="3190" t="s">
        <v>4565</v>
      </c>
      <c r="X113" s="3190" t="s">
        <v>21</v>
      </c>
      <c r="Y113" s="3190">
        <v>20925</v>
      </c>
      <c r="Z113" s="3190">
        <v>1610</v>
      </c>
    </row>
    <row r="114" spans="16:26">
      <c r="P114" s="3190">
        <v>23</v>
      </c>
      <c r="Q114" s="3190" t="s">
        <v>4519</v>
      </c>
      <c r="R114" s="3190" t="s">
        <v>4501</v>
      </c>
      <c r="S114" s="3190" t="s">
        <v>4532</v>
      </c>
      <c r="T114" s="3190">
        <v>25</v>
      </c>
      <c r="U114" s="3190">
        <v>16</v>
      </c>
      <c r="V114" s="3190">
        <v>725.98</v>
      </c>
      <c r="W114" s="3190" t="s">
        <v>4565</v>
      </c>
      <c r="X114" s="3190" t="s">
        <v>21</v>
      </c>
      <c r="Y114" s="3190">
        <v>20925</v>
      </c>
      <c r="Z114" s="3190">
        <v>1519</v>
      </c>
    </row>
    <row r="115" spans="16:26">
      <c r="P115" s="3190">
        <v>24</v>
      </c>
      <c r="Q115" s="3190" t="s">
        <v>4519</v>
      </c>
      <c r="R115" s="3190" t="s">
        <v>4501</v>
      </c>
      <c r="S115" s="3190" t="s">
        <v>4533</v>
      </c>
      <c r="T115" s="3190">
        <v>25</v>
      </c>
      <c r="U115" s="3190">
        <v>16</v>
      </c>
      <c r="V115" s="3190">
        <v>769.63</v>
      </c>
      <c r="W115" s="3190" t="s">
        <v>4565</v>
      </c>
      <c r="X115" s="3190" t="s">
        <v>21</v>
      </c>
      <c r="Y115" s="3190">
        <v>20925</v>
      </c>
      <c r="Z115" s="3190">
        <v>1610</v>
      </c>
    </row>
    <row r="116" spans="16:26">
      <c r="P116" s="3190">
        <v>25</v>
      </c>
      <c r="Q116" s="3190" t="s">
        <v>4519</v>
      </c>
      <c r="R116" s="3190" t="s">
        <v>4501</v>
      </c>
      <c r="S116" s="3190" t="s">
        <v>4534</v>
      </c>
      <c r="T116" s="3190">
        <v>25</v>
      </c>
      <c r="U116" s="3190">
        <v>17</v>
      </c>
      <c r="V116" s="3190">
        <v>725.98</v>
      </c>
      <c r="W116" s="3190" t="s">
        <v>4565</v>
      </c>
      <c r="X116" s="3190" t="s">
        <v>21</v>
      </c>
      <c r="Y116" s="3190">
        <v>20925</v>
      </c>
      <c r="Z116" s="3190">
        <v>1519</v>
      </c>
    </row>
    <row r="117" spans="16:26">
      <c r="P117" s="3190">
        <v>26</v>
      </c>
      <c r="Q117" s="3190" t="s">
        <v>4519</v>
      </c>
      <c r="R117" s="3190" t="s">
        <v>4501</v>
      </c>
      <c r="S117" s="3190" t="s">
        <v>4535</v>
      </c>
      <c r="T117" s="3190">
        <v>25</v>
      </c>
      <c r="U117" s="3190">
        <v>17</v>
      </c>
      <c r="V117" s="3190">
        <v>769.63</v>
      </c>
      <c r="W117" s="3190" t="s">
        <v>4565</v>
      </c>
      <c r="X117" s="3190" t="s">
        <v>21</v>
      </c>
      <c r="Y117" s="3190">
        <v>20925</v>
      </c>
      <c r="Z117" s="3190">
        <v>1610</v>
      </c>
    </row>
    <row r="118" spans="16:26">
      <c r="P118" s="3190">
        <v>27</v>
      </c>
      <c r="Q118" s="3190" t="s">
        <v>4519</v>
      </c>
      <c r="R118" s="3190" t="s">
        <v>4501</v>
      </c>
      <c r="S118" s="3190" t="s">
        <v>4536</v>
      </c>
      <c r="T118" s="3190">
        <v>25</v>
      </c>
      <c r="U118" s="3190">
        <v>18</v>
      </c>
      <c r="V118" s="3190">
        <v>725.98</v>
      </c>
      <c r="W118" s="3190" t="s">
        <v>4565</v>
      </c>
      <c r="X118" s="3190" t="s">
        <v>21</v>
      </c>
      <c r="Y118" s="3190">
        <v>20925</v>
      </c>
      <c r="Z118" s="3190">
        <v>1519</v>
      </c>
    </row>
    <row r="119" spans="16:26">
      <c r="P119" s="3190">
        <v>28</v>
      </c>
      <c r="Q119" s="3190" t="s">
        <v>4519</v>
      </c>
      <c r="R119" s="3190" t="s">
        <v>4501</v>
      </c>
      <c r="S119" s="3190" t="s">
        <v>4537</v>
      </c>
      <c r="T119" s="3190">
        <v>25</v>
      </c>
      <c r="U119" s="3190">
        <v>18</v>
      </c>
      <c r="V119" s="3190">
        <v>769.63</v>
      </c>
      <c r="W119" s="3190" t="s">
        <v>4565</v>
      </c>
      <c r="X119" s="3190" t="s">
        <v>21</v>
      </c>
      <c r="Y119" s="3190">
        <v>20925</v>
      </c>
      <c r="Z119" s="3190">
        <v>1610</v>
      </c>
    </row>
    <row r="120" spans="16:26">
      <c r="P120" s="3190">
        <v>29</v>
      </c>
      <c r="Q120" s="3190" t="s">
        <v>4519</v>
      </c>
      <c r="R120" s="3190" t="s">
        <v>4501</v>
      </c>
      <c r="S120" s="3190" t="s">
        <v>4538</v>
      </c>
      <c r="T120" s="3190">
        <v>25</v>
      </c>
      <c r="U120" s="3190">
        <v>19</v>
      </c>
      <c r="V120" s="3190">
        <v>725.98</v>
      </c>
      <c r="W120" s="3190" t="s">
        <v>4565</v>
      </c>
      <c r="X120" s="3190" t="s">
        <v>21</v>
      </c>
      <c r="Y120" s="3190">
        <v>20925</v>
      </c>
      <c r="Z120" s="3190">
        <v>1519</v>
      </c>
    </row>
    <row r="121" spans="16:26">
      <c r="P121" s="3190">
        <v>30</v>
      </c>
      <c r="Q121" s="3190" t="s">
        <v>4519</v>
      </c>
      <c r="R121" s="3190" t="s">
        <v>4501</v>
      </c>
      <c r="S121" s="3190" t="s">
        <v>4539</v>
      </c>
      <c r="T121" s="3190">
        <v>25</v>
      </c>
      <c r="U121" s="3190">
        <v>19</v>
      </c>
      <c r="V121" s="3190">
        <v>769.63</v>
      </c>
      <c r="W121" s="3190" t="s">
        <v>4565</v>
      </c>
      <c r="X121" s="3190" t="s">
        <v>21</v>
      </c>
      <c r="Y121" s="3190">
        <v>20925</v>
      </c>
      <c r="Z121" s="3190">
        <v>1610</v>
      </c>
    </row>
    <row r="122" spans="16:26">
      <c r="P122" s="3190">
        <v>31</v>
      </c>
      <c r="Q122" s="3190" t="s">
        <v>4519</v>
      </c>
      <c r="R122" s="3190" t="s">
        <v>4501</v>
      </c>
      <c r="S122" s="3190" t="s">
        <v>4540</v>
      </c>
      <c r="T122" s="3190">
        <v>25</v>
      </c>
      <c r="U122" s="3190">
        <v>20</v>
      </c>
      <c r="V122" s="3190">
        <v>725.98</v>
      </c>
      <c r="W122" s="3190" t="s">
        <v>4565</v>
      </c>
      <c r="X122" s="3190" t="s">
        <v>21</v>
      </c>
      <c r="Y122" s="3190">
        <v>20925</v>
      </c>
      <c r="Z122" s="3190">
        <v>1519</v>
      </c>
    </row>
    <row r="123" spans="16:26">
      <c r="P123" s="3190">
        <v>32</v>
      </c>
      <c r="Q123" s="3190" t="s">
        <v>4519</v>
      </c>
      <c r="R123" s="3190" t="s">
        <v>4501</v>
      </c>
      <c r="S123" s="3190" t="s">
        <v>4541</v>
      </c>
      <c r="T123" s="3190">
        <v>25</v>
      </c>
      <c r="U123" s="3190">
        <v>20</v>
      </c>
      <c r="V123" s="3190">
        <v>769.63</v>
      </c>
      <c r="W123" s="3190" t="s">
        <v>4565</v>
      </c>
      <c r="X123" s="3190" t="s">
        <v>21</v>
      </c>
      <c r="Y123" s="3190">
        <v>20925</v>
      </c>
      <c r="Z123" s="3190">
        <v>1610</v>
      </c>
    </row>
    <row r="124" spans="16:26">
      <c r="P124" s="3190">
        <v>33</v>
      </c>
      <c r="Q124" s="3190" t="s">
        <v>4519</v>
      </c>
      <c r="R124" s="3190" t="s">
        <v>4501</v>
      </c>
      <c r="S124" s="3190" t="s">
        <v>4542</v>
      </c>
      <c r="T124" s="3190">
        <v>25</v>
      </c>
      <c r="U124" s="3190">
        <v>21</v>
      </c>
      <c r="V124" s="3190">
        <v>725.98</v>
      </c>
      <c r="W124" s="3190" t="s">
        <v>4565</v>
      </c>
      <c r="X124" s="3190" t="s">
        <v>21</v>
      </c>
      <c r="Y124" s="3190">
        <v>20925</v>
      </c>
      <c r="Z124" s="3190">
        <v>1519</v>
      </c>
    </row>
    <row r="125" spans="16:26">
      <c r="P125" s="3190">
        <v>34</v>
      </c>
      <c r="Q125" s="3190" t="s">
        <v>4519</v>
      </c>
      <c r="R125" s="3190" t="s">
        <v>4501</v>
      </c>
      <c r="S125" s="3190" t="s">
        <v>4543</v>
      </c>
      <c r="T125" s="3190">
        <v>25</v>
      </c>
      <c r="U125" s="3190">
        <v>21</v>
      </c>
      <c r="V125" s="3190">
        <v>769.63</v>
      </c>
      <c r="W125" s="3190" t="s">
        <v>4565</v>
      </c>
      <c r="X125" s="3190" t="s">
        <v>21</v>
      </c>
      <c r="Y125" s="3190">
        <v>20925</v>
      </c>
      <c r="Z125" s="3190">
        <v>1610</v>
      </c>
    </row>
    <row r="126" spans="16:26">
      <c r="P126" s="3190" t="s">
        <v>4566</v>
      </c>
      <c r="Q126" s="3190"/>
      <c r="R126" s="3190"/>
      <c r="S126" s="3190"/>
      <c r="T126" s="3190"/>
      <c r="U126" s="3190"/>
      <c r="V126" s="3190">
        <f>SUM(V92:V125)</f>
        <v>25425.37</v>
      </c>
      <c r="W126" s="3190"/>
      <c r="X126" s="3190"/>
      <c r="Y126" s="3190"/>
      <c r="Z126" s="3190">
        <f>SUM(Z92:Z125)</f>
        <v>51347</v>
      </c>
    </row>
    <row r="127" spans="16:26">
      <c r="P127" s="3190">
        <v>1</v>
      </c>
      <c r="Q127" s="3190" t="s">
        <v>4568</v>
      </c>
      <c r="R127" s="3190" t="s">
        <v>4569</v>
      </c>
      <c r="S127" s="3190">
        <v>501</v>
      </c>
      <c r="T127" s="3190">
        <v>37</v>
      </c>
      <c r="U127" s="3190">
        <v>5</v>
      </c>
      <c r="V127" s="3190">
        <v>800.8</v>
      </c>
      <c r="W127" s="3190" t="s">
        <v>4565</v>
      </c>
      <c r="X127" s="3190" t="s">
        <v>21</v>
      </c>
      <c r="Y127" s="3190">
        <v>19023</v>
      </c>
      <c r="Z127" s="3190">
        <v>1523</v>
      </c>
    </row>
    <row r="128" spans="16:26">
      <c r="P128" s="3190">
        <v>2</v>
      </c>
      <c r="Q128" s="3190" t="s">
        <v>4568</v>
      </c>
      <c r="R128" s="3190" t="s">
        <v>4569</v>
      </c>
      <c r="S128" s="3190">
        <v>502</v>
      </c>
      <c r="T128" s="3190">
        <v>37</v>
      </c>
      <c r="U128" s="3190">
        <v>5</v>
      </c>
      <c r="V128" s="3190">
        <v>775.93</v>
      </c>
      <c r="W128" s="3190" t="s">
        <v>4565</v>
      </c>
      <c r="X128" s="3190" t="s">
        <v>21</v>
      </c>
      <c r="Y128" s="3190">
        <v>19023</v>
      </c>
      <c r="Z128" s="3190">
        <v>1476</v>
      </c>
    </row>
    <row r="129" spans="16:26">
      <c r="P129" s="3190">
        <v>3</v>
      </c>
      <c r="Q129" s="3190" t="s">
        <v>4568</v>
      </c>
      <c r="R129" s="3190" t="s">
        <v>4569</v>
      </c>
      <c r="S129" s="3190">
        <v>601</v>
      </c>
      <c r="T129" s="3190">
        <v>37</v>
      </c>
      <c r="U129" s="3190">
        <v>6</v>
      </c>
      <c r="V129" s="3190">
        <v>803.05</v>
      </c>
      <c r="W129" s="3190" t="s">
        <v>4565</v>
      </c>
      <c r="X129" s="3190" t="s">
        <v>21</v>
      </c>
      <c r="Y129" s="3190">
        <v>19023</v>
      </c>
      <c r="Z129" s="3190">
        <v>1528</v>
      </c>
    </row>
    <row r="130" spans="16:26">
      <c r="P130" s="3190">
        <v>4</v>
      </c>
      <c r="Q130" s="3190" t="s">
        <v>4568</v>
      </c>
      <c r="R130" s="3190" t="s">
        <v>4569</v>
      </c>
      <c r="S130" s="3190">
        <v>602</v>
      </c>
      <c r="T130" s="3190">
        <v>37</v>
      </c>
      <c r="U130" s="3190">
        <v>6</v>
      </c>
      <c r="V130" s="3190">
        <v>795.71</v>
      </c>
      <c r="W130" s="3190" t="s">
        <v>4565</v>
      </c>
      <c r="X130" s="3190" t="s">
        <v>21</v>
      </c>
      <c r="Y130" s="3190">
        <v>19023</v>
      </c>
      <c r="Z130" s="3190">
        <v>1514</v>
      </c>
    </row>
    <row r="131" spans="16:26">
      <c r="P131" s="3190">
        <v>5</v>
      </c>
      <c r="Q131" s="3190" t="s">
        <v>4568</v>
      </c>
      <c r="R131" s="3190" t="s">
        <v>4569</v>
      </c>
      <c r="S131" s="3190">
        <v>701</v>
      </c>
      <c r="T131" s="3190">
        <v>37</v>
      </c>
      <c r="U131" s="3190">
        <v>7</v>
      </c>
      <c r="V131" s="3190">
        <v>803.05</v>
      </c>
      <c r="W131" s="3190" t="s">
        <v>4565</v>
      </c>
      <c r="X131" s="3190" t="s">
        <v>21</v>
      </c>
      <c r="Y131" s="3190">
        <v>19023</v>
      </c>
      <c r="Z131" s="3190">
        <v>1528</v>
      </c>
    </row>
    <row r="132" spans="16:26">
      <c r="P132" s="3190">
        <v>6</v>
      </c>
      <c r="Q132" s="3190" t="s">
        <v>4568</v>
      </c>
      <c r="R132" s="3190" t="s">
        <v>4569</v>
      </c>
      <c r="S132" s="3190">
        <v>702</v>
      </c>
      <c r="T132" s="3190">
        <v>37</v>
      </c>
      <c r="U132" s="3190">
        <v>7</v>
      </c>
      <c r="V132" s="3190">
        <v>795.71</v>
      </c>
      <c r="W132" s="3190" t="s">
        <v>4565</v>
      </c>
      <c r="X132" s="3190" t="s">
        <v>21</v>
      </c>
      <c r="Y132" s="3190">
        <v>19023</v>
      </c>
      <c r="Z132" s="3190">
        <v>1514</v>
      </c>
    </row>
    <row r="133" spans="16:26">
      <c r="P133" s="3190">
        <v>7</v>
      </c>
      <c r="Q133" s="3190" t="s">
        <v>4568</v>
      </c>
      <c r="R133" s="3190" t="s">
        <v>4569</v>
      </c>
      <c r="S133" s="3190">
        <v>801</v>
      </c>
      <c r="T133" s="3190">
        <v>37</v>
      </c>
      <c r="U133" s="3190">
        <v>8</v>
      </c>
      <c r="V133" s="3190">
        <v>803.05</v>
      </c>
      <c r="W133" s="3190" t="s">
        <v>4565</v>
      </c>
      <c r="X133" s="3190" t="s">
        <v>21</v>
      </c>
      <c r="Y133" s="3190">
        <v>19023</v>
      </c>
      <c r="Z133" s="3190">
        <v>1528</v>
      </c>
    </row>
    <row r="134" spans="16:26">
      <c r="P134" s="3190">
        <v>8</v>
      </c>
      <c r="Q134" s="3190" t="s">
        <v>4568</v>
      </c>
      <c r="R134" s="3190" t="s">
        <v>4569</v>
      </c>
      <c r="S134" s="3190">
        <v>802</v>
      </c>
      <c r="T134" s="3190">
        <v>37</v>
      </c>
      <c r="U134" s="3190">
        <v>8</v>
      </c>
      <c r="V134" s="3190">
        <v>795.71</v>
      </c>
      <c r="W134" s="3190" t="s">
        <v>4565</v>
      </c>
      <c r="X134" s="3190" t="s">
        <v>21</v>
      </c>
      <c r="Y134" s="3190">
        <v>19023</v>
      </c>
      <c r="Z134" s="3190">
        <v>1514</v>
      </c>
    </row>
    <row r="135" spans="16:26">
      <c r="P135" s="3190">
        <v>9</v>
      </c>
      <c r="Q135" s="3190" t="s">
        <v>4568</v>
      </c>
      <c r="R135" s="3190" t="s">
        <v>4569</v>
      </c>
      <c r="S135" s="3190">
        <v>901</v>
      </c>
      <c r="T135" s="3190">
        <v>37</v>
      </c>
      <c r="U135" s="3190">
        <v>9</v>
      </c>
      <c r="V135" s="3190">
        <v>803.05</v>
      </c>
      <c r="W135" s="3190" t="s">
        <v>4565</v>
      </c>
      <c r="X135" s="3190" t="s">
        <v>21</v>
      </c>
      <c r="Y135" s="3190">
        <v>19023</v>
      </c>
      <c r="Z135" s="3190">
        <v>1528</v>
      </c>
    </row>
    <row r="136" spans="16:26">
      <c r="P136" s="3190">
        <v>10</v>
      </c>
      <c r="Q136" s="3190" t="s">
        <v>4568</v>
      </c>
      <c r="R136" s="3190" t="s">
        <v>4569</v>
      </c>
      <c r="S136" s="3190">
        <v>902</v>
      </c>
      <c r="T136" s="3190">
        <v>37</v>
      </c>
      <c r="U136" s="3190">
        <v>9</v>
      </c>
      <c r="V136" s="3190">
        <v>795.71</v>
      </c>
      <c r="W136" s="3190" t="s">
        <v>4565</v>
      </c>
      <c r="X136" s="3190" t="s">
        <v>21</v>
      </c>
      <c r="Y136" s="3190">
        <v>19023</v>
      </c>
      <c r="Z136" s="3190">
        <v>1514</v>
      </c>
    </row>
    <row r="137" spans="16:26">
      <c r="P137" s="3190">
        <v>11</v>
      </c>
      <c r="Q137" s="3190" t="s">
        <v>4568</v>
      </c>
      <c r="R137" s="3190" t="s">
        <v>4569</v>
      </c>
      <c r="S137" s="3190" t="s">
        <v>4520</v>
      </c>
      <c r="T137" s="3190">
        <v>37</v>
      </c>
      <c r="U137" s="3190">
        <v>10</v>
      </c>
      <c r="V137" s="3190">
        <v>803.05</v>
      </c>
      <c r="W137" s="3190" t="s">
        <v>4565</v>
      </c>
      <c r="X137" s="3190" t="s">
        <v>21</v>
      </c>
      <c r="Y137" s="3190">
        <v>19023</v>
      </c>
      <c r="Z137" s="3190">
        <v>1528</v>
      </c>
    </row>
    <row r="138" spans="16:26">
      <c r="P138" s="3190">
        <v>12</v>
      </c>
      <c r="Q138" s="3190" t="s">
        <v>4568</v>
      </c>
      <c r="R138" s="3190" t="s">
        <v>4569</v>
      </c>
      <c r="S138" s="3190" t="s">
        <v>4521</v>
      </c>
      <c r="T138" s="3190">
        <v>37</v>
      </c>
      <c r="U138" s="3190">
        <v>10</v>
      </c>
      <c r="V138" s="3190">
        <v>795.71</v>
      </c>
      <c r="W138" s="3190" t="s">
        <v>4565</v>
      </c>
      <c r="X138" s="3190" t="s">
        <v>21</v>
      </c>
      <c r="Y138" s="3190">
        <v>19023</v>
      </c>
      <c r="Z138" s="3190">
        <v>1514</v>
      </c>
    </row>
    <row r="139" spans="16:26">
      <c r="P139" s="3190">
        <v>13</v>
      </c>
      <c r="Q139" s="3190" t="s">
        <v>4568</v>
      </c>
      <c r="R139" s="3190" t="s">
        <v>4569</v>
      </c>
      <c r="S139" s="3190" t="s">
        <v>4524</v>
      </c>
      <c r="T139" s="3190">
        <v>37</v>
      </c>
      <c r="U139" s="3190">
        <v>12</v>
      </c>
      <c r="V139" s="3190">
        <v>803.05</v>
      </c>
      <c r="W139" s="3190" t="s">
        <v>4565</v>
      </c>
      <c r="X139" s="3190" t="s">
        <v>21</v>
      </c>
      <c r="Y139" s="3190">
        <v>19974</v>
      </c>
      <c r="Z139" s="3190">
        <v>1604</v>
      </c>
    </row>
    <row r="140" spans="16:26">
      <c r="P140" s="3190">
        <v>14</v>
      </c>
      <c r="Q140" s="3190" t="s">
        <v>4568</v>
      </c>
      <c r="R140" s="3190" t="s">
        <v>4569</v>
      </c>
      <c r="S140" s="3190" t="s">
        <v>4525</v>
      </c>
      <c r="T140" s="3190">
        <v>37</v>
      </c>
      <c r="U140" s="3190">
        <v>12</v>
      </c>
      <c r="V140" s="3190">
        <v>795.71</v>
      </c>
      <c r="W140" s="3190" t="s">
        <v>4565</v>
      </c>
      <c r="X140" s="3190" t="s">
        <v>21</v>
      </c>
      <c r="Y140" s="3190">
        <v>19974</v>
      </c>
      <c r="Z140" s="3190">
        <v>1589</v>
      </c>
    </row>
    <row r="141" spans="16:26">
      <c r="P141" s="3190">
        <v>15</v>
      </c>
      <c r="Q141" s="3190" t="s">
        <v>4568</v>
      </c>
      <c r="R141" s="3190" t="s">
        <v>4569</v>
      </c>
      <c r="S141" s="3190" t="s">
        <v>4526</v>
      </c>
      <c r="T141" s="3190">
        <v>37</v>
      </c>
      <c r="U141" s="3190">
        <v>13</v>
      </c>
      <c r="V141" s="3190">
        <v>803.05</v>
      </c>
      <c r="W141" s="3190" t="s">
        <v>4565</v>
      </c>
      <c r="X141" s="3190" t="s">
        <v>21</v>
      </c>
      <c r="Y141" s="3190">
        <v>19974</v>
      </c>
      <c r="Z141" s="3190">
        <v>1604</v>
      </c>
    </row>
    <row r="142" spans="16:26">
      <c r="P142" s="3190">
        <v>16</v>
      </c>
      <c r="Q142" s="3190" t="s">
        <v>4568</v>
      </c>
      <c r="R142" s="3190" t="s">
        <v>4569</v>
      </c>
      <c r="S142" s="3190" t="s">
        <v>4527</v>
      </c>
      <c r="T142" s="3190">
        <v>37</v>
      </c>
      <c r="U142" s="3190">
        <v>13</v>
      </c>
      <c r="V142" s="3190">
        <v>795.71</v>
      </c>
      <c r="W142" s="3190" t="s">
        <v>4565</v>
      </c>
      <c r="X142" s="3190" t="s">
        <v>21</v>
      </c>
      <c r="Y142" s="3190">
        <v>19974</v>
      </c>
      <c r="Z142" s="3190">
        <v>1589</v>
      </c>
    </row>
    <row r="143" spans="16:26">
      <c r="P143" s="3190">
        <v>17</v>
      </c>
      <c r="Q143" s="3190" t="s">
        <v>4568</v>
      </c>
      <c r="R143" s="3190" t="s">
        <v>4569</v>
      </c>
      <c r="S143" s="3190" t="s">
        <v>4528</v>
      </c>
      <c r="T143" s="3190">
        <v>37</v>
      </c>
      <c r="U143" s="3190">
        <v>14</v>
      </c>
      <c r="V143" s="3190">
        <v>803.05</v>
      </c>
      <c r="W143" s="3190" t="s">
        <v>4565</v>
      </c>
      <c r="X143" s="3190" t="s">
        <v>21</v>
      </c>
      <c r="Y143" s="3190">
        <v>19974</v>
      </c>
      <c r="Z143" s="3190">
        <v>1604</v>
      </c>
    </row>
    <row r="144" spans="16:26">
      <c r="P144" s="3190">
        <v>18</v>
      </c>
      <c r="Q144" s="3190" t="s">
        <v>4568</v>
      </c>
      <c r="R144" s="3190" t="s">
        <v>4569</v>
      </c>
      <c r="S144" s="3190" t="s">
        <v>4529</v>
      </c>
      <c r="T144" s="3190">
        <v>37</v>
      </c>
      <c r="U144" s="3190">
        <v>14</v>
      </c>
      <c r="V144" s="3190">
        <v>795.71</v>
      </c>
      <c r="W144" s="3190" t="s">
        <v>4565</v>
      </c>
      <c r="X144" s="3190" t="s">
        <v>21</v>
      </c>
      <c r="Y144" s="3190">
        <v>19974</v>
      </c>
      <c r="Z144" s="3190">
        <v>1589</v>
      </c>
    </row>
    <row r="145" spans="16:26">
      <c r="P145" s="3190">
        <v>19</v>
      </c>
      <c r="Q145" s="3190" t="s">
        <v>4568</v>
      </c>
      <c r="R145" s="3190" t="s">
        <v>4569</v>
      </c>
      <c r="S145" s="3190" t="s">
        <v>4530</v>
      </c>
      <c r="T145" s="3190">
        <v>37</v>
      </c>
      <c r="U145" s="3190">
        <v>15</v>
      </c>
      <c r="V145" s="3190">
        <v>803.05</v>
      </c>
      <c r="W145" s="3190" t="s">
        <v>4565</v>
      </c>
      <c r="X145" s="3190" t="s">
        <v>21</v>
      </c>
      <c r="Y145" s="3190">
        <v>19974</v>
      </c>
      <c r="Z145" s="3190">
        <v>1604</v>
      </c>
    </row>
    <row r="146" spans="16:26">
      <c r="P146" s="3190">
        <v>20</v>
      </c>
      <c r="Q146" s="3190" t="s">
        <v>4568</v>
      </c>
      <c r="R146" s="3190" t="s">
        <v>4569</v>
      </c>
      <c r="S146" s="3190" t="s">
        <v>4531</v>
      </c>
      <c r="T146" s="3190">
        <v>37</v>
      </c>
      <c r="U146" s="3190">
        <v>15</v>
      </c>
      <c r="V146" s="3190">
        <v>795.71</v>
      </c>
      <c r="W146" s="3190" t="s">
        <v>4565</v>
      </c>
      <c r="X146" s="3190" t="s">
        <v>21</v>
      </c>
      <c r="Y146" s="3190">
        <v>19974</v>
      </c>
      <c r="Z146" s="3190">
        <v>1589</v>
      </c>
    </row>
    <row r="147" spans="16:26">
      <c r="P147" s="3190">
        <v>21</v>
      </c>
      <c r="Q147" s="3190" t="s">
        <v>4568</v>
      </c>
      <c r="R147" s="3190" t="s">
        <v>4569</v>
      </c>
      <c r="S147" s="3190" t="s">
        <v>4532</v>
      </c>
      <c r="T147" s="3190">
        <v>37</v>
      </c>
      <c r="U147" s="3190">
        <v>16</v>
      </c>
      <c r="V147" s="3190">
        <v>803.05</v>
      </c>
      <c r="W147" s="3190" t="s">
        <v>4565</v>
      </c>
      <c r="X147" s="3190" t="s">
        <v>21</v>
      </c>
      <c r="Y147" s="3190">
        <v>19974</v>
      </c>
      <c r="Z147" s="3190">
        <v>1604</v>
      </c>
    </row>
    <row r="148" spans="16:26">
      <c r="P148" s="3190">
        <v>22</v>
      </c>
      <c r="Q148" s="3190" t="s">
        <v>4568</v>
      </c>
      <c r="R148" s="3190" t="s">
        <v>4569</v>
      </c>
      <c r="S148" s="3190" t="s">
        <v>4533</v>
      </c>
      <c r="T148" s="3190">
        <v>37</v>
      </c>
      <c r="U148" s="3190">
        <v>16</v>
      </c>
      <c r="V148" s="3190">
        <v>795.71</v>
      </c>
      <c r="W148" s="3190" t="s">
        <v>4565</v>
      </c>
      <c r="X148" s="3190" t="s">
        <v>21</v>
      </c>
      <c r="Y148" s="3190">
        <v>19974</v>
      </c>
      <c r="Z148" s="3190">
        <v>1589</v>
      </c>
    </row>
    <row r="149" spans="16:26">
      <c r="P149" s="3190">
        <v>23</v>
      </c>
      <c r="Q149" s="3190" t="s">
        <v>4568</v>
      </c>
      <c r="R149" s="3190" t="s">
        <v>4569</v>
      </c>
      <c r="S149" s="3190" t="s">
        <v>4534</v>
      </c>
      <c r="T149" s="3190">
        <v>37</v>
      </c>
      <c r="U149" s="3190">
        <v>17</v>
      </c>
      <c r="V149" s="3190">
        <v>803.05</v>
      </c>
      <c r="W149" s="3190" t="s">
        <v>4565</v>
      </c>
      <c r="X149" s="3190" t="s">
        <v>21</v>
      </c>
      <c r="Y149" s="3190">
        <v>19974</v>
      </c>
      <c r="Z149" s="3190">
        <v>1604</v>
      </c>
    </row>
    <row r="150" spans="16:26">
      <c r="P150" s="3190">
        <v>24</v>
      </c>
      <c r="Q150" s="3190" t="s">
        <v>4568</v>
      </c>
      <c r="R150" s="3190" t="s">
        <v>4569</v>
      </c>
      <c r="S150" s="3190" t="s">
        <v>4535</v>
      </c>
      <c r="T150" s="3190">
        <v>37</v>
      </c>
      <c r="U150" s="3190">
        <v>17</v>
      </c>
      <c r="V150" s="3190">
        <v>795.71</v>
      </c>
      <c r="W150" s="3190" t="s">
        <v>4565</v>
      </c>
      <c r="X150" s="3190" t="s">
        <v>21</v>
      </c>
      <c r="Y150" s="3190">
        <v>19974</v>
      </c>
      <c r="Z150" s="3190">
        <v>1589</v>
      </c>
    </row>
    <row r="151" spans="16:26">
      <c r="P151" s="3190">
        <v>25</v>
      </c>
      <c r="Q151" s="3190" t="s">
        <v>4568</v>
      </c>
      <c r="R151" s="3190" t="s">
        <v>4569</v>
      </c>
      <c r="S151" s="3190" t="s">
        <v>4536</v>
      </c>
      <c r="T151" s="3190">
        <v>37</v>
      </c>
      <c r="U151" s="3190">
        <v>18</v>
      </c>
      <c r="V151" s="3190">
        <v>812.21</v>
      </c>
      <c r="W151" s="3190" t="s">
        <v>4565</v>
      </c>
      <c r="X151" s="3190" t="s">
        <v>21</v>
      </c>
      <c r="Y151" s="3190">
        <v>19974</v>
      </c>
      <c r="Z151" s="3190">
        <v>1622</v>
      </c>
    </row>
    <row r="152" spans="16:26">
      <c r="P152" s="3190">
        <v>26</v>
      </c>
      <c r="Q152" s="3190" t="s">
        <v>4568</v>
      </c>
      <c r="R152" s="3190" t="s">
        <v>4569</v>
      </c>
      <c r="S152" s="3190" t="s">
        <v>4537</v>
      </c>
      <c r="T152" s="3190">
        <v>37</v>
      </c>
      <c r="U152" s="3190">
        <v>18</v>
      </c>
      <c r="V152" s="3190">
        <v>803.63</v>
      </c>
      <c r="W152" s="3190" t="s">
        <v>4565</v>
      </c>
      <c r="X152" s="3190" t="s">
        <v>21</v>
      </c>
      <c r="Y152" s="3190">
        <v>19974</v>
      </c>
      <c r="Z152" s="3190">
        <v>1605</v>
      </c>
    </row>
    <row r="153" spans="16:26">
      <c r="P153" s="3190">
        <v>27</v>
      </c>
      <c r="Q153" s="3190" t="s">
        <v>4568</v>
      </c>
      <c r="R153" s="3190" t="s">
        <v>4569</v>
      </c>
      <c r="S153" s="3190" t="s">
        <v>4538</v>
      </c>
      <c r="T153" s="3190">
        <v>37</v>
      </c>
      <c r="U153" s="3190">
        <v>19</v>
      </c>
      <c r="V153" s="3190">
        <v>812.21</v>
      </c>
      <c r="W153" s="3190" t="s">
        <v>4565</v>
      </c>
      <c r="X153" s="3190" t="s">
        <v>21</v>
      </c>
      <c r="Y153" s="3190">
        <v>19974</v>
      </c>
      <c r="Z153" s="3190">
        <v>1622</v>
      </c>
    </row>
    <row r="154" spans="16:26">
      <c r="P154" s="3190">
        <v>28</v>
      </c>
      <c r="Q154" s="3190" t="s">
        <v>4568</v>
      </c>
      <c r="R154" s="3190" t="s">
        <v>4569</v>
      </c>
      <c r="S154" s="3190" t="s">
        <v>4539</v>
      </c>
      <c r="T154" s="3190">
        <v>37</v>
      </c>
      <c r="U154" s="3190">
        <v>19</v>
      </c>
      <c r="V154" s="3190">
        <v>803.63</v>
      </c>
      <c r="W154" s="3190" t="s">
        <v>4565</v>
      </c>
      <c r="X154" s="3190" t="s">
        <v>21</v>
      </c>
      <c r="Y154" s="3190">
        <v>19974</v>
      </c>
      <c r="Z154" s="3190">
        <v>1605</v>
      </c>
    </row>
    <row r="155" spans="16:26">
      <c r="P155" s="3190">
        <v>29</v>
      </c>
      <c r="Q155" s="3190" t="s">
        <v>4568</v>
      </c>
      <c r="R155" s="3190" t="s">
        <v>4569</v>
      </c>
      <c r="S155" s="3190" t="s">
        <v>4540</v>
      </c>
      <c r="T155" s="3190">
        <v>37</v>
      </c>
      <c r="U155" s="3190">
        <v>20</v>
      </c>
      <c r="V155" s="3190">
        <v>812.21</v>
      </c>
      <c r="W155" s="3190" t="s">
        <v>4565</v>
      </c>
      <c r="X155" s="3190" t="s">
        <v>21</v>
      </c>
      <c r="Y155" s="3190">
        <v>19974</v>
      </c>
      <c r="Z155" s="3190">
        <v>1622</v>
      </c>
    </row>
    <row r="156" spans="16:26">
      <c r="P156" s="3190">
        <v>30</v>
      </c>
      <c r="Q156" s="3190" t="s">
        <v>4568</v>
      </c>
      <c r="R156" s="3190" t="s">
        <v>4569</v>
      </c>
      <c r="S156" s="3190" t="s">
        <v>4541</v>
      </c>
      <c r="T156" s="3190">
        <v>37</v>
      </c>
      <c r="U156" s="3190">
        <v>20</v>
      </c>
      <c r="V156" s="3190">
        <v>803.63</v>
      </c>
      <c r="W156" s="3190" t="s">
        <v>4565</v>
      </c>
      <c r="X156" s="3190" t="s">
        <v>21</v>
      </c>
      <c r="Y156" s="3190">
        <v>19974</v>
      </c>
      <c r="Z156" s="3190">
        <v>1605</v>
      </c>
    </row>
    <row r="157" spans="16:26">
      <c r="P157" s="3190">
        <v>31</v>
      </c>
      <c r="Q157" s="3190" t="s">
        <v>4568</v>
      </c>
      <c r="R157" s="3190" t="s">
        <v>4569</v>
      </c>
      <c r="S157" s="3190" t="s">
        <v>4542</v>
      </c>
      <c r="T157" s="3190">
        <v>37</v>
      </c>
      <c r="U157" s="3190">
        <v>21</v>
      </c>
      <c r="V157" s="3190">
        <v>812.21</v>
      </c>
      <c r="W157" s="3190" t="s">
        <v>4565</v>
      </c>
      <c r="X157" s="3190" t="s">
        <v>21</v>
      </c>
      <c r="Y157" s="3190">
        <v>19974</v>
      </c>
      <c r="Z157" s="3190">
        <v>1622</v>
      </c>
    </row>
    <row r="158" spans="16:26">
      <c r="P158" s="3190">
        <v>32</v>
      </c>
      <c r="Q158" s="3190" t="s">
        <v>4568</v>
      </c>
      <c r="R158" s="3190" t="s">
        <v>4569</v>
      </c>
      <c r="S158" s="3190" t="s">
        <v>4543</v>
      </c>
      <c r="T158" s="3190">
        <v>37</v>
      </c>
      <c r="U158" s="3190">
        <v>21</v>
      </c>
      <c r="V158" s="3190">
        <v>803.63</v>
      </c>
      <c r="W158" s="3190" t="s">
        <v>4565</v>
      </c>
      <c r="X158" s="3190" t="s">
        <v>21</v>
      </c>
      <c r="Y158" s="3190">
        <v>19974</v>
      </c>
      <c r="Z158" s="3190">
        <v>1605</v>
      </c>
    </row>
    <row r="159" spans="16:26">
      <c r="P159" s="3190">
        <v>33</v>
      </c>
      <c r="Q159" s="3190" t="s">
        <v>4568</v>
      </c>
      <c r="R159" s="3190" t="s">
        <v>4569</v>
      </c>
      <c r="S159" s="3190" t="s">
        <v>4570</v>
      </c>
      <c r="T159" s="3190">
        <v>37</v>
      </c>
      <c r="U159" s="3190">
        <v>22</v>
      </c>
      <c r="V159" s="3190">
        <v>812.84</v>
      </c>
      <c r="W159" s="3190" t="s">
        <v>4565</v>
      </c>
      <c r="X159" s="3190" t="s">
        <v>21</v>
      </c>
      <c r="Y159" s="3190">
        <v>19974</v>
      </c>
      <c r="Z159" s="3190">
        <v>1624</v>
      </c>
    </row>
    <row r="160" spans="16:26">
      <c r="P160" s="3190">
        <v>34</v>
      </c>
      <c r="Q160" s="3190" t="s">
        <v>4568</v>
      </c>
      <c r="R160" s="3190" t="s">
        <v>4569</v>
      </c>
      <c r="S160" s="3190" t="s">
        <v>4571</v>
      </c>
      <c r="T160" s="3190">
        <v>37</v>
      </c>
      <c r="U160" s="3190">
        <v>22</v>
      </c>
      <c r="V160" s="3190">
        <v>804.26</v>
      </c>
      <c r="W160" s="3190" t="s">
        <v>4565</v>
      </c>
      <c r="X160" s="3190" t="s">
        <v>21</v>
      </c>
      <c r="Y160" s="3190">
        <v>19974</v>
      </c>
      <c r="Z160" s="3190">
        <v>1606</v>
      </c>
    </row>
    <row r="161" spans="16:26">
      <c r="P161" s="3190">
        <v>35</v>
      </c>
      <c r="Q161" s="3190" t="s">
        <v>4568</v>
      </c>
      <c r="R161" s="3190" t="s">
        <v>4569</v>
      </c>
      <c r="S161" s="3190" t="s">
        <v>4572</v>
      </c>
      <c r="T161" s="3190">
        <v>37</v>
      </c>
      <c r="U161" s="3190">
        <v>24</v>
      </c>
      <c r="V161" s="3190">
        <v>812.84</v>
      </c>
      <c r="W161" s="3190" t="s">
        <v>4565</v>
      </c>
      <c r="X161" s="3190" t="s">
        <v>21</v>
      </c>
      <c r="Y161" s="3190">
        <v>20925</v>
      </c>
      <c r="Z161" s="3190">
        <v>1701</v>
      </c>
    </row>
    <row r="162" spans="16:26">
      <c r="P162" s="3190">
        <v>36</v>
      </c>
      <c r="Q162" s="3190" t="s">
        <v>4568</v>
      </c>
      <c r="R162" s="3190" t="s">
        <v>4569</v>
      </c>
      <c r="S162" s="3190" t="s">
        <v>4573</v>
      </c>
      <c r="T162" s="3190">
        <v>37</v>
      </c>
      <c r="U162" s="3190">
        <v>24</v>
      </c>
      <c r="V162" s="3190">
        <v>804.26</v>
      </c>
      <c r="W162" s="3190" t="s">
        <v>4565</v>
      </c>
      <c r="X162" s="3190" t="s">
        <v>21</v>
      </c>
      <c r="Y162" s="3190">
        <v>20925</v>
      </c>
      <c r="Z162" s="3190">
        <v>1683</v>
      </c>
    </row>
    <row r="163" spans="16:26">
      <c r="P163" s="3190">
        <v>37</v>
      </c>
      <c r="Q163" s="3190" t="s">
        <v>4568</v>
      </c>
      <c r="R163" s="3190" t="s">
        <v>4569</v>
      </c>
      <c r="S163" s="3190" t="s">
        <v>4574</v>
      </c>
      <c r="T163" s="3190">
        <v>37</v>
      </c>
      <c r="U163" s="3190">
        <v>25</v>
      </c>
      <c r="V163" s="3190">
        <v>812.84</v>
      </c>
      <c r="W163" s="3190" t="s">
        <v>4565</v>
      </c>
      <c r="X163" s="3190" t="s">
        <v>21</v>
      </c>
      <c r="Y163" s="3190">
        <v>20925</v>
      </c>
      <c r="Z163" s="3190">
        <v>1701</v>
      </c>
    </row>
    <row r="164" spans="16:26">
      <c r="P164" s="3190">
        <v>38</v>
      </c>
      <c r="Q164" s="3190" t="s">
        <v>4568</v>
      </c>
      <c r="R164" s="3190" t="s">
        <v>4569</v>
      </c>
      <c r="S164" s="3190" t="s">
        <v>4575</v>
      </c>
      <c r="T164" s="3190">
        <v>37</v>
      </c>
      <c r="U164" s="3190">
        <v>25</v>
      </c>
      <c r="V164" s="3190">
        <v>804.26</v>
      </c>
      <c r="W164" s="3190" t="s">
        <v>4565</v>
      </c>
      <c r="X164" s="3190" t="s">
        <v>21</v>
      </c>
      <c r="Y164" s="3190">
        <v>20925</v>
      </c>
      <c r="Z164" s="3190">
        <v>1683</v>
      </c>
    </row>
    <row r="165" spans="16:26">
      <c r="P165" s="3190">
        <v>39</v>
      </c>
      <c r="Q165" s="3190" t="s">
        <v>4568</v>
      </c>
      <c r="R165" s="3190" t="s">
        <v>4569</v>
      </c>
      <c r="S165" s="3190" t="s">
        <v>4576</v>
      </c>
      <c r="T165" s="3190">
        <v>37</v>
      </c>
      <c r="U165" s="3190">
        <v>26</v>
      </c>
      <c r="V165" s="3190">
        <v>812.84</v>
      </c>
      <c r="W165" s="3190" t="s">
        <v>4565</v>
      </c>
      <c r="X165" s="3190" t="s">
        <v>21</v>
      </c>
      <c r="Y165" s="3190">
        <v>20925</v>
      </c>
      <c r="Z165" s="3190">
        <v>1701</v>
      </c>
    </row>
    <row r="166" spans="16:26">
      <c r="P166" s="3190">
        <v>40</v>
      </c>
      <c r="Q166" s="3190" t="s">
        <v>4568</v>
      </c>
      <c r="R166" s="3190" t="s">
        <v>4569</v>
      </c>
      <c r="S166" s="3190" t="s">
        <v>4577</v>
      </c>
      <c r="T166" s="3190">
        <v>37</v>
      </c>
      <c r="U166" s="3190">
        <v>26</v>
      </c>
      <c r="V166" s="3190">
        <v>804.26</v>
      </c>
      <c r="W166" s="3190" t="s">
        <v>4565</v>
      </c>
      <c r="X166" s="3190" t="s">
        <v>21</v>
      </c>
      <c r="Y166" s="3190">
        <v>20925</v>
      </c>
      <c r="Z166" s="3190">
        <v>1683</v>
      </c>
    </row>
    <row r="167" spans="16:26">
      <c r="P167" s="3190">
        <v>41</v>
      </c>
      <c r="Q167" s="3190" t="s">
        <v>4568</v>
      </c>
      <c r="R167" s="3190" t="s">
        <v>4569</v>
      </c>
      <c r="S167" s="3190" t="s">
        <v>4578</v>
      </c>
      <c r="T167" s="3190">
        <v>37</v>
      </c>
      <c r="U167" s="3190">
        <v>27</v>
      </c>
      <c r="V167" s="3190">
        <v>812.84</v>
      </c>
      <c r="W167" s="3190" t="s">
        <v>4565</v>
      </c>
      <c r="X167" s="3190" t="s">
        <v>21</v>
      </c>
      <c r="Y167" s="3190">
        <v>20925</v>
      </c>
      <c r="Z167" s="3190">
        <v>1701</v>
      </c>
    </row>
    <row r="168" spans="16:26">
      <c r="P168" s="3190">
        <v>42</v>
      </c>
      <c r="Q168" s="3190" t="s">
        <v>4568</v>
      </c>
      <c r="R168" s="3190" t="s">
        <v>4569</v>
      </c>
      <c r="S168" s="3190" t="s">
        <v>4579</v>
      </c>
      <c r="T168" s="3190">
        <v>37</v>
      </c>
      <c r="U168" s="3190">
        <v>27</v>
      </c>
      <c r="V168" s="3190">
        <v>804.26</v>
      </c>
      <c r="W168" s="3190" t="s">
        <v>4565</v>
      </c>
      <c r="X168" s="3190" t="s">
        <v>21</v>
      </c>
      <c r="Y168" s="3190">
        <v>20925</v>
      </c>
      <c r="Z168" s="3190">
        <v>1683</v>
      </c>
    </row>
    <row r="169" spans="16:26">
      <c r="P169" s="3190">
        <v>43</v>
      </c>
      <c r="Q169" s="3190" t="s">
        <v>4568</v>
      </c>
      <c r="R169" s="3190" t="s">
        <v>4569</v>
      </c>
      <c r="S169" s="3190" t="s">
        <v>4580</v>
      </c>
      <c r="T169" s="3190">
        <v>37</v>
      </c>
      <c r="U169" s="3190">
        <v>28</v>
      </c>
      <c r="V169" s="3190">
        <v>812.84</v>
      </c>
      <c r="W169" s="3190" t="s">
        <v>4565</v>
      </c>
      <c r="X169" s="3190" t="s">
        <v>21</v>
      </c>
      <c r="Y169" s="3190">
        <v>20925</v>
      </c>
      <c r="Z169" s="3190">
        <v>1701</v>
      </c>
    </row>
    <row r="170" spans="16:26">
      <c r="P170" s="3190">
        <v>44</v>
      </c>
      <c r="Q170" s="3190" t="s">
        <v>4568</v>
      </c>
      <c r="R170" s="3190" t="s">
        <v>4569</v>
      </c>
      <c r="S170" s="3190" t="s">
        <v>4581</v>
      </c>
      <c r="T170" s="3190">
        <v>37</v>
      </c>
      <c r="U170" s="3190">
        <v>28</v>
      </c>
      <c r="V170" s="3190">
        <v>804.26</v>
      </c>
      <c r="W170" s="3190" t="s">
        <v>4565</v>
      </c>
      <c r="X170" s="3190" t="s">
        <v>21</v>
      </c>
      <c r="Y170" s="3190">
        <v>20925</v>
      </c>
      <c r="Z170" s="3190">
        <v>1683</v>
      </c>
    </row>
    <row r="171" spans="16:26">
      <c r="P171" s="3190">
        <v>45</v>
      </c>
      <c r="Q171" s="3190" t="s">
        <v>4568</v>
      </c>
      <c r="R171" s="3190" t="s">
        <v>4569</v>
      </c>
      <c r="S171" s="3190" t="s">
        <v>4582</v>
      </c>
      <c r="T171" s="3190">
        <v>37</v>
      </c>
      <c r="U171" s="3190">
        <v>29</v>
      </c>
      <c r="V171" s="3190">
        <v>812.84</v>
      </c>
      <c r="W171" s="3190" t="s">
        <v>4565</v>
      </c>
      <c r="X171" s="3190" t="s">
        <v>21</v>
      </c>
      <c r="Y171" s="3190">
        <v>20925</v>
      </c>
      <c r="Z171" s="3190">
        <v>1701</v>
      </c>
    </row>
    <row r="172" spans="16:26">
      <c r="P172" s="3190">
        <v>46</v>
      </c>
      <c r="Q172" s="3190" t="s">
        <v>4568</v>
      </c>
      <c r="R172" s="3190" t="s">
        <v>4569</v>
      </c>
      <c r="S172" s="3190" t="s">
        <v>4583</v>
      </c>
      <c r="T172" s="3190">
        <v>37</v>
      </c>
      <c r="U172" s="3190">
        <v>29</v>
      </c>
      <c r="V172" s="3190">
        <v>804.26</v>
      </c>
      <c r="W172" s="3190" t="s">
        <v>4565</v>
      </c>
      <c r="X172" s="3190" t="s">
        <v>21</v>
      </c>
      <c r="Y172" s="3190">
        <v>20925</v>
      </c>
      <c r="Z172" s="3190">
        <v>1683</v>
      </c>
    </row>
    <row r="173" spans="16:26">
      <c r="P173" s="3190">
        <v>47</v>
      </c>
      <c r="Q173" s="3190" t="s">
        <v>4568</v>
      </c>
      <c r="R173" s="3190" t="s">
        <v>4569</v>
      </c>
      <c r="S173" s="3190" t="s">
        <v>4584</v>
      </c>
      <c r="T173" s="3190">
        <v>37</v>
      </c>
      <c r="U173" s="3190">
        <v>30</v>
      </c>
      <c r="V173" s="3190">
        <v>812.84</v>
      </c>
      <c r="W173" s="3190" t="s">
        <v>4565</v>
      </c>
      <c r="X173" s="3190" t="s">
        <v>21</v>
      </c>
      <c r="Y173" s="3190">
        <v>20925</v>
      </c>
      <c r="Z173" s="3190">
        <v>1701</v>
      </c>
    </row>
    <row r="174" spans="16:26">
      <c r="P174" s="3190">
        <v>48</v>
      </c>
      <c r="Q174" s="3190" t="s">
        <v>4568</v>
      </c>
      <c r="R174" s="3190" t="s">
        <v>4569</v>
      </c>
      <c r="S174" s="3190" t="s">
        <v>4585</v>
      </c>
      <c r="T174" s="3190">
        <v>37</v>
      </c>
      <c r="U174" s="3190">
        <v>30</v>
      </c>
      <c r="V174" s="3190">
        <v>804.26</v>
      </c>
      <c r="W174" s="3190" t="s">
        <v>4565</v>
      </c>
      <c r="X174" s="3190" t="s">
        <v>21</v>
      </c>
      <c r="Y174" s="3190">
        <v>20925</v>
      </c>
      <c r="Z174" s="3190">
        <v>1683</v>
      </c>
    </row>
    <row r="175" spans="16:26">
      <c r="P175" s="3190">
        <v>49</v>
      </c>
      <c r="Q175" s="3190" t="s">
        <v>4568</v>
      </c>
      <c r="R175" s="3190" t="s">
        <v>4569</v>
      </c>
      <c r="S175" s="3190" t="s">
        <v>4586</v>
      </c>
      <c r="T175" s="3190">
        <v>37</v>
      </c>
      <c r="U175" s="3190">
        <v>31</v>
      </c>
      <c r="V175" s="3190">
        <v>812.84</v>
      </c>
      <c r="W175" s="3190" t="s">
        <v>4565</v>
      </c>
      <c r="X175" s="3190" t="s">
        <v>21</v>
      </c>
      <c r="Y175" s="3190">
        <v>20925</v>
      </c>
      <c r="Z175" s="3190">
        <v>1701</v>
      </c>
    </row>
    <row r="176" spans="16:26">
      <c r="P176" s="3190">
        <v>50</v>
      </c>
      <c r="Q176" s="3190" t="s">
        <v>4568</v>
      </c>
      <c r="R176" s="3190" t="s">
        <v>4569</v>
      </c>
      <c r="S176" s="3190" t="s">
        <v>4587</v>
      </c>
      <c r="T176" s="3190">
        <v>37</v>
      </c>
      <c r="U176" s="3190">
        <v>31</v>
      </c>
      <c r="V176" s="3190">
        <v>804.26</v>
      </c>
      <c r="W176" s="3190" t="s">
        <v>4565</v>
      </c>
      <c r="X176" s="3190" t="s">
        <v>21</v>
      </c>
      <c r="Y176" s="3190">
        <v>20925</v>
      </c>
      <c r="Z176" s="3190">
        <v>1683</v>
      </c>
    </row>
    <row r="177" spans="16:26">
      <c r="P177" s="3190">
        <v>51</v>
      </c>
      <c r="Q177" s="3190" t="s">
        <v>4568</v>
      </c>
      <c r="R177" s="3190" t="s">
        <v>4569</v>
      </c>
      <c r="S177" s="3190" t="s">
        <v>4588</v>
      </c>
      <c r="T177" s="3190">
        <v>37</v>
      </c>
      <c r="U177" s="3190">
        <v>32</v>
      </c>
      <c r="V177" s="3190">
        <v>812.84</v>
      </c>
      <c r="W177" s="3190" t="s">
        <v>4565</v>
      </c>
      <c r="X177" s="3190" t="s">
        <v>21</v>
      </c>
      <c r="Y177" s="3190">
        <v>20925</v>
      </c>
      <c r="Z177" s="3190">
        <v>1701</v>
      </c>
    </row>
    <row r="178" spans="16:26">
      <c r="P178" s="3190">
        <v>52</v>
      </c>
      <c r="Q178" s="3190" t="s">
        <v>4568</v>
      </c>
      <c r="R178" s="3190" t="s">
        <v>4569</v>
      </c>
      <c r="S178" s="3190" t="s">
        <v>4589</v>
      </c>
      <c r="T178" s="3190">
        <v>37</v>
      </c>
      <c r="U178" s="3190">
        <v>32</v>
      </c>
      <c r="V178" s="3190">
        <v>804.26</v>
      </c>
      <c r="W178" s="3190" t="s">
        <v>4565</v>
      </c>
      <c r="X178" s="3190" t="s">
        <v>21</v>
      </c>
      <c r="Y178" s="3190">
        <v>20925</v>
      </c>
      <c r="Z178" s="3190">
        <v>1683</v>
      </c>
    </row>
    <row r="179" spans="16:26">
      <c r="P179" s="3190">
        <v>53</v>
      </c>
      <c r="Q179" s="3190" t="s">
        <v>4568</v>
      </c>
      <c r="R179" s="3190" t="s">
        <v>4569</v>
      </c>
      <c r="S179" s="3190" t="s">
        <v>4590</v>
      </c>
      <c r="T179" s="3190">
        <v>37</v>
      </c>
      <c r="U179" s="3190">
        <v>33</v>
      </c>
      <c r="V179" s="3190">
        <v>812.84</v>
      </c>
      <c r="W179" s="3190" t="s">
        <v>4565</v>
      </c>
      <c r="X179" s="3190" t="s">
        <v>21</v>
      </c>
      <c r="Y179" s="3190">
        <v>20925</v>
      </c>
      <c r="Z179" s="3190">
        <v>1701</v>
      </c>
    </row>
    <row r="180" spans="16:26">
      <c r="P180" s="3190">
        <v>54</v>
      </c>
      <c r="Q180" s="3190" t="s">
        <v>4568</v>
      </c>
      <c r="R180" s="3190" t="s">
        <v>4569</v>
      </c>
      <c r="S180" s="3190" t="s">
        <v>4591</v>
      </c>
      <c r="T180" s="3190">
        <v>37</v>
      </c>
      <c r="U180" s="3190">
        <v>33</v>
      </c>
      <c r="V180" s="3190">
        <v>804.26</v>
      </c>
      <c r="W180" s="3190" t="s">
        <v>4565</v>
      </c>
      <c r="X180" s="3190" t="s">
        <v>21</v>
      </c>
      <c r="Y180" s="3190">
        <v>20925</v>
      </c>
      <c r="Z180" s="3190">
        <v>1683</v>
      </c>
    </row>
    <row r="181" spans="16:26">
      <c r="P181" s="3190" t="s">
        <v>4566</v>
      </c>
      <c r="Q181" s="3190"/>
      <c r="R181" s="3190"/>
      <c r="S181" s="3190"/>
      <c r="T181" s="3190"/>
      <c r="U181" s="3190"/>
      <c r="V181" s="3190">
        <f>SUM(V127:V180)</f>
        <v>43414.549999999974</v>
      </c>
      <c r="W181" s="3190"/>
      <c r="X181" s="3190"/>
      <c r="Y181" s="3190"/>
      <c r="Z181" s="3190">
        <f>SUM(Z127:Z180)</f>
        <v>87345</v>
      </c>
    </row>
    <row r="182" spans="16:26">
      <c r="P182" s="3190">
        <v>1</v>
      </c>
      <c r="Q182" s="3190" t="s">
        <v>4545</v>
      </c>
      <c r="R182" s="3190" t="s">
        <v>4504</v>
      </c>
      <c r="S182" s="3190">
        <v>101</v>
      </c>
      <c r="T182" s="3190">
        <v>8</v>
      </c>
      <c r="U182" s="3190">
        <v>1</v>
      </c>
      <c r="V182" s="3190">
        <v>56346.27</v>
      </c>
      <c r="W182" s="3190" t="s">
        <v>670</v>
      </c>
      <c r="X182" s="3190" t="s">
        <v>670</v>
      </c>
      <c r="Y182" s="3190">
        <v>15436</v>
      </c>
      <c r="Z182" s="3190">
        <v>86974</v>
      </c>
    </row>
    <row r="183" spans="16:26">
      <c r="P183" s="3190">
        <v>2</v>
      </c>
      <c r="Q183" s="3190" t="s">
        <v>4545</v>
      </c>
      <c r="R183" s="3190" t="s">
        <v>4504</v>
      </c>
      <c r="S183" s="3190" t="s">
        <v>4592</v>
      </c>
      <c r="T183" s="3190">
        <v>8</v>
      </c>
      <c r="U183" s="3190">
        <v>-2</v>
      </c>
      <c r="V183" s="3190">
        <v>52.93</v>
      </c>
      <c r="W183" s="3190" t="s">
        <v>4593</v>
      </c>
      <c r="X183" s="3190" t="s">
        <v>4593</v>
      </c>
      <c r="Y183" s="3190">
        <v>3510</v>
      </c>
      <c r="Z183" s="3190">
        <v>18.577999999999999</v>
      </c>
    </row>
    <row r="184" spans="16:26">
      <c r="P184" s="3190">
        <v>3</v>
      </c>
      <c r="Q184" s="3190" t="s">
        <v>4545</v>
      </c>
      <c r="R184" s="3190" t="s">
        <v>4504</v>
      </c>
      <c r="S184" s="3190" t="s">
        <v>3957</v>
      </c>
      <c r="T184" s="3190">
        <v>8</v>
      </c>
      <c r="U184" s="3190">
        <v>-2</v>
      </c>
      <c r="V184" s="3190">
        <v>52.93</v>
      </c>
      <c r="W184" s="3190" t="s">
        <v>4593</v>
      </c>
      <c r="X184" s="3190" t="s">
        <v>4593</v>
      </c>
      <c r="Y184" s="3190">
        <v>3510</v>
      </c>
      <c r="Z184" s="3190">
        <v>18.577999999999999</v>
      </c>
    </row>
    <row r="185" spans="16:26">
      <c r="P185" s="3190">
        <v>4</v>
      </c>
      <c r="Q185" s="3190" t="s">
        <v>4545</v>
      </c>
      <c r="R185" s="3190" t="s">
        <v>4504</v>
      </c>
      <c r="S185" s="3190" t="s">
        <v>3958</v>
      </c>
      <c r="T185" s="3190">
        <v>8</v>
      </c>
      <c r="U185" s="3190">
        <v>-2</v>
      </c>
      <c r="V185" s="3190">
        <v>52.93</v>
      </c>
      <c r="W185" s="3190" t="s">
        <v>4593</v>
      </c>
      <c r="X185" s="3190" t="s">
        <v>4593</v>
      </c>
      <c r="Y185" s="3190">
        <v>3510</v>
      </c>
      <c r="Z185" s="3190">
        <v>18.577999999999999</v>
      </c>
    </row>
    <row r="186" spans="16:26">
      <c r="P186" s="3190">
        <v>5</v>
      </c>
      <c r="Q186" s="3190" t="s">
        <v>4545</v>
      </c>
      <c r="R186" s="3190" t="s">
        <v>4504</v>
      </c>
      <c r="S186" s="3190" t="s">
        <v>3959</v>
      </c>
      <c r="T186" s="3190">
        <v>8</v>
      </c>
      <c r="U186" s="3190">
        <v>-2</v>
      </c>
      <c r="V186" s="3190">
        <v>52.93</v>
      </c>
      <c r="W186" s="3190" t="s">
        <v>4593</v>
      </c>
      <c r="X186" s="3190" t="s">
        <v>4593</v>
      </c>
      <c r="Y186" s="3190">
        <v>3510</v>
      </c>
      <c r="Z186" s="3190">
        <v>18.577999999999999</v>
      </c>
    </row>
    <row r="187" spans="16:26">
      <c r="P187" s="3190">
        <v>6</v>
      </c>
      <c r="Q187" s="3190" t="s">
        <v>4545</v>
      </c>
      <c r="R187" s="3190" t="s">
        <v>4504</v>
      </c>
      <c r="S187" s="3190" t="s">
        <v>3960</v>
      </c>
      <c r="T187" s="3190">
        <v>8</v>
      </c>
      <c r="U187" s="3190">
        <v>-2</v>
      </c>
      <c r="V187" s="3190">
        <v>52.93</v>
      </c>
      <c r="W187" s="3190" t="s">
        <v>4593</v>
      </c>
      <c r="X187" s="3190" t="s">
        <v>4593</v>
      </c>
      <c r="Y187" s="3190">
        <v>3510</v>
      </c>
      <c r="Z187" s="3190">
        <v>18.577999999999999</v>
      </c>
    </row>
    <row r="188" spans="16:26">
      <c r="P188" s="3190">
        <v>7</v>
      </c>
      <c r="Q188" s="3190" t="s">
        <v>4545</v>
      </c>
      <c r="R188" s="3190" t="s">
        <v>4504</v>
      </c>
      <c r="S188" s="3190" t="s">
        <v>3961</v>
      </c>
      <c r="T188" s="3190">
        <v>8</v>
      </c>
      <c r="U188" s="3190">
        <v>-2</v>
      </c>
      <c r="V188" s="3190">
        <v>52.93</v>
      </c>
      <c r="W188" s="3190" t="s">
        <v>4593</v>
      </c>
      <c r="X188" s="3190" t="s">
        <v>4593</v>
      </c>
      <c r="Y188" s="3190">
        <v>3510</v>
      </c>
      <c r="Z188" s="3190">
        <v>18.577999999999999</v>
      </c>
    </row>
    <row r="189" spans="16:26">
      <c r="P189" s="3190">
        <v>8</v>
      </c>
      <c r="Q189" s="3190" t="s">
        <v>4545</v>
      </c>
      <c r="R189" s="3190" t="s">
        <v>4504</v>
      </c>
      <c r="S189" s="3190" t="s">
        <v>3962</v>
      </c>
      <c r="T189" s="3190">
        <v>8</v>
      </c>
      <c r="U189" s="3190">
        <v>-2</v>
      </c>
      <c r="V189" s="3190">
        <v>52.93</v>
      </c>
      <c r="W189" s="3190" t="s">
        <v>4593</v>
      </c>
      <c r="X189" s="3190" t="s">
        <v>4593</v>
      </c>
      <c r="Y189" s="3190">
        <v>3510</v>
      </c>
      <c r="Z189" s="3190">
        <v>18.577999999999999</v>
      </c>
    </row>
    <row r="190" spans="16:26">
      <c r="P190" s="3190">
        <v>9</v>
      </c>
      <c r="Q190" s="3190" t="s">
        <v>4545</v>
      </c>
      <c r="R190" s="3190" t="s">
        <v>4504</v>
      </c>
      <c r="S190" s="3190" t="s">
        <v>3963</v>
      </c>
      <c r="T190" s="3190">
        <v>8</v>
      </c>
      <c r="U190" s="3190">
        <v>-2</v>
      </c>
      <c r="V190" s="3190">
        <v>52.93</v>
      </c>
      <c r="W190" s="3190" t="s">
        <v>4593</v>
      </c>
      <c r="X190" s="3190" t="s">
        <v>4593</v>
      </c>
      <c r="Y190" s="3190">
        <v>3510</v>
      </c>
      <c r="Z190" s="3190">
        <v>18.577999999999999</v>
      </c>
    </row>
    <row r="191" spans="16:26">
      <c r="P191" s="3190">
        <v>10</v>
      </c>
      <c r="Q191" s="3190" t="s">
        <v>4545</v>
      </c>
      <c r="R191" s="3190" t="s">
        <v>4504</v>
      </c>
      <c r="S191" s="3190" t="s">
        <v>3964</v>
      </c>
      <c r="T191" s="3190">
        <v>8</v>
      </c>
      <c r="U191" s="3190">
        <v>-2</v>
      </c>
      <c r="V191" s="3190">
        <v>52.93</v>
      </c>
      <c r="W191" s="3190" t="s">
        <v>4593</v>
      </c>
      <c r="X191" s="3190" t="s">
        <v>4593</v>
      </c>
      <c r="Y191" s="3190">
        <v>3510</v>
      </c>
      <c r="Z191" s="3190">
        <v>18.577999999999999</v>
      </c>
    </row>
    <row r="192" spans="16:26">
      <c r="P192" s="3190">
        <v>11</v>
      </c>
      <c r="Q192" s="3190" t="s">
        <v>4545</v>
      </c>
      <c r="R192" s="3190" t="s">
        <v>4504</v>
      </c>
      <c r="S192" s="3190" t="s">
        <v>3965</v>
      </c>
      <c r="T192" s="3190">
        <v>8</v>
      </c>
      <c r="U192" s="3190">
        <v>-2</v>
      </c>
      <c r="V192" s="3190">
        <v>52.93</v>
      </c>
      <c r="W192" s="3190" t="s">
        <v>4593</v>
      </c>
      <c r="X192" s="3190" t="s">
        <v>4593</v>
      </c>
      <c r="Y192" s="3190">
        <v>3510</v>
      </c>
      <c r="Z192" s="3190">
        <v>18.577999999999999</v>
      </c>
    </row>
    <row r="193" spans="16:26">
      <c r="P193" s="3190">
        <v>12</v>
      </c>
      <c r="Q193" s="3190" t="s">
        <v>4545</v>
      </c>
      <c r="R193" s="3190" t="s">
        <v>4504</v>
      </c>
      <c r="S193" s="3190" t="s">
        <v>3966</v>
      </c>
      <c r="T193" s="3190">
        <v>8</v>
      </c>
      <c r="U193" s="3190">
        <v>-2</v>
      </c>
      <c r="V193" s="3190">
        <v>52.93</v>
      </c>
      <c r="W193" s="3190" t="s">
        <v>4593</v>
      </c>
      <c r="X193" s="3190" t="s">
        <v>4593</v>
      </c>
      <c r="Y193" s="3190">
        <v>3510</v>
      </c>
      <c r="Z193" s="3190">
        <v>18.577999999999999</v>
      </c>
    </row>
    <row r="194" spans="16:26">
      <c r="P194" s="3190">
        <v>13</v>
      </c>
      <c r="Q194" s="3190" t="s">
        <v>4545</v>
      </c>
      <c r="R194" s="3190" t="s">
        <v>4504</v>
      </c>
      <c r="S194" s="3190" t="s">
        <v>3967</v>
      </c>
      <c r="T194" s="3190">
        <v>8</v>
      </c>
      <c r="U194" s="3190">
        <v>-2</v>
      </c>
      <c r="V194" s="3190">
        <v>52.93</v>
      </c>
      <c r="W194" s="3190" t="s">
        <v>4593</v>
      </c>
      <c r="X194" s="3190" t="s">
        <v>4593</v>
      </c>
      <c r="Y194" s="3190">
        <v>3510</v>
      </c>
      <c r="Z194" s="3190">
        <v>18.577999999999999</v>
      </c>
    </row>
    <row r="195" spans="16:26">
      <c r="P195" s="3190">
        <v>14</v>
      </c>
      <c r="Q195" s="3190" t="s">
        <v>4545</v>
      </c>
      <c r="R195" s="3190" t="s">
        <v>4504</v>
      </c>
      <c r="S195" s="3190" t="s">
        <v>3968</v>
      </c>
      <c r="T195" s="3190">
        <v>8</v>
      </c>
      <c r="U195" s="3190">
        <v>-2</v>
      </c>
      <c r="V195" s="3190">
        <v>52.93</v>
      </c>
      <c r="W195" s="3190" t="s">
        <v>4593</v>
      </c>
      <c r="X195" s="3190" t="s">
        <v>4593</v>
      </c>
      <c r="Y195" s="3190">
        <v>3510</v>
      </c>
      <c r="Z195" s="3190">
        <v>18.577999999999999</v>
      </c>
    </row>
    <row r="196" spans="16:26">
      <c r="P196" s="3190">
        <v>15</v>
      </c>
      <c r="Q196" s="3190" t="s">
        <v>4545</v>
      </c>
      <c r="R196" s="3190" t="s">
        <v>4504</v>
      </c>
      <c r="S196" s="3190" t="s">
        <v>3969</v>
      </c>
      <c r="T196" s="3190">
        <v>8</v>
      </c>
      <c r="U196" s="3190">
        <v>-2</v>
      </c>
      <c r="V196" s="3190">
        <v>52.93</v>
      </c>
      <c r="W196" s="3190" t="s">
        <v>4593</v>
      </c>
      <c r="X196" s="3190" t="s">
        <v>4593</v>
      </c>
      <c r="Y196" s="3190">
        <v>3510</v>
      </c>
      <c r="Z196" s="3190">
        <v>18.577999999999999</v>
      </c>
    </row>
    <row r="197" spans="16:26">
      <c r="P197" s="3190">
        <v>16</v>
      </c>
      <c r="Q197" s="3190" t="s">
        <v>4545</v>
      </c>
      <c r="R197" s="3190" t="s">
        <v>4504</v>
      </c>
      <c r="S197" s="3190" t="s">
        <v>3970</v>
      </c>
      <c r="T197" s="3190">
        <v>8</v>
      </c>
      <c r="U197" s="3190">
        <v>-2</v>
      </c>
      <c r="V197" s="3190">
        <v>52.93</v>
      </c>
      <c r="W197" s="3190" t="s">
        <v>4593</v>
      </c>
      <c r="X197" s="3190" t="s">
        <v>4593</v>
      </c>
      <c r="Y197" s="3190">
        <v>3510</v>
      </c>
      <c r="Z197" s="3190">
        <v>18.577999999999999</v>
      </c>
    </row>
    <row r="198" spans="16:26">
      <c r="P198" s="3190">
        <v>17</v>
      </c>
      <c r="Q198" s="3190" t="s">
        <v>4545</v>
      </c>
      <c r="R198" s="3190" t="s">
        <v>4504</v>
      </c>
      <c r="S198" s="3190" t="s">
        <v>3971</v>
      </c>
      <c r="T198" s="3190">
        <v>8</v>
      </c>
      <c r="U198" s="3190">
        <v>-2</v>
      </c>
      <c r="V198" s="3190">
        <v>52.93</v>
      </c>
      <c r="W198" s="3190" t="s">
        <v>4593</v>
      </c>
      <c r="X198" s="3190" t="s">
        <v>4593</v>
      </c>
      <c r="Y198" s="3190">
        <v>3510</v>
      </c>
      <c r="Z198" s="3190">
        <v>18.577999999999999</v>
      </c>
    </row>
    <row r="199" spans="16:26">
      <c r="P199" s="3190">
        <v>18</v>
      </c>
      <c r="Q199" s="3190" t="s">
        <v>4545</v>
      </c>
      <c r="R199" s="3190" t="s">
        <v>4504</v>
      </c>
      <c r="S199" s="3190" t="s">
        <v>3972</v>
      </c>
      <c r="T199" s="3190">
        <v>8</v>
      </c>
      <c r="U199" s="3190">
        <v>-2</v>
      </c>
      <c r="V199" s="3190">
        <v>52.93</v>
      </c>
      <c r="W199" s="3190" t="s">
        <v>4593</v>
      </c>
      <c r="X199" s="3190" t="s">
        <v>4593</v>
      </c>
      <c r="Y199" s="3190">
        <v>3510</v>
      </c>
      <c r="Z199" s="3190">
        <v>18.577999999999999</v>
      </c>
    </row>
    <row r="200" spans="16:26">
      <c r="P200" s="3190">
        <v>19</v>
      </c>
      <c r="Q200" s="3190" t="s">
        <v>4545</v>
      </c>
      <c r="R200" s="3190" t="s">
        <v>4504</v>
      </c>
      <c r="S200" s="3190" t="s">
        <v>3973</v>
      </c>
      <c r="T200" s="3190">
        <v>8</v>
      </c>
      <c r="U200" s="3190">
        <v>-2</v>
      </c>
      <c r="V200" s="3190">
        <v>52.93</v>
      </c>
      <c r="W200" s="3190" t="s">
        <v>4593</v>
      </c>
      <c r="X200" s="3190" t="s">
        <v>4593</v>
      </c>
      <c r="Y200" s="3190">
        <v>3510</v>
      </c>
      <c r="Z200" s="3190">
        <v>18.577999999999999</v>
      </c>
    </row>
    <row r="201" spans="16:26">
      <c r="P201" s="3190">
        <v>20</v>
      </c>
      <c r="Q201" s="3190" t="s">
        <v>4545</v>
      </c>
      <c r="R201" s="3190" t="s">
        <v>4504</v>
      </c>
      <c r="S201" s="3190" t="s">
        <v>3974</v>
      </c>
      <c r="T201" s="3190">
        <v>8</v>
      </c>
      <c r="U201" s="3190">
        <v>-2</v>
      </c>
      <c r="V201" s="3190">
        <v>52.93</v>
      </c>
      <c r="W201" s="3190" t="s">
        <v>4593</v>
      </c>
      <c r="X201" s="3190" t="s">
        <v>4593</v>
      </c>
      <c r="Y201" s="3190">
        <v>3510</v>
      </c>
      <c r="Z201" s="3190">
        <v>18.577999999999999</v>
      </c>
    </row>
    <row r="202" spans="16:26">
      <c r="P202" s="3190">
        <v>21</v>
      </c>
      <c r="Q202" s="3190" t="s">
        <v>4545</v>
      </c>
      <c r="R202" s="3190" t="s">
        <v>4504</v>
      </c>
      <c r="S202" s="3190" t="s">
        <v>3975</v>
      </c>
      <c r="T202" s="3190">
        <v>8</v>
      </c>
      <c r="U202" s="3190">
        <v>-2</v>
      </c>
      <c r="V202" s="3190">
        <v>52.93</v>
      </c>
      <c r="W202" s="3190" t="s">
        <v>4593</v>
      </c>
      <c r="X202" s="3190" t="s">
        <v>4593</v>
      </c>
      <c r="Y202" s="3190">
        <v>3510</v>
      </c>
      <c r="Z202" s="3190">
        <v>18.577999999999999</v>
      </c>
    </row>
    <row r="203" spans="16:26">
      <c r="P203" s="3190">
        <v>22</v>
      </c>
      <c r="Q203" s="3190" t="s">
        <v>4545</v>
      </c>
      <c r="R203" s="3190" t="s">
        <v>4504</v>
      </c>
      <c r="S203" s="3190" t="s">
        <v>3976</v>
      </c>
      <c r="T203" s="3190">
        <v>8</v>
      </c>
      <c r="U203" s="3190">
        <v>-2</v>
      </c>
      <c r="V203" s="3190">
        <v>52.93</v>
      </c>
      <c r="W203" s="3190" t="s">
        <v>4593</v>
      </c>
      <c r="X203" s="3190" t="s">
        <v>4593</v>
      </c>
      <c r="Y203" s="3190">
        <v>3510</v>
      </c>
      <c r="Z203" s="3190">
        <v>18.577999999999999</v>
      </c>
    </row>
    <row r="204" spans="16:26">
      <c r="P204" s="3190">
        <v>23</v>
      </c>
      <c r="Q204" s="3190" t="s">
        <v>4545</v>
      </c>
      <c r="R204" s="3190" t="s">
        <v>4504</v>
      </c>
      <c r="S204" s="3190" t="s">
        <v>3977</v>
      </c>
      <c r="T204" s="3190">
        <v>8</v>
      </c>
      <c r="U204" s="3190">
        <v>-2</v>
      </c>
      <c r="V204" s="3190">
        <v>52.93</v>
      </c>
      <c r="W204" s="3190" t="s">
        <v>4593</v>
      </c>
      <c r="X204" s="3190" t="s">
        <v>4593</v>
      </c>
      <c r="Y204" s="3190">
        <v>3510</v>
      </c>
      <c r="Z204" s="3190">
        <v>18.577999999999999</v>
      </c>
    </row>
    <row r="205" spans="16:26">
      <c r="P205" s="3190">
        <v>24</v>
      </c>
      <c r="Q205" s="3190" t="s">
        <v>4545</v>
      </c>
      <c r="R205" s="3190" t="s">
        <v>4504</v>
      </c>
      <c r="S205" s="3190" t="s">
        <v>3978</v>
      </c>
      <c r="T205" s="3190">
        <v>8</v>
      </c>
      <c r="U205" s="3190">
        <v>-2</v>
      </c>
      <c r="V205" s="3190">
        <v>52.93</v>
      </c>
      <c r="W205" s="3190" t="s">
        <v>4593</v>
      </c>
      <c r="X205" s="3190" t="s">
        <v>4593</v>
      </c>
      <c r="Y205" s="3190">
        <v>3510</v>
      </c>
      <c r="Z205" s="3190">
        <v>18.577999999999999</v>
      </c>
    </row>
    <row r="206" spans="16:26">
      <c r="P206" s="3190">
        <v>25</v>
      </c>
      <c r="Q206" s="3190" t="s">
        <v>4545</v>
      </c>
      <c r="R206" s="3190" t="s">
        <v>4504</v>
      </c>
      <c r="S206" s="3190" t="s">
        <v>3979</v>
      </c>
      <c r="T206" s="3190">
        <v>8</v>
      </c>
      <c r="U206" s="3190">
        <v>-2</v>
      </c>
      <c r="V206" s="3190">
        <v>52.93</v>
      </c>
      <c r="W206" s="3190" t="s">
        <v>4593</v>
      </c>
      <c r="X206" s="3190" t="s">
        <v>4593</v>
      </c>
      <c r="Y206" s="3190">
        <v>3510</v>
      </c>
      <c r="Z206" s="3190">
        <v>18.577999999999999</v>
      </c>
    </row>
    <row r="207" spans="16:26">
      <c r="P207" s="3190">
        <v>26</v>
      </c>
      <c r="Q207" s="3190" t="s">
        <v>4545</v>
      </c>
      <c r="R207" s="3190" t="s">
        <v>4504</v>
      </c>
      <c r="S207" s="3190" t="s">
        <v>3980</v>
      </c>
      <c r="T207" s="3190">
        <v>8</v>
      </c>
      <c r="U207" s="3190">
        <v>-2</v>
      </c>
      <c r="V207" s="3190">
        <v>50.93</v>
      </c>
      <c r="W207" s="3190" t="s">
        <v>4593</v>
      </c>
      <c r="X207" s="3190" t="s">
        <v>4593</v>
      </c>
      <c r="Y207" s="3190">
        <v>3648</v>
      </c>
      <c r="Z207" s="3190">
        <v>18.577999999999999</v>
      </c>
    </row>
    <row r="208" spans="16:26">
      <c r="P208" s="3190">
        <v>27</v>
      </c>
      <c r="Q208" s="3190" t="s">
        <v>4545</v>
      </c>
      <c r="R208" s="3190" t="s">
        <v>4504</v>
      </c>
      <c r="S208" s="3190" t="s">
        <v>3981</v>
      </c>
      <c r="T208" s="3190">
        <v>8</v>
      </c>
      <c r="U208" s="3190">
        <v>-2</v>
      </c>
      <c r="V208" s="3190">
        <v>50.93</v>
      </c>
      <c r="W208" s="3190" t="s">
        <v>4593</v>
      </c>
      <c r="X208" s="3190" t="s">
        <v>4593</v>
      </c>
      <c r="Y208" s="3190">
        <v>3648</v>
      </c>
      <c r="Z208" s="3190">
        <v>18.577999999999999</v>
      </c>
    </row>
    <row r="209" spans="16:26">
      <c r="P209" s="3190">
        <v>28</v>
      </c>
      <c r="Q209" s="3190" t="s">
        <v>4545</v>
      </c>
      <c r="R209" s="3190" t="s">
        <v>4504</v>
      </c>
      <c r="S209" s="3190" t="s">
        <v>3982</v>
      </c>
      <c r="T209" s="3190">
        <v>8</v>
      </c>
      <c r="U209" s="3190">
        <v>-2</v>
      </c>
      <c r="V209" s="3190">
        <v>50.93</v>
      </c>
      <c r="W209" s="3190" t="s">
        <v>4593</v>
      </c>
      <c r="X209" s="3190" t="s">
        <v>4593</v>
      </c>
      <c r="Y209" s="3190">
        <v>3648</v>
      </c>
      <c r="Z209" s="3190">
        <v>18.577999999999999</v>
      </c>
    </row>
    <row r="210" spans="16:26">
      <c r="P210" s="3190">
        <v>29</v>
      </c>
      <c r="Q210" s="3190" t="s">
        <v>4545</v>
      </c>
      <c r="R210" s="3190" t="s">
        <v>4504</v>
      </c>
      <c r="S210" s="3190" t="s">
        <v>3983</v>
      </c>
      <c r="T210" s="3190">
        <v>8</v>
      </c>
      <c r="U210" s="3190">
        <v>-2</v>
      </c>
      <c r="V210" s="3190">
        <v>50.93</v>
      </c>
      <c r="W210" s="3190" t="s">
        <v>4593</v>
      </c>
      <c r="X210" s="3190" t="s">
        <v>4593</v>
      </c>
      <c r="Y210" s="3190">
        <v>3648</v>
      </c>
      <c r="Z210" s="3190">
        <v>18.577999999999999</v>
      </c>
    </row>
    <row r="211" spans="16:26">
      <c r="P211" s="3190">
        <v>30</v>
      </c>
      <c r="Q211" s="3190" t="s">
        <v>4545</v>
      </c>
      <c r="R211" s="3190" t="s">
        <v>4504</v>
      </c>
      <c r="S211" s="3190" t="s">
        <v>3984</v>
      </c>
      <c r="T211" s="3190">
        <v>8</v>
      </c>
      <c r="U211" s="3190">
        <v>-2</v>
      </c>
      <c r="V211" s="3190">
        <v>50.93</v>
      </c>
      <c r="W211" s="3190" t="s">
        <v>4593</v>
      </c>
      <c r="X211" s="3190" t="s">
        <v>4593</v>
      </c>
      <c r="Y211" s="3190">
        <v>3648</v>
      </c>
      <c r="Z211" s="3190">
        <v>18.577999999999999</v>
      </c>
    </row>
    <row r="212" spans="16:26">
      <c r="P212" s="3190">
        <v>31</v>
      </c>
      <c r="Q212" s="3190" t="s">
        <v>4545</v>
      </c>
      <c r="R212" s="3190" t="s">
        <v>4504</v>
      </c>
      <c r="S212" s="3190" t="s">
        <v>3985</v>
      </c>
      <c r="T212" s="3190">
        <v>8</v>
      </c>
      <c r="U212" s="3190">
        <v>-2</v>
      </c>
      <c r="V212" s="3190">
        <v>50.93</v>
      </c>
      <c r="W212" s="3190" t="s">
        <v>4593</v>
      </c>
      <c r="X212" s="3190" t="s">
        <v>4593</v>
      </c>
      <c r="Y212" s="3190">
        <v>3648</v>
      </c>
      <c r="Z212" s="3190">
        <v>18.577999999999999</v>
      </c>
    </row>
    <row r="213" spans="16:26">
      <c r="P213" s="3190">
        <v>32</v>
      </c>
      <c r="Q213" s="3190" t="s">
        <v>4545</v>
      </c>
      <c r="R213" s="3190" t="s">
        <v>4504</v>
      </c>
      <c r="S213" s="3190" t="s">
        <v>3986</v>
      </c>
      <c r="T213" s="3190">
        <v>8</v>
      </c>
      <c r="U213" s="3190">
        <v>-2</v>
      </c>
      <c r="V213" s="3190">
        <v>50.93</v>
      </c>
      <c r="W213" s="3190" t="s">
        <v>4593</v>
      </c>
      <c r="X213" s="3190" t="s">
        <v>4593</v>
      </c>
      <c r="Y213" s="3190">
        <v>3648</v>
      </c>
      <c r="Z213" s="3190">
        <v>18.577999999999999</v>
      </c>
    </row>
    <row r="214" spans="16:26">
      <c r="P214" s="3190">
        <v>33</v>
      </c>
      <c r="Q214" s="3190" t="s">
        <v>4545</v>
      </c>
      <c r="R214" s="3190" t="s">
        <v>4504</v>
      </c>
      <c r="S214" s="3190" t="s">
        <v>3987</v>
      </c>
      <c r="T214" s="3190">
        <v>8</v>
      </c>
      <c r="U214" s="3190">
        <v>-2</v>
      </c>
      <c r="V214" s="3190">
        <v>50.93</v>
      </c>
      <c r="W214" s="3190" t="s">
        <v>4593</v>
      </c>
      <c r="X214" s="3190" t="s">
        <v>4593</v>
      </c>
      <c r="Y214" s="3190">
        <v>3648</v>
      </c>
      <c r="Z214" s="3190">
        <v>18.577999999999999</v>
      </c>
    </row>
    <row r="215" spans="16:26">
      <c r="P215" s="3190">
        <v>34</v>
      </c>
      <c r="Q215" s="3190" t="s">
        <v>4545</v>
      </c>
      <c r="R215" s="3190" t="s">
        <v>4504</v>
      </c>
      <c r="S215" s="3190" t="s">
        <v>3988</v>
      </c>
      <c r="T215" s="3190">
        <v>8</v>
      </c>
      <c r="U215" s="3190">
        <v>-2</v>
      </c>
      <c r="V215" s="3190">
        <v>50.93</v>
      </c>
      <c r="W215" s="3190" t="s">
        <v>4593</v>
      </c>
      <c r="X215" s="3190" t="s">
        <v>4593</v>
      </c>
      <c r="Y215" s="3190">
        <v>3648</v>
      </c>
      <c r="Z215" s="3190">
        <v>18.577999999999999</v>
      </c>
    </row>
    <row r="216" spans="16:26">
      <c r="P216" s="3190">
        <v>35</v>
      </c>
      <c r="Q216" s="3190" t="s">
        <v>4545</v>
      </c>
      <c r="R216" s="3190" t="s">
        <v>4504</v>
      </c>
      <c r="S216" s="3190" t="s">
        <v>3989</v>
      </c>
      <c r="T216" s="3190">
        <v>8</v>
      </c>
      <c r="U216" s="3190">
        <v>-2</v>
      </c>
      <c r="V216" s="3190">
        <v>50.93</v>
      </c>
      <c r="W216" s="3190" t="s">
        <v>4593</v>
      </c>
      <c r="X216" s="3190" t="s">
        <v>4593</v>
      </c>
      <c r="Y216" s="3190">
        <v>3648</v>
      </c>
      <c r="Z216" s="3190">
        <v>18.577999999999999</v>
      </c>
    </row>
    <row r="217" spans="16:26">
      <c r="P217" s="3190">
        <v>36</v>
      </c>
      <c r="Q217" s="3190" t="s">
        <v>4545</v>
      </c>
      <c r="R217" s="3190" t="s">
        <v>4504</v>
      </c>
      <c r="S217" s="3190" t="s">
        <v>3990</v>
      </c>
      <c r="T217" s="3190">
        <v>8</v>
      </c>
      <c r="U217" s="3190">
        <v>-2</v>
      </c>
      <c r="V217" s="3190">
        <v>50.93</v>
      </c>
      <c r="W217" s="3190" t="s">
        <v>4593</v>
      </c>
      <c r="X217" s="3190" t="s">
        <v>4593</v>
      </c>
      <c r="Y217" s="3190">
        <v>3648</v>
      </c>
      <c r="Z217" s="3190">
        <v>18.577999999999999</v>
      </c>
    </row>
    <row r="218" spans="16:26">
      <c r="P218" s="3190">
        <v>37</v>
      </c>
      <c r="Q218" s="3190" t="s">
        <v>4545</v>
      </c>
      <c r="R218" s="3190" t="s">
        <v>4504</v>
      </c>
      <c r="S218" s="3190" t="s">
        <v>3991</v>
      </c>
      <c r="T218" s="3190">
        <v>8</v>
      </c>
      <c r="U218" s="3190">
        <v>-2</v>
      </c>
      <c r="V218" s="3190">
        <v>50.93</v>
      </c>
      <c r="W218" s="3190" t="s">
        <v>4593</v>
      </c>
      <c r="X218" s="3190" t="s">
        <v>4593</v>
      </c>
      <c r="Y218" s="3190">
        <v>3648</v>
      </c>
      <c r="Z218" s="3190">
        <v>18.577999999999999</v>
      </c>
    </row>
    <row r="219" spans="16:26">
      <c r="P219" s="3190">
        <v>38</v>
      </c>
      <c r="Q219" s="3190" t="s">
        <v>4545</v>
      </c>
      <c r="R219" s="3190" t="s">
        <v>4504</v>
      </c>
      <c r="S219" s="3190" t="s">
        <v>3992</v>
      </c>
      <c r="T219" s="3190">
        <v>8</v>
      </c>
      <c r="U219" s="3190">
        <v>-2</v>
      </c>
      <c r="V219" s="3190">
        <v>50.93</v>
      </c>
      <c r="W219" s="3190" t="s">
        <v>4593</v>
      </c>
      <c r="X219" s="3190" t="s">
        <v>4593</v>
      </c>
      <c r="Y219" s="3190">
        <v>3648</v>
      </c>
      <c r="Z219" s="3190">
        <v>18.577999999999999</v>
      </c>
    </row>
    <row r="220" spans="16:26">
      <c r="P220" s="3190">
        <v>39</v>
      </c>
      <c r="Q220" s="3190" t="s">
        <v>4545</v>
      </c>
      <c r="R220" s="3190" t="s">
        <v>4504</v>
      </c>
      <c r="S220" s="3190" t="s">
        <v>3993</v>
      </c>
      <c r="T220" s="3190">
        <v>8</v>
      </c>
      <c r="U220" s="3190">
        <v>-2</v>
      </c>
      <c r="V220" s="3190">
        <v>50.93</v>
      </c>
      <c r="W220" s="3190" t="s">
        <v>4593</v>
      </c>
      <c r="X220" s="3190" t="s">
        <v>4593</v>
      </c>
      <c r="Y220" s="3190">
        <v>3648</v>
      </c>
      <c r="Z220" s="3190">
        <v>18.577999999999999</v>
      </c>
    </row>
    <row r="221" spans="16:26">
      <c r="P221" s="3190">
        <v>40</v>
      </c>
      <c r="Q221" s="3190" t="s">
        <v>4545</v>
      </c>
      <c r="R221" s="3190" t="s">
        <v>4504</v>
      </c>
      <c r="S221" s="3190" t="s">
        <v>3994</v>
      </c>
      <c r="T221" s="3190">
        <v>8</v>
      </c>
      <c r="U221" s="3190">
        <v>-2</v>
      </c>
      <c r="V221" s="3190">
        <v>50.93</v>
      </c>
      <c r="W221" s="3190" t="s">
        <v>4593</v>
      </c>
      <c r="X221" s="3190" t="s">
        <v>4593</v>
      </c>
      <c r="Y221" s="3190">
        <v>3648</v>
      </c>
      <c r="Z221" s="3190">
        <v>18.577999999999999</v>
      </c>
    </row>
    <row r="222" spans="16:26">
      <c r="P222" s="3190">
        <v>41</v>
      </c>
      <c r="Q222" s="3190" t="s">
        <v>4545</v>
      </c>
      <c r="R222" s="3190" t="s">
        <v>4504</v>
      </c>
      <c r="S222" s="3190" t="s">
        <v>3995</v>
      </c>
      <c r="T222" s="3190">
        <v>8</v>
      </c>
      <c r="U222" s="3190">
        <v>-2</v>
      </c>
      <c r="V222" s="3190">
        <v>50.93</v>
      </c>
      <c r="W222" s="3190" t="s">
        <v>4593</v>
      </c>
      <c r="X222" s="3190" t="s">
        <v>4593</v>
      </c>
      <c r="Y222" s="3190">
        <v>3648</v>
      </c>
      <c r="Z222" s="3190">
        <v>18.577999999999999</v>
      </c>
    </row>
    <row r="223" spans="16:26">
      <c r="P223" s="3190">
        <v>42</v>
      </c>
      <c r="Q223" s="3190" t="s">
        <v>4545</v>
      </c>
      <c r="R223" s="3190" t="s">
        <v>4504</v>
      </c>
      <c r="S223" s="3190" t="s">
        <v>3996</v>
      </c>
      <c r="T223" s="3190">
        <v>8</v>
      </c>
      <c r="U223" s="3190">
        <v>-2</v>
      </c>
      <c r="V223" s="3190">
        <v>50.93</v>
      </c>
      <c r="W223" s="3190" t="s">
        <v>4593</v>
      </c>
      <c r="X223" s="3190" t="s">
        <v>4593</v>
      </c>
      <c r="Y223" s="3190">
        <v>3648</v>
      </c>
      <c r="Z223" s="3190">
        <v>18.577999999999999</v>
      </c>
    </row>
    <row r="224" spans="16:26">
      <c r="P224" s="3190">
        <v>43</v>
      </c>
      <c r="Q224" s="3190" t="s">
        <v>4545</v>
      </c>
      <c r="R224" s="3190" t="s">
        <v>4504</v>
      </c>
      <c r="S224" s="3190" t="s">
        <v>3997</v>
      </c>
      <c r="T224" s="3190">
        <v>8</v>
      </c>
      <c r="U224" s="3190">
        <v>-2</v>
      </c>
      <c r="V224" s="3190">
        <v>50.93</v>
      </c>
      <c r="W224" s="3190" t="s">
        <v>4593</v>
      </c>
      <c r="X224" s="3190" t="s">
        <v>4593</v>
      </c>
      <c r="Y224" s="3190">
        <v>3648</v>
      </c>
      <c r="Z224" s="3190">
        <v>18.577999999999999</v>
      </c>
    </row>
    <row r="225" spans="16:26">
      <c r="P225" s="3190">
        <v>44</v>
      </c>
      <c r="Q225" s="3190" t="s">
        <v>4545</v>
      </c>
      <c r="R225" s="3190" t="s">
        <v>4504</v>
      </c>
      <c r="S225" s="3190" t="s">
        <v>3998</v>
      </c>
      <c r="T225" s="3190">
        <v>8</v>
      </c>
      <c r="U225" s="3190">
        <v>-2</v>
      </c>
      <c r="V225" s="3190">
        <v>50.93</v>
      </c>
      <c r="W225" s="3190" t="s">
        <v>4593</v>
      </c>
      <c r="X225" s="3190" t="s">
        <v>4593</v>
      </c>
      <c r="Y225" s="3190">
        <v>3648</v>
      </c>
      <c r="Z225" s="3190">
        <v>18.577999999999999</v>
      </c>
    </row>
    <row r="226" spans="16:26">
      <c r="P226" s="3190">
        <v>45</v>
      </c>
      <c r="Q226" s="3190" t="s">
        <v>4545</v>
      </c>
      <c r="R226" s="3190" t="s">
        <v>4504</v>
      </c>
      <c r="S226" s="3190" t="s">
        <v>3999</v>
      </c>
      <c r="T226" s="3190">
        <v>8</v>
      </c>
      <c r="U226" s="3190">
        <v>-2</v>
      </c>
      <c r="V226" s="3190">
        <v>50.93</v>
      </c>
      <c r="W226" s="3190" t="s">
        <v>4593</v>
      </c>
      <c r="X226" s="3190" t="s">
        <v>4593</v>
      </c>
      <c r="Y226" s="3190">
        <v>3648</v>
      </c>
      <c r="Z226" s="3190">
        <v>18.577999999999999</v>
      </c>
    </row>
    <row r="227" spans="16:26">
      <c r="P227" s="3190">
        <v>46</v>
      </c>
      <c r="Q227" s="3190" t="s">
        <v>4545</v>
      </c>
      <c r="R227" s="3190" t="s">
        <v>4504</v>
      </c>
      <c r="S227" s="3190" t="s">
        <v>4000</v>
      </c>
      <c r="T227" s="3190">
        <v>8</v>
      </c>
      <c r="U227" s="3190">
        <v>-2</v>
      </c>
      <c r="V227" s="3190">
        <v>50.93</v>
      </c>
      <c r="W227" s="3190" t="s">
        <v>4593</v>
      </c>
      <c r="X227" s="3190" t="s">
        <v>4593</v>
      </c>
      <c r="Y227" s="3190">
        <v>3648</v>
      </c>
      <c r="Z227" s="3190">
        <v>18.577999999999999</v>
      </c>
    </row>
    <row r="228" spans="16:26">
      <c r="P228" s="3190">
        <v>47</v>
      </c>
      <c r="Q228" s="3190" t="s">
        <v>4545</v>
      </c>
      <c r="R228" s="3190" t="s">
        <v>4504</v>
      </c>
      <c r="S228" s="3190" t="s">
        <v>4001</v>
      </c>
      <c r="T228" s="3190">
        <v>8</v>
      </c>
      <c r="U228" s="3190">
        <v>-2</v>
      </c>
      <c r="V228" s="3190">
        <v>52.93</v>
      </c>
      <c r="W228" s="3190" t="s">
        <v>4593</v>
      </c>
      <c r="X228" s="3190" t="s">
        <v>4593</v>
      </c>
      <c r="Y228" s="3190">
        <v>3510</v>
      </c>
      <c r="Z228" s="3190">
        <v>18.577999999999999</v>
      </c>
    </row>
    <row r="229" spans="16:26">
      <c r="P229" s="3190">
        <v>48</v>
      </c>
      <c r="Q229" s="3190" t="s">
        <v>4545</v>
      </c>
      <c r="R229" s="3190" t="s">
        <v>4504</v>
      </c>
      <c r="S229" s="3190" t="s">
        <v>4002</v>
      </c>
      <c r="T229" s="3190">
        <v>8</v>
      </c>
      <c r="U229" s="3190">
        <v>-2</v>
      </c>
      <c r="V229" s="3190">
        <v>52.93</v>
      </c>
      <c r="W229" s="3190" t="s">
        <v>4593</v>
      </c>
      <c r="X229" s="3190" t="s">
        <v>4593</v>
      </c>
      <c r="Y229" s="3190">
        <v>3510</v>
      </c>
      <c r="Z229" s="3190">
        <v>18.577999999999999</v>
      </c>
    </row>
    <row r="230" spans="16:26">
      <c r="P230" s="3190">
        <v>49</v>
      </c>
      <c r="Q230" s="3190" t="s">
        <v>4545</v>
      </c>
      <c r="R230" s="3190" t="s">
        <v>4504</v>
      </c>
      <c r="S230" s="3190" t="s">
        <v>4003</v>
      </c>
      <c r="T230" s="3190">
        <v>8</v>
      </c>
      <c r="U230" s="3190">
        <v>-2</v>
      </c>
      <c r="V230" s="3190">
        <v>52.93</v>
      </c>
      <c r="W230" s="3190" t="s">
        <v>4593</v>
      </c>
      <c r="X230" s="3190" t="s">
        <v>4593</v>
      </c>
      <c r="Y230" s="3190">
        <v>3510</v>
      </c>
      <c r="Z230" s="3190">
        <v>18.577999999999999</v>
      </c>
    </row>
    <row r="231" spans="16:26">
      <c r="P231" s="3190">
        <v>50</v>
      </c>
      <c r="Q231" s="3190" t="s">
        <v>4545</v>
      </c>
      <c r="R231" s="3190" t="s">
        <v>4504</v>
      </c>
      <c r="S231" s="3190" t="s">
        <v>4004</v>
      </c>
      <c r="T231" s="3190">
        <v>8</v>
      </c>
      <c r="U231" s="3190">
        <v>-2</v>
      </c>
      <c r="V231" s="3190">
        <v>52.93</v>
      </c>
      <c r="W231" s="3190" t="s">
        <v>4593</v>
      </c>
      <c r="X231" s="3190" t="s">
        <v>4593</v>
      </c>
      <c r="Y231" s="3190">
        <v>3510</v>
      </c>
      <c r="Z231" s="3190">
        <v>18.577999999999999</v>
      </c>
    </row>
    <row r="232" spans="16:26">
      <c r="P232" s="3190">
        <v>51</v>
      </c>
      <c r="Q232" s="3190" t="s">
        <v>4545</v>
      </c>
      <c r="R232" s="3190" t="s">
        <v>4504</v>
      </c>
      <c r="S232" s="3190" t="s">
        <v>4005</v>
      </c>
      <c r="T232" s="3190">
        <v>8</v>
      </c>
      <c r="U232" s="3190">
        <v>-2</v>
      </c>
      <c r="V232" s="3190">
        <v>52.93</v>
      </c>
      <c r="W232" s="3190" t="s">
        <v>4593</v>
      </c>
      <c r="X232" s="3190" t="s">
        <v>4593</v>
      </c>
      <c r="Y232" s="3190">
        <v>3510</v>
      </c>
      <c r="Z232" s="3190">
        <v>18.577999999999999</v>
      </c>
    </row>
    <row r="233" spans="16:26">
      <c r="P233" s="3190">
        <v>52</v>
      </c>
      <c r="Q233" s="3190" t="s">
        <v>4545</v>
      </c>
      <c r="R233" s="3190" t="s">
        <v>4504</v>
      </c>
      <c r="S233" s="3190" t="s">
        <v>4006</v>
      </c>
      <c r="T233" s="3190">
        <v>8</v>
      </c>
      <c r="U233" s="3190">
        <v>-2</v>
      </c>
      <c r="V233" s="3190">
        <v>52.93</v>
      </c>
      <c r="W233" s="3190" t="s">
        <v>4593</v>
      </c>
      <c r="X233" s="3190" t="s">
        <v>4593</v>
      </c>
      <c r="Y233" s="3190">
        <v>3510</v>
      </c>
      <c r="Z233" s="3190">
        <v>18.577999999999999</v>
      </c>
    </row>
    <row r="234" spans="16:26">
      <c r="P234" s="3190">
        <v>53</v>
      </c>
      <c r="Q234" s="3190" t="s">
        <v>4545</v>
      </c>
      <c r="R234" s="3190" t="s">
        <v>4504</v>
      </c>
      <c r="S234" s="3190" t="s">
        <v>4007</v>
      </c>
      <c r="T234" s="3190">
        <v>8</v>
      </c>
      <c r="U234" s="3190">
        <v>-2</v>
      </c>
      <c r="V234" s="3190">
        <v>52.93</v>
      </c>
      <c r="W234" s="3190" t="s">
        <v>4593</v>
      </c>
      <c r="X234" s="3190" t="s">
        <v>4593</v>
      </c>
      <c r="Y234" s="3190">
        <v>3510</v>
      </c>
      <c r="Z234" s="3190">
        <v>18.577999999999999</v>
      </c>
    </row>
    <row r="235" spans="16:26">
      <c r="P235" s="3190">
        <v>54</v>
      </c>
      <c r="Q235" s="3190" t="s">
        <v>4545</v>
      </c>
      <c r="R235" s="3190" t="s">
        <v>4504</v>
      </c>
      <c r="S235" s="3190" t="s">
        <v>4008</v>
      </c>
      <c r="T235" s="3190">
        <v>8</v>
      </c>
      <c r="U235" s="3190">
        <v>-2</v>
      </c>
      <c r="V235" s="3190">
        <v>52.93</v>
      </c>
      <c r="W235" s="3190" t="s">
        <v>4593</v>
      </c>
      <c r="X235" s="3190" t="s">
        <v>4593</v>
      </c>
      <c r="Y235" s="3190">
        <v>3510</v>
      </c>
      <c r="Z235" s="3190">
        <v>18.577999999999999</v>
      </c>
    </row>
    <row r="236" spans="16:26">
      <c r="P236" s="3190">
        <v>55</v>
      </c>
      <c r="Q236" s="3190" t="s">
        <v>4545</v>
      </c>
      <c r="R236" s="3190" t="s">
        <v>4504</v>
      </c>
      <c r="S236" s="3190" t="s">
        <v>4009</v>
      </c>
      <c r="T236" s="3190">
        <v>8</v>
      </c>
      <c r="U236" s="3190">
        <v>-2</v>
      </c>
      <c r="V236" s="3190">
        <v>52.93</v>
      </c>
      <c r="W236" s="3190" t="s">
        <v>4593</v>
      </c>
      <c r="X236" s="3190" t="s">
        <v>4593</v>
      </c>
      <c r="Y236" s="3190">
        <v>3510</v>
      </c>
      <c r="Z236" s="3190">
        <v>18.577999999999999</v>
      </c>
    </row>
    <row r="237" spans="16:26">
      <c r="P237" s="3190">
        <v>56</v>
      </c>
      <c r="Q237" s="3190" t="s">
        <v>4545</v>
      </c>
      <c r="R237" s="3190" t="s">
        <v>4504</v>
      </c>
      <c r="S237" s="3190" t="s">
        <v>4010</v>
      </c>
      <c r="T237" s="3190">
        <v>8</v>
      </c>
      <c r="U237" s="3190">
        <v>-2</v>
      </c>
      <c r="V237" s="3190">
        <v>52.93</v>
      </c>
      <c r="W237" s="3190" t="s">
        <v>4593</v>
      </c>
      <c r="X237" s="3190" t="s">
        <v>4593</v>
      </c>
      <c r="Y237" s="3190">
        <v>3510</v>
      </c>
      <c r="Z237" s="3190">
        <v>18.577999999999999</v>
      </c>
    </row>
    <row r="238" spans="16:26">
      <c r="P238" s="3190">
        <v>57</v>
      </c>
      <c r="Q238" s="3190" t="s">
        <v>4545</v>
      </c>
      <c r="R238" s="3190" t="s">
        <v>4504</v>
      </c>
      <c r="S238" s="3190" t="s">
        <v>4011</v>
      </c>
      <c r="T238" s="3190">
        <v>8</v>
      </c>
      <c r="U238" s="3190">
        <v>-2</v>
      </c>
      <c r="V238" s="3190">
        <v>52.93</v>
      </c>
      <c r="W238" s="3190" t="s">
        <v>4593</v>
      </c>
      <c r="X238" s="3190" t="s">
        <v>4593</v>
      </c>
      <c r="Y238" s="3190">
        <v>3510</v>
      </c>
      <c r="Z238" s="3190">
        <v>18.577999999999999</v>
      </c>
    </row>
    <row r="239" spans="16:26">
      <c r="P239" s="3190">
        <v>58</v>
      </c>
      <c r="Q239" s="3190" t="s">
        <v>4545</v>
      </c>
      <c r="R239" s="3190" t="s">
        <v>4504</v>
      </c>
      <c r="S239" s="3190" t="s">
        <v>4012</v>
      </c>
      <c r="T239" s="3190">
        <v>8</v>
      </c>
      <c r="U239" s="3190">
        <v>-2</v>
      </c>
      <c r="V239" s="3190">
        <v>52.93</v>
      </c>
      <c r="W239" s="3190" t="s">
        <v>4593</v>
      </c>
      <c r="X239" s="3190" t="s">
        <v>4593</v>
      </c>
      <c r="Y239" s="3190">
        <v>3510</v>
      </c>
      <c r="Z239" s="3190">
        <v>18.577999999999999</v>
      </c>
    </row>
    <row r="240" spans="16:26">
      <c r="P240" s="3190">
        <v>59</v>
      </c>
      <c r="Q240" s="3190" t="s">
        <v>4545</v>
      </c>
      <c r="R240" s="3190" t="s">
        <v>4504</v>
      </c>
      <c r="S240" s="3190" t="s">
        <v>4013</v>
      </c>
      <c r="T240" s="3190">
        <v>8</v>
      </c>
      <c r="U240" s="3190">
        <v>-2</v>
      </c>
      <c r="V240" s="3190">
        <v>52.93</v>
      </c>
      <c r="W240" s="3190" t="s">
        <v>4593</v>
      </c>
      <c r="X240" s="3190" t="s">
        <v>4593</v>
      </c>
      <c r="Y240" s="3190">
        <v>3510</v>
      </c>
      <c r="Z240" s="3190">
        <v>18.577999999999999</v>
      </c>
    </row>
    <row r="241" spans="16:26">
      <c r="P241" s="3190">
        <v>60</v>
      </c>
      <c r="Q241" s="3190" t="s">
        <v>4545</v>
      </c>
      <c r="R241" s="3190" t="s">
        <v>4504</v>
      </c>
      <c r="S241" s="3190" t="s">
        <v>4014</v>
      </c>
      <c r="T241" s="3190">
        <v>8</v>
      </c>
      <c r="U241" s="3190">
        <v>-2</v>
      </c>
      <c r="V241" s="3190">
        <v>52.93</v>
      </c>
      <c r="W241" s="3190" t="s">
        <v>4593</v>
      </c>
      <c r="X241" s="3190" t="s">
        <v>4593</v>
      </c>
      <c r="Y241" s="3190">
        <v>3510</v>
      </c>
      <c r="Z241" s="3190">
        <v>18.577999999999999</v>
      </c>
    </row>
    <row r="242" spans="16:26">
      <c r="P242" s="3190">
        <v>61</v>
      </c>
      <c r="Q242" s="3190" t="s">
        <v>4545</v>
      </c>
      <c r="R242" s="3190" t="s">
        <v>4504</v>
      </c>
      <c r="S242" s="3190" t="s">
        <v>4015</v>
      </c>
      <c r="T242" s="3190">
        <v>8</v>
      </c>
      <c r="U242" s="3190">
        <v>-2</v>
      </c>
      <c r="V242" s="3190">
        <v>52.93</v>
      </c>
      <c r="W242" s="3190" t="s">
        <v>4593</v>
      </c>
      <c r="X242" s="3190" t="s">
        <v>4593</v>
      </c>
      <c r="Y242" s="3190">
        <v>3510</v>
      </c>
      <c r="Z242" s="3190">
        <v>18.577999999999999</v>
      </c>
    </row>
    <row r="243" spans="16:26">
      <c r="P243" s="3190">
        <v>62</v>
      </c>
      <c r="Q243" s="3190" t="s">
        <v>4545</v>
      </c>
      <c r="R243" s="3190" t="s">
        <v>4504</v>
      </c>
      <c r="S243" s="3190" t="s">
        <v>4016</v>
      </c>
      <c r="T243" s="3190">
        <v>8</v>
      </c>
      <c r="U243" s="3190">
        <v>-2</v>
      </c>
      <c r="V243" s="3190">
        <v>52.93</v>
      </c>
      <c r="W243" s="3190" t="s">
        <v>4593</v>
      </c>
      <c r="X243" s="3190" t="s">
        <v>4593</v>
      </c>
      <c r="Y243" s="3190">
        <v>3510</v>
      </c>
      <c r="Z243" s="3190">
        <v>18.577999999999999</v>
      </c>
    </row>
    <row r="244" spans="16:26">
      <c r="P244" s="3190">
        <v>63</v>
      </c>
      <c r="Q244" s="3190" t="s">
        <v>4545</v>
      </c>
      <c r="R244" s="3190" t="s">
        <v>4504</v>
      </c>
      <c r="S244" s="3190" t="s">
        <v>4017</v>
      </c>
      <c r="T244" s="3190">
        <v>8</v>
      </c>
      <c r="U244" s="3190">
        <v>-2</v>
      </c>
      <c r="V244" s="3190">
        <v>52.93</v>
      </c>
      <c r="W244" s="3190" t="s">
        <v>4593</v>
      </c>
      <c r="X244" s="3190" t="s">
        <v>4593</v>
      </c>
      <c r="Y244" s="3190">
        <v>3510</v>
      </c>
      <c r="Z244" s="3190">
        <v>18.577999999999999</v>
      </c>
    </row>
    <row r="245" spans="16:26">
      <c r="P245" s="3190">
        <v>64</v>
      </c>
      <c r="Q245" s="3190" t="s">
        <v>4545</v>
      </c>
      <c r="R245" s="3190" t="s">
        <v>4504</v>
      </c>
      <c r="S245" s="3190" t="s">
        <v>4018</v>
      </c>
      <c r="T245" s="3190">
        <v>8</v>
      </c>
      <c r="U245" s="3190">
        <v>-2</v>
      </c>
      <c r="V245" s="3190">
        <v>52.93</v>
      </c>
      <c r="W245" s="3190" t="s">
        <v>4593</v>
      </c>
      <c r="X245" s="3190" t="s">
        <v>4593</v>
      </c>
      <c r="Y245" s="3190">
        <v>3510</v>
      </c>
      <c r="Z245" s="3190">
        <v>18.577999999999999</v>
      </c>
    </row>
    <row r="246" spans="16:26">
      <c r="P246" s="3190">
        <v>65</v>
      </c>
      <c r="Q246" s="3190" t="s">
        <v>4545</v>
      </c>
      <c r="R246" s="3190" t="s">
        <v>4504</v>
      </c>
      <c r="S246" s="3190" t="s">
        <v>4019</v>
      </c>
      <c r="T246" s="3190">
        <v>8</v>
      </c>
      <c r="U246" s="3190">
        <v>-2</v>
      </c>
      <c r="V246" s="3190">
        <v>52.93</v>
      </c>
      <c r="W246" s="3190" t="s">
        <v>4593</v>
      </c>
      <c r="X246" s="3190" t="s">
        <v>4593</v>
      </c>
      <c r="Y246" s="3190">
        <v>3510</v>
      </c>
      <c r="Z246" s="3190">
        <v>18.577999999999999</v>
      </c>
    </row>
    <row r="247" spans="16:26">
      <c r="P247" s="3190">
        <v>66</v>
      </c>
      <c r="Q247" s="3190" t="s">
        <v>4545</v>
      </c>
      <c r="R247" s="3190" t="s">
        <v>4504</v>
      </c>
      <c r="S247" s="3190" t="s">
        <v>4020</v>
      </c>
      <c r="T247" s="3190">
        <v>8</v>
      </c>
      <c r="U247" s="3190">
        <v>-2</v>
      </c>
      <c r="V247" s="3190">
        <v>52.93</v>
      </c>
      <c r="W247" s="3190" t="s">
        <v>4593</v>
      </c>
      <c r="X247" s="3190" t="s">
        <v>4593</v>
      </c>
      <c r="Y247" s="3190">
        <v>3510</v>
      </c>
      <c r="Z247" s="3190">
        <v>18.577999999999999</v>
      </c>
    </row>
    <row r="248" spans="16:26">
      <c r="P248" s="3190">
        <v>67</v>
      </c>
      <c r="Q248" s="3190" t="s">
        <v>4545</v>
      </c>
      <c r="R248" s="3190" t="s">
        <v>4504</v>
      </c>
      <c r="S248" s="3190" t="s">
        <v>4021</v>
      </c>
      <c r="T248" s="3190">
        <v>8</v>
      </c>
      <c r="U248" s="3190">
        <v>-2</v>
      </c>
      <c r="V248" s="3190">
        <v>52.93</v>
      </c>
      <c r="W248" s="3190" t="s">
        <v>4593</v>
      </c>
      <c r="X248" s="3190" t="s">
        <v>4593</v>
      </c>
      <c r="Y248" s="3190">
        <v>3510</v>
      </c>
      <c r="Z248" s="3190">
        <v>18.577999999999999</v>
      </c>
    </row>
    <row r="249" spans="16:26">
      <c r="P249" s="3190">
        <v>68</v>
      </c>
      <c r="Q249" s="3190" t="s">
        <v>4545</v>
      </c>
      <c r="R249" s="3190" t="s">
        <v>4504</v>
      </c>
      <c r="S249" s="3190" t="s">
        <v>4022</v>
      </c>
      <c r="T249" s="3190">
        <v>8</v>
      </c>
      <c r="U249" s="3190">
        <v>-2</v>
      </c>
      <c r="V249" s="3190">
        <v>52.93</v>
      </c>
      <c r="W249" s="3190" t="s">
        <v>4593</v>
      </c>
      <c r="X249" s="3190" t="s">
        <v>4593</v>
      </c>
      <c r="Y249" s="3190">
        <v>3510</v>
      </c>
      <c r="Z249" s="3190">
        <v>18.577999999999999</v>
      </c>
    </row>
    <row r="250" spans="16:26">
      <c r="P250" s="3190">
        <v>69</v>
      </c>
      <c r="Q250" s="3190" t="s">
        <v>4545</v>
      </c>
      <c r="R250" s="3190" t="s">
        <v>4504</v>
      </c>
      <c r="S250" s="3190" t="s">
        <v>4023</v>
      </c>
      <c r="T250" s="3190">
        <v>8</v>
      </c>
      <c r="U250" s="3190">
        <v>-2</v>
      </c>
      <c r="V250" s="3190">
        <v>52.93</v>
      </c>
      <c r="W250" s="3190" t="s">
        <v>4593</v>
      </c>
      <c r="X250" s="3190" t="s">
        <v>4593</v>
      </c>
      <c r="Y250" s="3190">
        <v>3510</v>
      </c>
      <c r="Z250" s="3190">
        <v>18.577999999999999</v>
      </c>
    </row>
    <row r="251" spans="16:26">
      <c r="P251" s="3190">
        <v>70</v>
      </c>
      <c r="Q251" s="3190" t="s">
        <v>4545</v>
      </c>
      <c r="R251" s="3190" t="s">
        <v>4504</v>
      </c>
      <c r="S251" s="3190" t="s">
        <v>4024</v>
      </c>
      <c r="T251" s="3190">
        <v>8</v>
      </c>
      <c r="U251" s="3190">
        <v>-2</v>
      </c>
      <c r="V251" s="3190">
        <v>52.93</v>
      </c>
      <c r="W251" s="3190" t="s">
        <v>4593</v>
      </c>
      <c r="X251" s="3190" t="s">
        <v>4593</v>
      </c>
      <c r="Y251" s="3190">
        <v>3510</v>
      </c>
      <c r="Z251" s="3190">
        <v>18.577999999999999</v>
      </c>
    </row>
    <row r="252" spans="16:26">
      <c r="P252" s="3190">
        <v>71</v>
      </c>
      <c r="Q252" s="3190" t="s">
        <v>4545</v>
      </c>
      <c r="R252" s="3190" t="s">
        <v>4504</v>
      </c>
      <c r="S252" s="3190" t="s">
        <v>4025</v>
      </c>
      <c r="T252" s="3190">
        <v>8</v>
      </c>
      <c r="U252" s="3190">
        <v>-2</v>
      </c>
      <c r="V252" s="3190">
        <v>52.93</v>
      </c>
      <c r="W252" s="3190" t="s">
        <v>4593</v>
      </c>
      <c r="X252" s="3190" t="s">
        <v>4593</v>
      </c>
      <c r="Y252" s="3190">
        <v>3510</v>
      </c>
      <c r="Z252" s="3190">
        <v>18.577999999999999</v>
      </c>
    </row>
    <row r="253" spans="16:26">
      <c r="P253" s="3190">
        <v>72</v>
      </c>
      <c r="Q253" s="3190" t="s">
        <v>4545</v>
      </c>
      <c r="R253" s="3190" t="s">
        <v>4504</v>
      </c>
      <c r="S253" s="3190" t="s">
        <v>4026</v>
      </c>
      <c r="T253" s="3190">
        <v>8</v>
      </c>
      <c r="U253" s="3190">
        <v>-2</v>
      </c>
      <c r="V253" s="3190">
        <v>52.93</v>
      </c>
      <c r="W253" s="3190" t="s">
        <v>4593</v>
      </c>
      <c r="X253" s="3190" t="s">
        <v>4593</v>
      </c>
      <c r="Y253" s="3190">
        <v>3510</v>
      </c>
      <c r="Z253" s="3190">
        <v>18.577999999999999</v>
      </c>
    </row>
    <row r="254" spans="16:26">
      <c r="P254" s="3190">
        <v>73</v>
      </c>
      <c r="Q254" s="3190" t="s">
        <v>4545</v>
      </c>
      <c r="R254" s="3190" t="s">
        <v>4504</v>
      </c>
      <c r="S254" s="3190" t="s">
        <v>4027</v>
      </c>
      <c r="T254" s="3190">
        <v>8</v>
      </c>
      <c r="U254" s="3190">
        <v>-2</v>
      </c>
      <c r="V254" s="3190">
        <v>52.93</v>
      </c>
      <c r="W254" s="3190" t="s">
        <v>4593</v>
      </c>
      <c r="X254" s="3190" t="s">
        <v>4593</v>
      </c>
      <c r="Y254" s="3190">
        <v>3510</v>
      </c>
      <c r="Z254" s="3190">
        <v>18.577999999999999</v>
      </c>
    </row>
    <row r="255" spans="16:26">
      <c r="P255" s="3190">
        <v>74</v>
      </c>
      <c r="Q255" s="3190" t="s">
        <v>4545</v>
      </c>
      <c r="R255" s="3190" t="s">
        <v>4504</v>
      </c>
      <c r="S255" s="3190" t="s">
        <v>4028</v>
      </c>
      <c r="T255" s="3190">
        <v>8</v>
      </c>
      <c r="U255" s="3190">
        <v>-2</v>
      </c>
      <c r="V255" s="3190">
        <v>52.93</v>
      </c>
      <c r="W255" s="3190" t="s">
        <v>4593</v>
      </c>
      <c r="X255" s="3190" t="s">
        <v>4593</v>
      </c>
      <c r="Y255" s="3190">
        <v>3510</v>
      </c>
      <c r="Z255" s="3190">
        <v>18.577999999999999</v>
      </c>
    </row>
    <row r="256" spans="16:26">
      <c r="P256" s="3190">
        <v>75</v>
      </c>
      <c r="Q256" s="3190" t="s">
        <v>4545</v>
      </c>
      <c r="R256" s="3190" t="s">
        <v>4504</v>
      </c>
      <c r="S256" s="3190" t="s">
        <v>4029</v>
      </c>
      <c r="T256" s="3190">
        <v>8</v>
      </c>
      <c r="U256" s="3190">
        <v>-2</v>
      </c>
      <c r="V256" s="3190">
        <v>52.93</v>
      </c>
      <c r="W256" s="3190" t="s">
        <v>4593</v>
      </c>
      <c r="X256" s="3190" t="s">
        <v>4593</v>
      </c>
      <c r="Y256" s="3190">
        <v>3510</v>
      </c>
      <c r="Z256" s="3190">
        <v>18.577999999999999</v>
      </c>
    </row>
    <row r="257" spans="16:26">
      <c r="P257" s="3190">
        <v>76</v>
      </c>
      <c r="Q257" s="3190" t="s">
        <v>4545</v>
      </c>
      <c r="R257" s="3190" t="s">
        <v>4504</v>
      </c>
      <c r="S257" s="3190" t="s">
        <v>4030</v>
      </c>
      <c r="T257" s="3190">
        <v>8</v>
      </c>
      <c r="U257" s="3190">
        <v>-2</v>
      </c>
      <c r="V257" s="3190">
        <v>52.93</v>
      </c>
      <c r="W257" s="3190" t="s">
        <v>4593</v>
      </c>
      <c r="X257" s="3190" t="s">
        <v>4593</v>
      </c>
      <c r="Y257" s="3190">
        <v>3510</v>
      </c>
      <c r="Z257" s="3190">
        <v>18.577999999999999</v>
      </c>
    </row>
    <row r="258" spans="16:26">
      <c r="P258" s="3190">
        <v>77</v>
      </c>
      <c r="Q258" s="3190" t="s">
        <v>4545</v>
      </c>
      <c r="R258" s="3190" t="s">
        <v>4504</v>
      </c>
      <c r="S258" s="3190" t="s">
        <v>4031</v>
      </c>
      <c r="T258" s="3190">
        <v>8</v>
      </c>
      <c r="U258" s="3190">
        <v>-2</v>
      </c>
      <c r="V258" s="3190">
        <v>52.93</v>
      </c>
      <c r="W258" s="3190" t="s">
        <v>4593</v>
      </c>
      <c r="X258" s="3190" t="s">
        <v>4593</v>
      </c>
      <c r="Y258" s="3190">
        <v>3510</v>
      </c>
      <c r="Z258" s="3190">
        <v>18.577999999999999</v>
      </c>
    </row>
    <row r="259" spans="16:26">
      <c r="P259" s="3190">
        <v>78</v>
      </c>
      <c r="Q259" s="3190" t="s">
        <v>4545</v>
      </c>
      <c r="R259" s="3190" t="s">
        <v>4504</v>
      </c>
      <c r="S259" s="3190" t="s">
        <v>4032</v>
      </c>
      <c r="T259" s="3190">
        <v>8</v>
      </c>
      <c r="U259" s="3190">
        <v>-2</v>
      </c>
      <c r="V259" s="3190">
        <v>52.93</v>
      </c>
      <c r="W259" s="3190" t="s">
        <v>4593</v>
      </c>
      <c r="X259" s="3190" t="s">
        <v>4593</v>
      </c>
      <c r="Y259" s="3190">
        <v>3510</v>
      </c>
      <c r="Z259" s="3190">
        <v>18.577999999999999</v>
      </c>
    </row>
    <row r="260" spans="16:26">
      <c r="P260" s="3190">
        <v>79</v>
      </c>
      <c r="Q260" s="3190" t="s">
        <v>4545</v>
      </c>
      <c r="R260" s="3190" t="s">
        <v>4504</v>
      </c>
      <c r="S260" s="3190" t="s">
        <v>4033</v>
      </c>
      <c r="T260" s="3190">
        <v>8</v>
      </c>
      <c r="U260" s="3190">
        <v>-2</v>
      </c>
      <c r="V260" s="3190">
        <v>52.93</v>
      </c>
      <c r="W260" s="3190" t="s">
        <v>4593</v>
      </c>
      <c r="X260" s="3190" t="s">
        <v>4593</v>
      </c>
      <c r="Y260" s="3190">
        <v>3510</v>
      </c>
      <c r="Z260" s="3190">
        <v>18.577999999999999</v>
      </c>
    </row>
    <row r="261" spans="16:26">
      <c r="P261" s="3190">
        <v>80</v>
      </c>
      <c r="Q261" s="3190" t="s">
        <v>4545</v>
      </c>
      <c r="R261" s="3190" t="s">
        <v>4504</v>
      </c>
      <c r="S261" s="3190" t="s">
        <v>4034</v>
      </c>
      <c r="T261" s="3190">
        <v>8</v>
      </c>
      <c r="U261" s="3190">
        <v>-2</v>
      </c>
      <c r="V261" s="3190">
        <v>52.93</v>
      </c>
      <c r="W261" s="3190" t="s">
        <v>4593</v>
      </c>
      <c r="X261" s="3190" t="s">
        <v>4593</v>
      </c>
      <c r="Y261" s="3190">
        <v>3510</v>
      </c>
      <c r="Z261" s="3190">
        <v>18.577999999999999</v>
      </c>
    </row>
    <row r="262" spans="16:26">
      <c r="P262" s="3190">
        <v>81</v>
      </c>
      <c r="Q262" s="3190" t="s">
        <v>4545</v>
      </c>
      <c r="R262" s="3190" t="s">
        <v>4504</v>
      </c>
      <c r="S262" s="3190" t="s">
        <v>4035</v>
      </c>
      <c r="T262" s="3190">
        <v>8</v>
      </c>
      <c r="U262" s="3190">
        <v>-2</v>
      </c>
      <c r="V262" s="3190">
        <v>50.93</v>
      </c>
      <c r="W262" s="3190" t="s">
        <v>4593</v>
      </c>
      <c r="X262" s="3190" t="s">
        <v>4593</v>
      </c>
      <c r="Y262" s="3190">
        <v>3648</v>
      </c>
      <c r="Z262" s="3190">
        <v>18.577999999999999</v>
      </c>
    </row>
    <row r="263" spans="16:26">
      <c r="P263" s="3190">
        <v>82</v>
      </c>
      <c r="Q263" s="3190" t="s">
        <v>4545</v>
      </c>
      <c r="R263" s="3190" t="s">
        <v>4504</v>
      </c>
      <c r="S263" s="3190" t="s">
        <v>4036</v>
      </c>
      <c r="T263" s="3190">
        <v>8</v>
      </c>
      <c r="U263" s="3190">
        <v>-2</v>
      </c>
      <c r="V263" s="3190">
        <v>52.93</v>
      </c>
      <c r="W263" s="3190" t="s">
        <v>4593</v>
      </c>
      <c r="X263" s="3190" t="s">
        <v>4593</v>
      </c>
      <c r="Y263" s="3190">
        <v>3510</v>
      </c>
      <c r="Z263" s="3190">
        <v>18.577999999999999</v>
      </c>
    </row>
    <row r="264" spans="16:26">
      <c r="P264" s="3190">
        <v>83</v>
      </c>
      <c r="Q264" s="3190" t="s">
        <v>4545</v>
      </c>
      <c r="R264" s="3190" t="s">
        <v>4504</v>
      </c>
      <c r="S264" s="3190" t="s">
        <v>4037</v>
      </c>
      <c r="T264" s="3190">
        <v>8</v>
      </c>
      <c r="U264" s="3190">
        <v>-2</v>
      </c>
      <c r="V264" s="3190">
        <v>52.93</v>
      </c>
      <c r="W264" s="3190" t="s">
        <v>4593</v>
      </c>
      <c r="X264" s="3190" t="s">
        <v>4593</v>
      </c>
      <c r="Y264" s="3190">
        <v>3510</v>
      </c>
      <c r="Z264" s="3190">
        <v>18.577999999999999</v>
      </c>
    </row>
    <row r="265" spans="16:26">
      <c r="P265" s="3190">
        <v>84</v>
      </c>
      <c r="Q265" s="3190" t="s">
        <v>4545</v>
      </c>
      <c r="R265" s="3190" t="s">
        <v>4504</v>
      </c>
      <c r="S265" s="3190" t="s">
        <v>4038</v>
      </c>
      <c r="T265" s="3190">
        <v>8</v>
      </c>
      <c r="U265" s="3190">
        <v>-2</v>
      </c>
      <c r="V265" s="3190">
        <v>52.93</v>
      </c>
      <c r="W265" s="3190" t="s">
        <v>4593</v>
      </c>
      <c r="X265" s="3190" t="s">
        <v>4593</v>
      </c>
      <c r="Y265" s="3190">
        <v>3510</v>
      </c>
      <c r="Z265" s="3190">
        <v>18.577999999999999</v>
      </c>
    </row>
    <row r="266" spans="16:26">
      <c r="P266" s="3190">
        <v>85</v>
      </c>
      <c r="Q266" s="3190" t="s">
        <v>4545</v>
      </c>
      <c r="R266" s="3190" t="s">
        <v>4504</v>
      </c>
      <c r="S266" s="3190" t="s">
        <v>4039</v>
      </c>
      <c r="T266" s="3190">
        <v>8</v>
      </c>
      <c r="U266" s="3190">
        <v>-2</v>
      </c>
      <c r="V266" s="3190">
        <v>52.93</v>
      </c>
      <c r="W266" s="3190" t="s">
        <v>4593</v>
      </c>
      <c r="X266" s="3190" t="s">
        <v>4593</v>
      </c>
      <c r="Y266" s="3190">
        <v>3510</v>
      </c>
      <c r="Z266" s="3190">
        <v>18.577999999999999</v>
      </c>
    </row>
    <row r="267" spans="16:26">
      <c r="P267" s="3190">
        <v>86</v>
      </c>
      <c r="Q267" s="3190" t="s">
        <v>4545</v>
      </c>
      <c r="R267" s="3190" t="s">
        <v>4504</v>
      </c>
      <c r="S267" s="3190" t="s">
        <v>4040</v>
      </c>
      <c r="T267" s="3190">
        <v>8</v>
      </c>
      <c r="U267" s="3190">
        <v>-2</v>
      </c>
      <c r="V267" s="3190">
        <v>52.93</v>
      </c>
      <c r="W267" s="3190" t="s">
        <v>4593</v>
      </c>
      <c r="X267" s="3190" t="s">
        <v>4593</v>
      </c>
      <c r="Y267" s="3190">
        <v>3510</v>
      </c>
      <c r="Z267" s="3190">
        <v>18.577999999999999</v>
      </c>
    </row>
    <row r="268" spans="16:26">
      <c r="P268" s="3190">
        <v>87</v>
      </c>
      <c r="Q268" s="3190" t="s">
        <v>4545</v>
      </c>
      <c r="R268" s="3190" t="s">
        <v>4504</v>
      </c>
      <c r="S268" s="3190" t="s">
        <v>4041</v>
      </c>
      <c r="T268" s="3190">
        <v>8</v>
      </c>
      <c r="U268" s="3190">
        <v>-2</v>
      </c>
      <c r="V268" s="3190">
        <v>52.93</v>
      </c>
      <c r="W268" s="3190" t="s">
        <v>4593</v>
      </c>
      <c r="X268" s="3190" t="s">
        <v>4593</v>
      </c>
      <c r="Y268" s="3190">
        <v>3510</v>
      </c>
      <c r="Z268" s="3190">
        <v>18.577999999999999</v>
      </c>
    </row>
    <row r="269" spans="16:26">
      <c r="P269" s="3190">
        <v>88</v>
      </c>
      <c r="Q269" s="3190" t="s">
        <v>4545</v>
      </c>
      <c r="R269" s="3190" t="s">
        <v>4504</v>
      </c>
      <c r="S269" s="3190" t="s">
        <v>4042</v>
      </c>
      <c r="T269" s="3190">
        <v>8</v>
      </c>
      <c r="U269" s="3190">
        <v>-2</v>
      </c>
      <c r="V269" s="3190">
        <v>52.93</v>
      </c>
      <c r="W269" s="3190" t="s">
        <v>4593</v>
      </c>
      <c r="X269" s="3190" t="s">
        <v>4593</v>
      </c>
      <c r="Y269" s="3190">
        <v>3510</v>
      </c>
      <c r="Z269" s="3190">
        <v>18.577999999999999</v>
      </c>
    </row>
    <row r="270" spans="16:26">
      <c r="P270" s="3190">
        <v>89</v>
      </c>
      <c r="Q270" s="3190" t="s">
        <v>4545</v>
      </c>
      <c r="R270" s="3190" t="s">
        <v>4504</v>
      </c>
      <c r="S270" s="3190" t="s">
        <v>4043</v>
      </c>
      <c r="T270" s="3190">
        <v>8</v>
      </c>
      <c r="U270" s="3190">
        <v>-2</v>
      </c>
      <c r="V270" s="3190">
        <v>52.93</v>
      </c>
      <c r="W270" s="3190" t="s">
        <v>4593</v>
      </c>
      <c r="X270" s="3190" t="s">
        <v>4593</v>
      </c>
      <c r="Y270" s="3190">
        <v>3510</v>
      </c>
      <c r="Z270" s="3190">
        <v>18.577999999999999</v>
      </c>
    </row>
    <row r="271" spans="16:26">
      <c r="P271" s="3190">
        <v>90</v>
      </c>
      <c r="Q271" s="3190" t="s">
        <v>4545</v>
      </c>
      <c r="R271" s="3190" t="s">
        <v>4504</v>
      </c>
      <c r="S271" s="3190" t="s">
        <v>4044</v>
      </c>
      <c r="T271" s="3190">
        <v>8</v>
      </c>
      <c r="U271" s="3190">
        <v>-2</v>
      </c>
      <c r="V271" s="3190">
        <v>50.93</v>
      </c>
      <c r="W271" s="3190" t="s">
        <v>4593</v>
      </c>
      <c r="X271" s="3190" t="s">
        <v>4593</v>
      </c>
      <c r="Y271" s="3190">
        <v>3648</v>
      </c>
      <c r="Z271" s="3190">
        <v>18.577999999999999</v>
      </c>
    </row>
    <row r="272" spans="16:26">
      <c r="P272" s="3190">
        <v>91</v>
      </c>
      <c r="Q272" s="3190" t="s">
        <v>4545</v>
      </c>
      <c r="R272" s="3190" t="s">
        <v>4504</v>
      </c>
      <c r="S272" s="3190" t="s">
        <v>4045</v>
      </c>
      <c r="T272" s="3190">
        <v>8</v>
      </c>
      <c r="U272" s="3190">
        <v>-2</v>
      </c>
      <c r="V272" s="3190">
        <v>50.93</v>
      </c>
      <c r="W272" s="3190" t="s">
        <v>4593</v>
      </c>
      <c r="X272" s="3190" t="s">
        <v>4593</v>
      </c>
      <c r="Y272" s="3190">
        <v>3648</v>
      </c>
      <c r="Z272" s="3190">
        <v>18.577999999999999</v>
      </c>
    </row>
    <row r="273" spans="16:26">
      <c r="P273" s="3190">
        <v>92</v>
      </c>
      <c r="Q273" s="3190" t="s">
        <v>4545</v>
      </c>
      <c r="R273" s="3190" t="s">
        <v>4504</v>
      </c>
      <c r="S273" s="3190" t="s">
        <v>4046</v>
      </c>
      <c r="T273" s="3190">
        <v>8</v>
      </c>
      <c r="U273" s="3190">
        <v>-2</v>
      </c>
      <c r="V273" s="3190">
        <v>50.93</v>
      </c>
      <c r="W273" s="3190" t="s">
        <v>4593</v>
      </c>
      <c r="X273" s="3190" t="s">
        <v>4593</v>
      </c>
      <c r="Y273" s="3190">
        <v>3648</v>
      </c>
      <c r="Z273" s="3190">
        <v>18.577999999999999</v>
      </c>
    </row>
    <row r="274" spans="16:26">
      <c r="P274" s="3190">
        <v>93</v>
      </c>
      <c r="Q274" s="3190" t="s">
        <v>4545</v>
      </c>
      <c r="R274" s="3190" t="s">
        <v>4504</v>
      </c>
      <c r="S274" s="3190" t="s">
        <v>4047</v>
      </c>
      <c r="T274" s="3190">
        <v>8</v>
      </c>
      <c r="U274" s="3190">
        <v>-2</v>
      </c>
      <c r="V274" s="3190">
        <v>50.93</v>
      </c>
      <c r="W274" s="3190" t="s">
        <v>4593</v>
      </c>
      <c r="X274" s="3190" t="s">
        <v>4593</v>
      </c>
      <c r="Y274" s="3190">
        <v>3648</v>
      </c>
      <c r="Z274" s="3190">
        <v>18.577999999999999</v>
      </c>
    </row>
    <row r="275" spans="16:26">
      <c r="P275" s="3190">
        <v>94</v>
      </c>
      <c r="Q275" s="3190" t="s">
        <v>4545</v>
      </c>
      <c r="R275" s="3190" t="s">
        <v>4504</v>
      </c>
      <c r="S275" s="3190" t="s">
        <v>4048</v>
      </c>
      <c r="T275" s="3190">
        <v>8</v>
      </c>
      <c r="U275" s="3190">
        <v>-2</v>
      </c>
      <c r="V275" s="3190">
        <v>50.93</v>
      </c>
      <c r="W275" s="3190" t="s">
        <v>4593</v>
      </c>
      <c r="X275" s="3190" t="s">
        <v>4593</v>
      </c>
      <c r="Y275" s="3190">
        <v>3648</v>
      </c>
      <c r="Z275" s="3190">
        <v>18.577999999999999</v>
      </c>
    </row>
    <row r="276" spans="16:26">
      <c r="P276" s="3190">
        <v>95</v>
      </c>
      <c r="Q276" s="3190" t="s">
        <v>4545</v>
      </c>
      <c r="R276" s="3190" t="s">
        <v>4504</v>
      </c>
      <c r="S276" s="3190" t="s">
        <v>4049</v>
      </c>
      <c r="T276" s="3190">
        <v>8</v>
      </c>
      <c r="U276" s="3190">
        <v>-2</v>
      </c>
      <c r="V276" s="3190">
        <v>50.93</v>
      </c>
      <c r="W276" s="3190" t="s">
        <v>4593</v>
      </c>
      <c r="X276" s="3190" t="s">
        <v>4593</v>
      </c>
      <c r="Y276" s="3190">
        <v>3648</v>
      </c>
      <c r="Z276" s="3190">
        <v>18.577999999999999</v>
      </c>
    </row>
    <row r="277" spans="16:26">
      <c r="P277" s="3190">
        <v>96</v>
      </c>
      <c r="Q277" s="3190" t="s">
        <v>4545</v>
      </c>
      <c r="R277" s="3190" t="s">
        <v>4504</v>
      </c>
      <c r="S277" s="3190" t="s">
        <v>4050</v>
      </c>
      <c r="T277" s="3190">
        <v>8</v>
      </c>
      <c r="U277" s="3190">
        <v>-2</v>
      </c>
      <c r="V277" s="3190">
        <v>50.93</v>
      </c>
      <c r="W277" s="3190" t="s">
        <v>4593</v>
      </c>
      <c r="X277" s="3190" t="s">
        <v>4593</v>
      </c>
      <c r="Y277" s="3190">
        <v>3648</v>
      </c>
      <c r="Z277" s="3190">
        <v>18.577999999999999</v>
      </c>
    </row>
    <row r="278" spans="16:26">
      <c r="P278" s="3190">
        <v>97</v>
      </c>
      <c r="Q278" s="3190" t="s">
        <v>4545</v>
      </c>
      <c r="R278" s="3190" t="s">
        <v>4504</v>
      </c>
      <c r="S278" s="3190" t="s">
        <v>4051</v>
      </c>
      <c r="T278" s="3190">
        <v>8</v>
      </c>
      <c r="U278" s="3190">
        <v>-2</v>
      </c>
      <c r="V278" s="3190">
        <v>50.93</v>
      </c>
      <c r="W278" s="3190" t="s">
        <v>4593</v>
      </c>
      <c r="X278" s="3190" t="s">
        <v>4593</v>
      </c>
      <c r="Y278" s="3190">
        <v>3648</v>
      </c>
      <c r="Z278" s="3190">
        <v>18.577999999999999</v>
      </c>
    </row>
    <row r="279" spans="16:26">
      <c r="P279" s="3190">
        <v>98</v>
      </c>
      <c r="Q279" s="3190" t="s">
        <v>4545</v>
      </c>
      <c r="R279" s="3190" t="s">
        <v>4504</v>
      </c>
      <c r="S279" s="3190" t="s">
        <v>4052</v>
      </c>
      <c r="T279" s="3190">
        <v>8</v>
      </c>
      <c r="U279" s="3190">
        <v>-2</v>
      </c>
      <c r="V279" s="3190">
        <v>50.93</v>
      </c>
      <c r="W279" s="3190" t="s">
        <v>4593</v>
      </c>
      <c r="X279" s="3190" t="s">
        <v>4593</v>
      </c>
      <c r="Y279" s="3190">
        <v>3648</v>
      </c>
      <c r="Z279" s="3190">
        <v>18.577999999999999</v>
      </c>
    </row>
    <row r="280" spans="16:26">
      <c r="P280" s="3190">
        <v>99</v>
      </c>
      <c r="Q280" s="3190" t="s">
        <v>4545</v>
      </c>
      <c r="R280" s="3190" t="s">
        <v>4504</v>
      </c>
      <c r="S280" s="3190" t="s">
        <v>4053</v>
      </c>
      <c r="T280" s="3190">
        <v>8</v>
      </c>
      <c r="U280" s="3190">
        <v>-2</v>
      </c>
      <c r="V280" s="3190">
        <v>50.93</v>
      </c>
      <c r="W280" s="3190" t="s">
        <v>4593</v>
      </c>
      <c r="X280" s="3190" t="s">
        <v>4593</v>
      </c>
      <c r="Y280" s="3190">
        <v>3648</v>
      </c>
      <c r="Z280" s="3190">
        <v>18.577999999999999</v>
      </c>
    </row>
    <row r="281" spans="16:26">
      <c r="P281" s="3190">
        <v>100</v>
      </c>
      <c r="Q281" s="3190" t="s">
        <v>4545</v>
      </c>
      <c r="R281" s="3190" t="s">
        <v>4504</v>
      </c>
      <c r="S281" s="3190" t="s">
        <v>4054</v>
      </c>
      <c r="T281" s="3190">
        <v>8</v>
      </c>
      <c r="U281" s="3190">
        <v>-2</v>
      </c>
      <c r="V281" s="3190">
        <v>50.93</v>
      </c>
      <c r="W281" s="3190" t="s">
        <v>4593</v>
      </c>
      <c r="X281" s="3190" t="s">
        <v>4593</v>
      </c>
      <c r="Y281" s="3190">
        <v>3648</v>
      </c>
      <c r="Z281" s="3190">
        <v>18.577999999999999</v>
      </c>
    </row>
    <row r="282" spans="16:26">
      <c r="P282" s="3190">
        <v>101</v>
      </c>
      <c r="Q282" s="3190" t="s">
        <v>4545</v>
      </c>
      <c r="R282" s="3190" t="s">
        <v>4504</v>
      </c>
      <c r="S282" s="3190" t="s">
        <v>4055</v>
      </c>
      <c r="T282" s="3190">
        <v>8</v>
      </c>
      <c r="U282" s="3190">
        <v>-2</v>
      </c>
      <c r="V282" s="3190">
        <v>50.93</v>
      </c>
      <c r="W282" s="3190" t="s">
        <v>4593</v>
      </c>
      <c r="X282" s="3190" t="s">
        <v>4593</v>
      </c>
      <c r="Y282" s="3190">
        <v>3648</v>
      </c>
      <c r="Z282" s="3190">
        <v>18.577999999999999</v>
      </c>
    </row>
    <row r="283" spans="16:26">
      <c r="P283" s="3190">
        <v>102</v>
      </c>
      <c r="Q283" s="3190" t="s">
        <v>4545</v>
      </c>
      <c r="R283" s="3190" t="s">
        <v>4504</v>
      </c>
      <c r="S283" s="3190" t="s">
        <v>4056</v>
      </c>
      <c r="T283" s="3190">
        <v>8</v>
      </c>
      <c r="U283" s="3190">
        <v>-2</v>
      </c>
      <c r="V283" s="3190">
        <v>50.93</v>
      </c>
      <c r="W283" s="3190" t="s">
        <v>4593</v>
      </c>
      <c r="X283" s="3190" t="s">
        <v>4593</v>
      </c>
      <c r="Y283" s="3190">
        <v>3648</v>
      </c>
      <c r="Z283" s="3190">
        <v>18.577999999999999</v>
      </c>
    </row>
    <row r="284" spans="16:26">
      <c r="P284" s="3190">
        <v>103</v>
      </c>
      <c r="Q284" s="3190" t="s">
        <v>4545</v>
      </c>
      <c r="R284" s="3190" t="s">
        <v>4504</v>
      </c>
      <c r="S284" s="3190" t="s">
        <v>4057</v>
      </c>
      <c r="T284" s="3190">
        <v>8</v>
      </c>
      <c r="U284" s="3190">
        <v>-2</v>
      </c>
      <c r="V284" s="3190">
        <v>50.93</v>
      </c>
      <c r="W284" s="3190" t="s">
        <v>4593</v>
      </c>
      <c r="X284" s="3190" t="s">
        <v>4593</v>
      </c>
      <c r="Y284" s="3190">
        <v>3648</v>
      </c>
      <c r="Z284" s="3190">
        <v>18.577999999999999</v>
      </c>
    </row>
    <row r="285" spans="16:26">
      <c r="P285" s="3190">
        <v>104</v>
      </c>
      <c r="Q285" s="3190" t="s">
        <v>4545</v>
      </c>
      <c r="R285" s="3190" t="s">
        <v>4504</v>
      </c>
      <c r="S285" s="3190" t="s">
        <v>4058</v>
      </c>
      <c r="T285" s="3190">
        <v>8</v>
      </c>
      <c r="U285" s="3190">
        <v>-2</v>
      </c>
      <c r="V285" s="3190">
        <v>50.93</v>
      </c>
      <c r="W285" s="3190" t="s">
        <v>4593</v>
      </c>
      <c r="X285" s="3190" t="s">
        <v>4593</v>
      </c>
      <c r="Y285" s="3190">
        <v>3648</v>
      </c>
      <c r="Z285" s="3190">
        <v>18.577999999999999</v>
      </c>
    </row>
    <row r="286" spans="16:26">
      <c r="P286" s="3190">
        <v>105</v>
      </c>
      <c r="Q286" s="3190" t="s">
        <v>4545</v>
      </c>
      <c r="R286" s="3190" t="s">
        <v>4504</v>
      </c>
      <c r="S286" s="3190" t="s">
        <v>4059</v>
      </c>
      <c r="T286" s="3190">
        <v>8</v>
      </c>
      <c r="U286" s="3190">
        <v>-2</v>
      </c>
      <c r="V286" s="3190">
        <v>50.93</v>
      </c>
      <c r="W286" s="3190" t="s">
        <v>4593</v>
      </c>
      <c r="X286" s="3190" t="s">
        <v>4593</v>
      </c>
      <c r="Y286" s="3190">
        <v>3648</v>
      </c>
      <c r="Z286" s="3190">
        <v>18.577999999999999</v>
      </c>
    </row>
    <row r="287" spans="16:26">
      <c r="P287" s="3190">
        <v>106</v>
      </c>
      <c r="Q287" s="3190" t="s">
        <v>4545</v>
      </c>
      <c r="R287" s="3190" t="s">
        <v>4504</v>
      </c>
      <c r="S287" s="3190" t="s">
        <v>4060</v>
      </c>
      <c r="T287" s="3190">
        <v>8</v>
      </c>
      <c r="U287" s="3190">
        <v>-2</v>
      </c>
      <c r="V287" s="3190">
        <v>50.93</v>
      </c>
      <c r="W287" s="3190" t="s">
        <v>4593</v>
      </c>
      <c r="X287" s="3190" t="s">
        <v>4593</v>
      </c>
      <c r="Y287" s="3190">
        <v>3648</v>
      </c>
      <c r="Z287" s="3190">
        <v>18.577999999999999</v>
      </c>
    </row>
    <row r="288" spans="16:26">
      <c r="P288" s="3190">
        <v>107</v>
      </c>
      <c r="Q288" s="3190" t="s">
        <v>4545</v>
      </c>
      <c r="R288" s="3190" t="s">
        <v>4504</v>
      </c>
      <c r="S288" s="3190" t="s">
        <v>4061</v>
      </c>
      <c r="T288" s="3190">
        <v>8</v>
      </c>
      <c r="U288" s="3190">
        <v>-2</v>
      </c>
      <c r="V288" s="3190">
        <v>50.93</v>
      </c>
      <c r="W288" s="3190" t="s">
        <v>4593</v>
      </c>
      <c r="X288" s="3190" t="s">
        <v>4593</v>
      </c>
      <c r="Y288" s="3190">
        <v>3648</v>
      </c>
      <c r="Z288" s="3190">
        <v>18.577999999999999</v>
      </c>
    </row>
    <row r="289" spans="16:26">
      <c r="P289" s="3190">
        <v>108</v>
      </c>
      <c r="Q289" s="3190" t="s">
        <v>4545</v>
      </c>
      <c r="R289" s="3190" t="s">
        <v>4504</v>
      </c>
      <c r="S289" s="3190" t="s">
        <v>4062</v>
      </c>
      <c r="T289" s="3190">
        <v>8</v>
      </c>
      <c r="U289" s="3190">
        <v>-2</v>
      </c>
      <c r="V289" s="3190">
        <v>52.93</v>
      </c>
      <c r="W289" s="3190" t="s">
        <v>4593</v>
      </c>
      <c r="X289" s="3190" t="s">
        <v>4593</v>
      </c>
      <c r="Y289" s="3190">
        <v>3510</v>
      </c>
      <c r="Z289" s="3190">
        <v>18.577999999999999</v>
      </c>
    </row>
    <row r="290" spans="16:26">
      <c r="P290" s="3190">
        <v>109</v>
      </c>
      <c r="Q290" s="3190" t="s">
        <v>4545</v>
      </c>
      <c r="R290" s="3190" t="s">
        <v>4504</v>
      </c>
      <c r="S290" s="3190" t="s">
        <v>4063</v>
      </c>
      <c r="T290" s="3190">
        <v>8</v>
      </c>
      <c r="U290" s="3190">
        <v>-2</v>
      </c>
      <c r="V290" s="3190">
        <v>52.93</v>
      </c>
      <c r="W290" s="3190" t="s">
        <v>4593</v>
      </c>
      <c r="X290" s="3190" t="s">
        <v>4593</v>
      </c>
      <c r="Y290" s="3190">
        <v>3510</v>
      </c>
      <c r="Z290" s="3190">
        <v>18.577999999999999</v>
      </c>
    </row>
    <row r="291" spans="16:26">
      <c r="P291" s="3190">
        <v>110</v>
      </c>
      <c r="Q291" s="3190" t="s">
        <v>4545</v>
      </c>
      <c r="R291" s="3190" t="s">
        <v>4504</v>
      </c>
      <c r="S291" s="3190" t="s">
        <v>4064</v>
      </c>
      <c r="T291" s="3190">
        <v>8</v>
      </c>
      <c r="U291" s="3190">
        <v>-2</v>
      </c>
      <c r="V291" s="3190">
        <v>52.93</v>
      </c>
      <c r="W291" s="3190" t="s">
        <v>4593</v>
      </c>
      <c r="X291" s="3190" t="s">
        <v>4593</v>
      </c>
      <c r="Y291" s="3190">
        <v>3510</v>
      </c>
      <c r="Z291" s="3190">
        <v>18.577999999999999</v>
      </c>
    </row>
    <row r="292" spans="16:26">
      <c r="P292" s="3190">
        <v>111</v>
      </c>
      <c r="Q292" s="3190" t="s">
        <v>4545</v>
      </c>
      <c r="R292" s="3190" t="s">
        <v>4504</v>
      </c>
      <c r="S292" s="3190" t="s">
        <v>4065</v>
      </c>
      <c r="T292" s="3190">
        <v>8</v>
      </c>
      <c r="U292" s="3190">
        <v>-2</v>
      </c>
      <c r="V292" s="3190">
        <v>50.93</v>
      </c>
      <c r="W292" s="3190" t="s">
        <v>4593</v>
      </c>
      <c r="X292" s="3190" t="s">
        <v>4593</v>
      </c>
      <c r="Y292" s="3190">
        <v>3648</v>
      </c>
      <c r="Z292" s="3190">
        <v>18.577999999999999</v>
      </c>
    </row>
    <row r="293" spans="16:26">
      <c r="P293" s="3190">
        <v>112</v>
      </c>
      <c r="Q293" s="3190" t="s">
        <v>4545</v>
      </c>
      <c r="R293" s="3190" t="s">
        <v>4504</v>
      </c>
      <c r="S293" s="3190" t="s">
        <v>4066</v>
      </c>
      <c r="T293" s="3190">
        <v>8</v>
      </c>
      <c r="U293" s="3190">
        <v>-2</v>
      </c>
      <c r="V293" s="3190">
        <v>50.93</v>
      </c>
      <c r="W293" s="3190" t="s">
        <v>4593</v>
      </c>
      <c r="X293" s="3190" t="s">
        <v>4593</v>
      </c>
      <c r="Y293" s="3190">
        <v>3648</v>
      </c>
      <c r="Z293" s="3190">
        <v>18.577999999999999</v>
      </c>
    </row>
    <row r="294" spans="16:26">
      <c r="P294" s="3190">
        <v>113</v>
      </c>
      <c r="Q294" s="3190" t="s">
        <v>4545</v>
      </c>
      <c r="R294" s="3190" t="s">
        <v>4504</v>
      </c>
      <c r="S294" s="3190" t="s">
        <v>4067</v>
      </c>
      <c r="T294" s="3190">
        <v>8</v>
      </c>
      <c r="U294" s="3190">
        <v>-2</v>
      </c>
      <c r="V294" s="3190">
        <v>50.93</v>
      </c>
      <c r="W294" s="3190" t="s">
        <v>4593</v>
      </c>
      <c r="X294" s="3190" t="s">
        <v>4593</v>
      </c>
      <c r="Y294" s="3190">
        <v>3648</v>
      </c>
      <c r="Z294" s="3190">
        <v>18.577999999999999</v>
      </c>
    </row>
    <row r="295" spans="16:26">
      <c r="P295" s="3190">
        <v>114</v>
      </c>
      <c r="Q295" s="3190" t="s">
        <v>4545</v>
      </c>
      <c r="R295" s="3190" t="s">
        <v>4504</v>
      </c>
      <c r="S295" s="3190" t="s">
        <v>4068</v>
      </c>
      <c r="T295" s="3190">
        <v>8</v>
      </c>
      <c r="U295" s="3190">
        <v>-2</v>
      </c>
      <c r="V295" s="3190">
        <v>50.93</v>
      </c>
      <c r="W295" s="3190" t="s">
        <v>4593</v>
      </c>
      <c r="X295" s="3190" t="s">
        <v>4593</v>
      </c>
      <c r="Y295" s="3190">
        <v>3648</v>
      </c>
      <c r="Z295" s="3190">
        <v>18.577999999999999</v>
      </c>
    </row>
    <row r="296" spans="16:26">
      <c r="P296" s="3190">
        <v>115</v>
      </c>
      <c r="Q296" s="3190" t="s">
        <v>4545</v>
      </c>
      <c r="R296" s="3190" t="s">
        <v>4504</v>
      </c>
      <c r="S296" s="3190" t="s">
        <v>4069</v>
      </c>
      <c r="T296" s="3190">
        <v>8</v>
      </c>
      <c r="U296" s="3190">
        <v>-2</v>
      </c>
      <c r="V296" s="3190">
        <v>50.93</v>
      </c>
      <c r="W296" s="3190" t="s">
        <v>4593</v>
      </c>
      <c r="X296" s="3190" t="s">
        <v>4593</v>
      </c>
      <c r="Y296" s="3190">
        <v>3648</v>
      </c>
      <c r="Z296" s="3190">
        <v>18.577999999999999</v>
      </c>
    </row>
    <row r="297" spans="16:26">
      <c r="P297" s="3190">
        <v>116</v>
      </c>
      <c r="Q297" s="3190" t="s">
        <v>4545</v>
      </c>
      <c r="R297" s="3190" t="s">
        <v>4504</v>
      </c>
      <c r="S297" s="3190" t="s">
        <v>4070</v>
      </c>
      <c r="T297" s="3190">
        <v>8</v>
      </c>
      <c r="U297" s="3190">
        <v>-2</v>
      </c>
      <c r="V297" s="3190">
        <v>50.93</v>
      </c>
      <c r="W297" s="3190" t="s">
        <v>4593</v>
      </c>
      <c r="X297" s="3190" t="s">
        <v>4593</v>
      </c>
      <c r="Y297" s="3190">
        <v>3648</v>
      </c>
      <c r="Z297" s="3190">
        <v>18.577999999999999</v>
      </c>
    </row>
    <row r="298" spans="16:26">
      <c r="P298" s="3190">
        <v>117</v>
      </c>
      <c r="Q298" s="3190" t="s">
        <v>4545</v>
      </c>
      <c r="R298" s="3190" t="s">
        <v>4504</v>
      </c>
      <c r="S298" s="3190" t="s">
        <v>4071</v>
      </c>
      <c r="T298" s="3190">
        <v>8</v>
      </c>
      <c r="U298" s="3190">
        <v>-2</v>
      </c>
      <c r="V298" s="3190">
        <v>50.93</v>
      </c>
      <c r="W298" s="3190" t="s">
        <v>4593</v>
      </c>
      <c r="X298" s="3190" t="s">
        <v>4593</v>
      </c>
      <c r="Y298" s="3190">
        <v>3648</v>
      </c>
      <c r="Z298" s="3190">
        <v>18.577999999999999</v>
      </c>
    </row>
    <row r="299" spans="16:26">
      <c r="P299" s="3190">
        <v>118</v>
      </c>
      <c r="Q299" s="3190" t="s">
        <v>4545</v>
      </c>
      <c r="R299" s="3190" t="s">
        <v>4504</v>
      </c>
      <c r="S299" s="3190" t="s">
        <v>4072</v>
      </c>
      <c r="T299" s="3190">
        <v>8</v>
      </c>
      <c r="U299" s="3190">
        <v>-2</v>
      </c>
      <c r="V299" s="3190">
        <v>50.93</v>
      </c>
      <c r="W299" s="3190" t="s">
        <v>4593</v>
      </c>
      <c r="X299" s="3190" t="s">
        <v>4593</v>
      </c>
      <c r="Y299" s="3190">
        <v>3648</v>
      </c>
      <c r="Z299" s="3190">
        <v>18.577999999999999</v>
      </c>
    </row>
    <row r="300" spans="16:26">
      <c r="P300" s="3190">
        <v>119</v>
      </c>
      <c r="Q300" s="3190" t="s">
        <v>4545</v>
      </c>
      <c r="R300" s="3190" t="s">
        <v>4504</v>
      </c>
      <c r="S300" s="3190" t="s">
        <v>4073</v>
      </c>
      <c r="T300" s="3190">
        <v>8</v>
      </c>
      <c r="U300" s="3190">
        <v>-2</v>
      </c>
      <c r="V300" s="3190">
        <v>50.93</v>
      </c>
      <c r="W300" s="3190" t="s">
        <v>4593</v>
      </c>
      <c r="X300" s="3190" t="s">
        <v>4593</v>
      </c>
      <c r="Y300" s="3190">
        <v>3648</v>
      </c>
      <c r="Z300" s="3190">
        <v>18.577999999999999</v>
      </c>
    </row>
    <row r="301" spans="16:26">
      <c r="P301" s="3190">
        <v>120</v>
      </c>
      <c r="Q301" s="3190" t="s">
        <v>4545</v>
      </c>
      <c r="R301" s="3190" t="s">
        <v>4504</v>
      </c>
      <c r="S301" s="3190" t="s">
        <v>4074</v>
      </c>
      <c r="T301" s="3190">
        <v>8</v>
      </c>
      <c r="U301" s="3190">
        <v>-2</v>
      </c>
      <c r="V301" s="3190">
        <v>50.93</v>
      </c>
      <c r="W301" s="3190" t="s">
        <v>4593</v>
      </c>
      <c r="X301" s="3190" t="s">
        <v>4593</v>
      </c>
      <c r="Y301" s="3190">
        <v>3648</v>
      </c>
      <c r="Z301" s="3190">
        <v>18.577999999999999</v>
      </c>
    </row>
    <row r="302" spans="16:26">
      <c r="P302" s="3190">
        <v>121</v>
      </c>
      <c r="Q302" s="3190" t="s">
        <v>4545</v>
      </c>
      <c r="R302" s="3190" t="s">
        <v>4504</v>
      </c>
      <c r="S302" s="3190" t="s">
        <v>4075</v>
      </c>
      <c r="T302" s="3190">
        <v>8</v>
      </c>
      <c r="U302" s="3190">
        <v>-2</v>
      </c>
      <c r="V302" s="3190">
        <v>50.93</v>
      </c>
      <c r="W302" s="3190" t="s">
        <v>4593</v>
      </c>
      <c r="X302" s="3190" t="s">
        <v>4593</v>
      </c>
      <c r="Y302" s="3190">
        <v>3648</v>
      </c>
      <c r="Z302" s="3190">
        <v>18.577999999999999</v>
      </c>
    </row>
    <row r="303" spans="16:26">
      <c r="P303" s="3190">
        <v>122</v>
      </c>
      <c r="Q303" s="3190" t="s">
        <v>4545</v>
      </c>
      <c r="R303" s="3190" t="s">
        <v>4504</v>
      </c>
      <c r="S303" s="3190" t="s">
        <v>4076</v>
      </c>
      <c r="T303" s="3190">
        <v>8</v>
      </c>
      <c r="U303" s="3190">
        <v>-2</v>
      </c>
      <c r="V303" s="3190">
        <v>50.93</v>
      </c>
      <c r="W303" s="3190" t="s">
        <v>4593</v>
      </c>
      <c r="X303" s="3190" t="s">
        <v>4593</v>
      </c>
      <c r="Y303" s="3190">
        <v>3648</v>
      </c>
      <c r="Z303" s="3190">
        <v>18.577999999999999</v>
      </c>
    </row>
    <row r="304" spans="16:26">
      <c r="P304" s="3190">
        <v>123</v>
      </c>
      <c r="Q304" s="3190" t="s">
        <v>4545</v>
      </c>
      <c r="R304" s="3190" t="s">
        <v>4504</v>
      </c>
      <c r="S304" s="3190" t="s">
        <v>4077</v>
      </c>
      <c r="T304" s="3190">
        <v>8</v>
      </c>
      <c r="U304" s="3190">
        <v>-2</v>
      </c>
      <c r="V304" s="3190">
        <v>50.93</v>
      </c>
      <c r="W304" s="3190" t="s">
        <v>4593</v>
      </c>
      <c r="X304" s="3190" t="s">
        <v>4593</v>
      </c>
      <c r="Y304" s="3190">
        <v>3648</v>
      </c>
      <c r="Z304" s="3190">
        <v>18.577999999999999</v>
      </c>
    </row>
    <row r="305" spans="16:26">
      <c r="P305" s="3190">
        <v>124</v>
      </c>
      <c r="Q305" s="3190" t="s">
        <v>4545</v>
      </c>
      <c r="R305" s="3190" t="s">
        <v>4504</v>
      </c>
      <c r="S305" s="3190" t="s">
        <v>4078</v>
      </c>
      <c r="T305" s="3190">
        <v>8</v>
      </c>
      <c r="U305" s="3190">
        <v>-2</v>
      </c>
      <c r="V305" s="3190">
        <v>50.93</v>
      </c>
      <c r="W305" s="3190" t="s">
        <v>4593</v>
      </c>
      <c r="X305" s="3190" t="s">
        <v>4593</v>
      </c>
      <c r="Y305" s="3190">
        <v>3648</v>
      </c>
      <c r="Z305" s="3190">
        <v>18.577999999999999</v>
      </c>
    </row>
    <row r="306" spans="16:26">
      <c r="P306" s="3190">
        <v>125</v>
      </c>
      <c r="Q306" s="3190" t="s">
        <v>4545</v>
      </c>
      <c r="R306" s="3190" t="s">
        <v>4504</v>
      </c>
      <c r="S306" s="3190" t="s">
        <v>4079</v>
      </c>
      <c r="T306" s="3190">
        <v>8</v>
      </c>
      <c r="U306" s="3190">
        <v>-2</v>
      </c>
      <c r="V306" s="3190">
        <v>50.93</v>
      </c>
      <c r="W306" s="3190" t="s">
        <v>4593</v>
      </c>
      <c r="X306" s="3190" t="s">
        <v>4593</v>
      </c>
      <c r="Y306" s="3190">
        <v>3648</v>
      </c>
      <c r="Z306" s="3190">
        <v>18.577999999999999</v>
      </c>
    </row>
    <row r="307" spans="16:26">
      <c r="P307" s="3190">
        <v>126</v>
      </c>
      <c r="Q307" s="3190" t="s">
        <v>4545</v>
      </c>
      <c r="R307" s="3190" t="s">
        <v>4504</v>
      </c>
      <c r="S307" s="3190" t="s">
        <v>4080</v>
      </c>
      <c r="T307" s="3190">
        <v>8</v>
      </c>
      <c r="U307" s="3190">
        <v>-2</v>
      </c>
      <c r="V307" s="3190">
        <v>50.93</v>
      </c>
      <c r="W307" s="3190" t="s">
        <v>4593</v>
      </c>
      <c r="X307" s="3190" t="s">
        <v>4593</v>
      </c>
      <c r="Y307" s="3190">
        <v>3648</v>
      </c>
      <c r="Z307" s="3190">
        <v>18.577999999999999</v>
      </c>
    </row>
    <row r="308" spans="16:26">
      <c r="P308" s="3190">
        <v>127</v>
      </c>
      <c r="Q308" s="3190" t="s">
        <v>4545</v>
      </c>
      <c r="R308" s="3190" t="s">
        <v>4504</v>
      </c>
      <c r="S308" s="3190" t="s">
        <v>4081</v>
      </c>
      <c r="T308" s="3190">
        <v>8</v>
      </c>
      <c r="U308" s="3190">
        <v>-2</v>
      </c>
      <c r="V308" s="3190">
        <v>50.93</v>
      </c>
      <c r="W308" s="3190" t="s">
        <v>4593</v>
      </c>
      <c r="X308" s="3190" t="s">
        <v>4593</v>
      </c>
      <c r="Y308" s="3190">
        <v>3648</v>
      </c>
      <c r="Z308" s="3190">
        <v>18.577999999999999</v>
      </c>
    </row>
    <row r="309" spans="16:26">
      <c r="P309" s="3190">
        <v>128</v>
      </c>
      <c r="Q309" s="3190" t="s">
        <v>4545</v>
      </c>
      <c r="R309" s="3190" t="s">
        <v>4504</v>
      </c>
      <c r="S309" s="3190" t="s">
        <v>4082</v>
      </c>
      <c r="T309" s="3190">
        <v>8</v>
      </c>
      <c r="U309" s="3190">
        <v>-2</v>
      </c>
      <c r="V309" s="3190">
        <v>50.93</v>
      </c>
      <c r="W309" s="3190" t="s">
        <v>4593</v>
      </c>
      <c r="X309" s="3190" t="s">
        <v>4593</v>
      </c>
      <c r="Y309" s="3190">
        <v>3648</v>
      </c>
      <c r="Z309" s="3190">
        <v>18.577999999999999</v>
      </c>
    </row>
    <row r="310" spans="16:26">
      <c r="P310" s="3190">
        <v>129</v>
      </c>
      <c r="Q310" s="3190" t="s">
        <v>4545</v>
      </c>
      <c r="R310" s="3190" t="s">
        <v>4504</v>
      </c>
      <c r="S310" s="3190" t="s">
        <v>4083</v>
      </c>
      <c r="T310" s="3190">
        <v>8</v>
      </c>
      <c r="U310" s="3190">
        <v>-2</v>
      </c>
      <c r="V310" s="3190">
        <v>59.92</v>
      </c>
      <c r="W310" s="3190" t="s">
        <v>4593</v>
      </c>
      <c r="X310" s="3190" t="s">
        <v>4593</v>
      </c>
      <c r="Y310" s="3190">
        <v>3100</v>
      </c>
      <c r="Z310" s="3190">
        <v>18.577999999999999</v>
      </c>
    </row>
    <row r="311" spans="16:26">
      <c r="P311" s="3190">
        <v>130</v>
      </c>
      <c r="Q311" s="3190" t="s">
        <v>4545</v>
      </c>
      <c r="R311" s="3190" t="s">
        <v>4504</v>
      </c>
      <c r="S311" s="3190" t="s">
        <v>4084</v>
      </c>
      <c r="T311" s="3190">
        <v>8</v>
      </c>
      <c r="U311" s="3190">
        <v>-2</v>
      </c>
      <c r="V311" s="3190">
        <v>52.93</v>
      </c>
      <c r="W311" s="3190" t="s">
        <v>4593</v>
      </c>
      <c r="X311" s="3190" t="s">
        <v>4593</v>
      </c>
      <c r="Y311" s="3190">
        <v>3510</v>
      </c>
      <c r="Z311" s="3190">
        <v>18.577999999999999</v>
      </c>
    </row>
    <row r="312" spans="16:26">
      <c r="P312" s="3190">
        <v>131</v>
      </c>
      <c r="Q312" s="3190" t="s">
        <v>4545</v>
      </c>
      <c r="R312" s="3190" t="s">
        <v>4504</v>
      </c>
      <c r="S312" s="3190" t="s">
        <v>4085</v>
      </c>
      <c r="T312" s="3190">
        <v>8</v>
      </c>
      <c r="U312" s="3190">
        <v>-2</v>
      </c>
      <c r="V312" s="3190">
        <v>52.93</v>
      </c>
      <c r="W312" s="3190" t="s">
        <v>4593</v>
      </c>
      <c r="X312" s="3190" t="s">
        <v>4593</v>
      </c>
      <c r="Y312" s="3190">
        <v>3510</v>
      </c>
      <c r="Z312" s="3190">
        <v>18.577999999999999</v>
      </c>
    </row>
    <row r="313" spans="16:26">
      <c r="P313" s="3190">
        <v>132</v>
      </c>
      <c r="Q313" s="3190" t="s">
        <v>4545</v>
      </c>
      <c r="R313" s="3190" t="s">
        <v>4504</v>
      </c>
      <c r="S313" s="3190" t="s">
        <v>4086</v>
      </c>
      <c r="T313" s="3190">
        <v>8</v>
      </c>
      <c r="U313" s="3190">
        <v>-2</v>
      </c>
      <c r="V313" s="3190">
        <v>52.93</v>
      </c>
      <c r="W313" s="3190" t="s">
        <v>4593</v>
      </c>
      <c r="X313" s="3190" t="s">
        <v>4593</v>
      </c>
      <c r="Y313" s="3190">
        <v>3510</v>
      </c>
      <c r="Z313" s="3190">
        <v>18.577999999999999</v>
      </c>
    </row>
    <row r="314" spans="16:26">
      <c r="P314" s="3190">
        <v>133</v>
      </c>
      <c r="Q314" s="3190" t="s">
        <v>4545</v>
      </c>
      <c r="R314" s="3190" t="s">
        <v>4504</v>
      </c>
      <c r="S314" s="3190" t="s">
        <v>4087</v>
      </c>
      <c r="T314" s="3190">
        <v>8</v>
      </c>
      <c r="U314" s="3190">
        <v>-2</v>
      </c>
      <c r="V314" s="3190">
        <v>52.93</v>
      </c>
      <c r="W314" s="3190" t="s">
        <v>4593</v>
      </c>
      <c r="X314" s="3190" t="s">
        <v>4593</v>
      </c>
      <c r="Y314" s="3190">
        <v>3510</v>
      </c>
      <c r="Z314" s="3190">
        <v>18.577999999999999</v>
      </c>
    </row>
    <row r="315" spans="16:26">
      <c r="P315" s="3190">
        <v>134</v>
      </c>
      <c r="Q315" s="3190" t="s">
        <v>4545</v>
      </c>
      <c r="R315" s="3190" t="s">
        <v>4504</v>
      </c>
      <c r="S315" s="3190" t="s">
        <v>4088</v>
      </c>
      <c r="T315" s="3190">
        <v>8</v>
      </c>
      <c r="U315" s="3190">
        <v>-2</v>
      </c>
      <c r="V315" s="3190">
        <v>52.93</v>
      </c>
      <c r="W315" s="3190" t="s">
        <v>4593</v>
      </c>
      <c r="X315" s="3190" t="s">
        <v>4593</v>
      </c>
      <c r="Y315" s="3190">
        <v>3510</v>
      </c>
      <c r="Z315" s="3190">
        <v>18.577999999999999</v>
      </c>
    </row>
    <row r="316" spans="16:26">
      <c r="P316" s="3190">
        <v>135</v>
      </c>
      <c r="Q316" s="3190" t="s">
        <v>4545</v>
      </c>
      <c r="R316" s="3190" t="s">
        <v>4504</v>
      </c>
      <c r="S316" s="3190" t="s">
        <v>4089</v>
      </c>
      <c r="T316" s="3190">
        <v>8</v>
      </c>
      <c r="U316" s="3190">
        <v>-2</v>
      </c>
      <c r="V316" s="3190">
        <v>50.93</v>
      </c>
      <c r="W316" s="3190" t="s">
        <v>4593</v>
      </c>
      <c r="X316" s="3190" t="s">
        <v>4593</v>
      </c>
      <c r="Y316" s="3190">
        <v>3648</v>
      </c>
      <c r="Z316" s="3190">
        <v>18.577999999999999</v>
      </c>
    </row>
    <row r="317" spans="16:26">
      <c r="P317" s="3190">
        <v>136</v>
      </c>
      <c r="Q317" s="3190" t="s">
        <v>4545</v>
      </c>
      <c r="R317" s="3190" t="s">
        <v>4504</v>
      </c>
      <c r="S317" s="3190" t="s">
        <v>4090</v>
      </c>
      <c r="T317" s="3190">
        <v>8</v>
      </c>
      <c r="U317" s="3190">
        <v>-2</v>
      </c>
      <c r="V317" s="3190">
        <v>50.93</v>
      </c>
      <c r="W317" s="3190" t="s">
        <v>4593</v>
      </c>
      <c r="X317" s="3190" t="s">
        <v>4593</v>
      </c>
      <c r="Y317" s="3190">
        <v>3648</v>
      </c>
      <c r="Z317" s="3190">
        <v>18.577999999999999</v>
      </c>
    </row>
    <row r="318" spans="16:26">
      <c r="P318" s="3190">
        <v>137</v>
      </c>
      <c r="Q318" s="3190" t="s">
        <v>4545</v>
      </c>
      <c r="R318" s="3190" t="s">
        <v>4504</v>
      </c>
      <c r="S318" s="3190" t="s">
        <v>4091</v>
      </c>
      <c r="T318" s="3190">
        <v>8</v>
      </c>
      <c r="U318" s="3190">
        <v>-2</v>
      </c>
      <c r="V318" s="3190">
        <v>50.93</v>
      </c>
      <c r="W318" s="3190" t="s">
        <v>4593</v>
      </c>
      <c r="X318" s="3190" t="s">
        <v>4593</v>
      </c>
      <c r="Y318" s="3190">
        <v>3648</v>
      </c>
      <c r="Z318" s="3190">
        <v>18.577999999999999</v>
      </c>
    </row>
    <row r="319" spans="16:26">
      <c r="P319" s="3190">
        <v>138</v>
      </c>
      <c r="Q319" s="3190" t="s">
        <v>4545</v>
      </c>
      <c r="R319" s="3190" t="s">
        <v>4504</v>
      </c>
      <c r="S319" s="3190" t="s">
        <v>4092</v>
      </c>
      <c r="T319" s="3190">
        <v>8</v>
      </c>
      <c r="U319" s="3190">
        <v>-2</v>
      </c>
      <c r="V319" s="3190">
        <v>50.93</v>
      </c>
      <c r="W319" s="3190" t="s">
        <v>4593</v>
      </c>
      <c r="X319" s="3190" t="s">
        <v>4593</v>
      </c>
      <c r="Y319" s="3190">
        <v>3648</v>
      </c>
      <c r="Z319" s="3190">
        <v>18.577999999999999</v>
      </c>
    </row>
    <row r="320" spans="16:26">
      <c r="P320" s="3190">
        <v>139</v>
      </c>
      <c r="Q320" s="3190" t="s">
        <v>4545</v>
      </c>
      <c r="R320" s="3190" t="s">
        <v>4504</v>
      </c>
      <c r="S320" s="3190" t="s">
        <v>4093</v>
      </c>
      <c r="T320" s="3190">
        <v>8</v>
      </c>
      <c r="U320" s="3190">
        <v>-2</v>
      </c>
      <c r="V320" s="3190">
        <v>50.93</v>
      </c>
      <c r="W320" s="3190" t="s">
        <v>4593</v>
      </c>
      <c r="X320" s="3190" t="s">
        <v>4593</v>
      </c>
      <c r="Y320" s="3190">
        <v>3648</v>
      </c>
      <c r="Z320" s="3190">
        <v>18.577999999999999</v>
      </c>
    </row>
    <row r="321" spans="16:26">
      <c r="P321" s="3190">
        <v>140</v>
      </c>
      <c r="Q321" s="3190" t="s">
        <v>4545</v>
      </c>
      <c r="R321" s="3190" t="s">
        <v>4504</v>
      </c>
      <c r="S321" s="3190" t="s">
        <v>4094</v>
      </c>
      <c r="T321" s="3190">
        <v>8</v>
      </c>
      <c r="U321" s="3190">
        <v>-2</v>
      </c>
      <c r="V321" s="3190">
        <v>50.93</v>
      </c>
      <c r="W321" s="3190" t="s">
        <v>4593</v>
      </c>
      <c r="X321" s="3190" t="s">
        <v>4593</v>
      </c>
      <c r="Y321" s="3190">
        <v>3648</v>
      </c>
      <c r="Z321" s="3190">
        <v>18.577999999999999</v>
      </c>
    </row>
    <row r="322" spans="16:26">
      <c r="P322" s="3190">
        <v>141</v>
      </c>
      <c r="Q322" s="3190" t="s">
        <v>4545</v>
      </c>
      <c r="R322" s="3190" t="s">
        <v>4504</v>
      </c>
      <c r="S322" s="3190" t="s">
        <v>4095</v>
      </c>
      <c r="T322" s="3190">
        <v>8</v>
      </c>
      <c r="U322" s="3190">
        <v>-2</v>
      </c>
      <c r="V322" s="3190">
        <v>50.93</v>
      </c>
      <c r="W322" s="3190" t="s">
        <v>4593</v>
      </c>
      <c r="X322" s="3190" t="s">
        <v>4593</v>
      </c>
      <c r="Y322" s="3190">
        <v>3648</v>
      </c>
      <c r="Z322" s="3190">
        <v>18.577999999999999</v>
      </c>
    </row>
    <row r="323" spans="16:26">
      <c r="P323" s="3190">
        <v>142</v>
      </c>
      <c r="Q323" s="3190" t="s">
        <v>4545</v>
      </c>
      <c r="R323" s="3190" t="s">
        <v>4504</v>
      </c>
      <c r="S323" s="3190" t="s">
        <v>4096</v>
      </c>
      <c r="T323" s="3190">
        <v>8</v>
      </c>
      <c r="U323" s="3190">
        <v>-2</v>
      </c>
      <c r="V323" s="3190">
        <v>50.93</v>
      </c>
      <c r="W323" s="3190" t="s">
        <v>4593</v>
      </c>
      <c r="X323" s="3190" t="s">
        <v>4593</v>
      </c>
      <c r="Y323" s="3190">
        <v>3648</v>
      </c>
      <c r="Z323" s="3190">
        <v>18.577999999999999</v>
      </c>
    </row>
    <row r="324" spans="16:26">
      <c r="P324" s="3190">
        <v>143</v>
      </c>
      <c r="Q324" s="3190" t="s">
        <v>4545</v>
      </c>
      <c r="R324" s="3190" t="s">
        <v>4504</v>
      </c>
      <c r="S324" s="3190" t="s">
        <v>4097</v>
      </c>
      <c r="T324" s="3190">
        <v>8</v>
      </c>
      <c r="U324" s="3190">
        <v>-2</v>
      </c>
      <c r="V324" s="3190">
        <v>50.93</v>
      </c>
      <c r="W324" s="3190" t="s">
        <v>4593</v>
      </c>
      <c r="X324" s="3190" t="s">
        <v>4593</v>
      </c>
      <c r="Y324" s="3190">
        <v>3648</v>
      </c>
      <c r="Z324" s="3190">
        <v>18.577999999999999</v>
      </c>
    </row>
    <row r="325" spans="16:26">
      <c r="P325" s="3190">
        <v>144</v>
      </c>
      <c r="Q325" s="3190" t="s">
        <v>4545</v>
      </c>
      <c r="R325" s="3190" t="s">
        <v>4504</v>
      </c>
      <c r="S325" s="3190" t="s">
        <v>4098</v>
      </c>
      <c r="T325" s="3190">
        <v>8</v>
      </c>
      <c r="U325" s="3190">
        <v>-2</v>
      </c>
      <c r="V325" s="3190">
        <v>50.93</v>
      </c>
      <c r="W325" s="3190" t="s">
        <v>4593</v>
      </c>
      <c r="X325" s="3190" t="s">
        <v>4593</v>
      </c>
      <c r="Y325" s="3190">
        <v>3648</v>
      </c>
      <c r="Z325" s="3190">
        <v>18.577999999999999</v>
      </c>
    </row>
    <row r="326" spans="16:26">
      <c r="P326" s="3190">
        <v>145</v>
      </c>
      <c r="Q326" s="3190" t="s">
        <v>4545</v>
      </c>
      <c r="R326" s="3190" t="s">
        <v>4504</v>
      </c>
      <c r="S326" s="3190" t="s">
        <v>4099</v>
      </c>
      <c r="T326" s="3190">
        <v>8</v>
      </c>
      <c r="U326" s="3190">
        <v>-2</v>
      </c>
      <c r="V326" s="3190">
        <v>50.93</v>
      </c>
      <c r="W326" s="3190" t="s">
        <v>4593</v>
      </c>
      <c r="X326" s="3190" t="s">
        <v>4593</v>
      </c>
      <c r="Y326" s="3190">
        <v>3648</v>
      </c>
      <c r="Z326" s="3190">
        <v>18.577999999999999</v>
      </c>
    </row>
    <row r="327" spans="16:26">
      <c r="P327" s="3190">
        <v>146</v>
      </c>
      <c r="Q327" s="3190" t="s">
        <v>4545</v>
      </c>
      <c r="R327" s="3190" t="s">
        <v>4504</v>
      </c>
      <c r="S327" s="3190" t="s">
        <v>4100</v>
      </c>
      <c r="T327" s="3190">
        <v>8</v>
      </c>
      <c r="U327" s="3190">
        <v>-2</v>
      </c>
      <c r="V327" s="3190">
        <v>50.93</v>
      </c>
      <c r="W327" s="3190" t="s">
        <v>4593</v>
      </c>
      <c r="X327" s="3190" t="s">
        <v>4593</v>
      </c>
      <c r="Y327" s="3190">
        <v>3648</v>
      </c>
      <c r="Z327" s="3190">
        <v>18.577999999999999</v>
      </c>
    </row>
    <row r="328" spans="16:26">
      <c r="P328" s="3190">
        <v>147</v>
      </c>
      <c r="Q328" s="3190" t="s">
        <v>4545</v>
      </c>
      <c r="R328" s="3190" t="s">
        <v>4504</v>
      </c>
      <c r="S328" s="3190" t="s">
        <v>4101</v>
      </c>
      <c r="T328" s="3190">
        <v>8</v>
      </c>
      <c r="U328" s="3190">
        <v>-2</v>
      </c>
      <c r="V328" s="3190">
        <v>50.93</v>
      </c>
      <c r="W328" s="3190" t="s">
        <v>4593</v>
      </c>
      <c r="X328" s="3190" t="s">
        <v>4593</v>
      </c>
      <c r="Y328" s="3190">
        <v>3648</v>
      </c>
      <c r="Z328" s="3190">
        <v>18.577999999999999</v>
      </c>
    </row>
    <row r="329" spans="16:26">
      <c r="P329" s="3190">
        <v>148</v>
      </c>
      <c r="Q329" s="3190" t="s">
        <v>4545</v>
      </c>
      <c r="R329" s="3190" t="s">
        <v>4504</v>
      </c>
      <c r="S329" s="3190" t="s">
        <v>4102</v>
      </c>
      <c r="T329" s="3190">
        <v>8</v>
      </c>
      <c r="U329" s="3190">
        <v>-2</v>
      </c>
      <c r="V329" s="3190">
        <v>59.92</v>
      </c>
      <c r="W329" s="3190" t="s">
        <v>4593</v>
      </c>
      <c r="X329" s="3190" t="s">
        <v>4593</v>
      </c>
      <c r="Y329" s="3190">
        <v>3100</v>
      </c>
      <c r="Z329" s="3190">
        <v>18.577999999999999</v>
      </c>
    </row>
    <row r="330" spans="16:26">
      <c r="P330" s="3190">
        <v>149</v>
      </c>
      <c r="Q330" s="3190" t="s">
        <v>4545</v>
      </c>
      <c r="R330" s="3190" t="s">
        <v>4504</v>
      </c>
      <c r="S330" s="3190" t="s">
        <v>4103</v>
      </c>
      <c r="T330" s="3190">
        <v>8</v>
      </c>
      <c r="U330" s="3190">
        <v>-2</v>
      </c>
      <c r="V330" s="3190">
        <v>50.93</v>
      </c>
      <c r="W330" s="3190" t="s">
        <v>4593</v>
      </c>
      <c r="X330" s="3190" t="s">
        <v>4593</v>
      </c>
      <c r="Y330" s="3190">
        <v>3648</v>
      </c>
      <c r="Z330" s="3190">
        <v>18.577999999999999</v>
      </c>
    </row>
    <row r="331" spans="16:26">
      <c r="P331" s="3190">
        <v>150</v>
      </c>
      <c r="Q331" s="3190" t="s">
        <v>4545</v>
      </c>
      <c r="R331" s="3190" t="s">
        <v>4504</v>
      </c>
      <c r="S331" s="3190" t="s">
        <v>4104</v>
      </c>
      <c r="T331" s="3190">
        <v>8</v>
      </c>
      <c r="U331" s="3190">
        <v>-2</v>
      </c>
      <c r="V331" s="3190">
        <v>50.93</v>
      </c>
      <c r="W331" s="3190" t="s">
        <v>4593</v>
      </c>
      <c r="X331" s="3190" t="s">
        <v>4593</v>
      </c>
      <c r="Y331" s="3190">
        <v>3648</v>
      </c>
      <c r="Z331" s="3190">
        <v>18.577999999999999</v>
      </c>
    </row>
    <row r="332" spans="16:26">
      <c r="P332" s="3190">
        <v>151</v>
      </c>
      <c r="Q332" s="3190" t="s">
        <v>4545</v>
      </c>
      <c r="R332" s="3190" t="s">
        <v>4504</v>
      </c>
      <c r="S332" s="3190" t="s">
        <v>4105</v>
      </c>
      <c r="T332" s="3190">
        <v>8</v>
      </c>
      <c r="U332" s="3190">
        <v>-2</v>
      </c>
      <c r="V332" s="3190">
        <v>50.93</v>
      </c>
      <c r="W332" s="3190" t="s">
        <v>4593</v>
      </c>
      <c r="X332" s="3190" t="s">
        <v>4593</v>
      </c>
      <c r="Y332" s="3190">
        <v>3648</v>
      </c>
      <c r="Z332" s="3190">
        <v>18.577999999999999</v>
      </c>
    </row>
    <row r="333" spans="16:26">
      <c r="P333" s="3190">
        <v>152</v>
      </c>
      <c r="Q333" s="3190" t="s">
        <v>4545</v>
      </c>
      <c r="R333" s="3190" t="s">
        <v>4504</v>
      </c>
      <c r="S333" s="3190" t="s">
        <v>4106</v>
      </c>
      <c r="T333" s="3190">
        <v>8</v>
      </c>
      <c r="U333" s="3190">
        <v>-2</v>
      </c>
      <c r="V333" s="3190">
        <v>50.93</v>
      </c>
      <c r="W333" s="3190" t="s">
        <v>4593</v>
      </c>
      <c r="X333" s="3190" t="s">
        <v>4593</v>
      </c>
      <c r="Y333" s="3190">
        <v>3648</v>
      </c>
      <c r="Z333" s="3190">
        <v>18.577999999999999</v>
      </c>
    </row>
    <row r="334" spans="16:26">
      <c r="P334" s="3190">
        <v>153</v>
      </c>
      <c r="Q334" s="3190" t="s">
        <v>4545</v>
      </c>
      <c r="R334" s="3190" t="s">
        <v>4504</v>
      </c>
      <c r="S334" s="3190" t="s">
        <v>4107</v>
      </c>
      <c r="T334" s="3190">
        <v>8</v>
      </c>
      <c r="U334" s="3190">
        <v>-2</v>
      </c>
      <c r="V334" s="3190">
        <v>50.93</v>
      </c>
      <c r="W334" s="3190" t="s">
        <v>4593</v>
      </c>
      <c r="X334" s="3190" t="s">
        <v>4593</v>
      </c>
      <c r="Y334" s="3190">
        <v>3648</v>
      </c>
      <c r="Z334" s="3190">
        <v>18.577999999999999</v>
      </c>
    </row>
    <row r="335" spans="16:26">
      <c r="P335" s="3190">
        <v>154</v>
      </c>
      <c r="Q335" s="3190" t="s">
        <v>4545</v>
      </c>
      <c r="R335" s="3190" t="s">
        <v>4504</v>
      </c>
      <c r="S335" s="3190" t="s">
        <v>4108</v>
      </c>
      <c r="T335" s="3190">
        <v>8</v>
      </c>
      <c r="U335" s="3190">
        <v>-2</v>
      </c>
      <c r="V335" s="3190">
        <v>50.93</v>
      </c>
      <c r="W335" s="3190" t="s">
        <v>4593</v>
      </c>
      <c r="X335" s="3190" t="s">
        <v>4593</v>
      </c>
      <c r="Y335" s="3190">
        <v>3648</v>
      </c>
      <c r="Z335" s="3190">
        <v>18.577999999999999</v>
      </c>
    </row>
    <row r="336" spans="16:26">
      <c r="P336" s="3190">
        <v>155</v>
      </c>
      <c r="Q336" s="3190" t="s">
        <v>4545</v>
      </c>
      <c r="R336" s="3190" t="s">
        <v>4504</v>
      </c>
      <c r="S336" s="3190" t="s">
        <v>4109</v>
      </c>
      <c r="T336" s="3190">
        <v>8</v>
      </c>
      <c r="U336" s="3190">
        <v>-2</v>
      </c>
      <c r="V336" s="3190">
        <v>50.93</v>
      </c>
      <c r="W336" s="3190" t="s">
        <v>4593</v>
      </c>
      <c r="X336" s="3190" t="s">
        <v>4593</v>
      </c>
      <c r="Y336" s="3190">
        <v>3648</v>
      </c>
      <c r="Z336" s="3190">
        <v>18.577999999999999</v>
      </c>
    </row>
    <row r="337" spans="16:26">
      <c r="P337" s="3190">
        <v>156</v>
      </c>
      <c r="Q337" s="3190" t="s">
        <v>4545</v>
      </c>
      <c r="R337" s="3190" t="s">
        <v>4504</v>
      </c>
      <c r="S337" s="3190" t="s">
        <v>4110</v>
      </c>
      <c r="T337" s="3190">
        <v>8</v>
      </c>
      <c r="U337" s="3190">
        <v>-2</v>
      </c>
      <c r="V337" s="3190">
        <v>50.93</v>
      </c>
      <c r="W337" s="3190" t="s">
        <v>4593</v>
      </c>
      <c r="X337" s="3190" t="s">
        <v>4593</v>
      </c>
      <c r="Y337" s="3190">
        <v>3648</v>
      </c>
      <c r="Z337" s="3190">
        <v>18.577999999999999</v>
      </c>
    </row>
    <row r="338" spans="16:26">
      <c r="P338" s="3190">
        <v>157</v>
      </c>
      <c r="Q338" s="3190" t="s">
        <v>4545</v>
      </c>
      <c r="R338" s="3190" t="s">
        <v>4504</v>
      </c>
      <c r="S338" s="3190" t="s">
        <v>4111</v>
      </c>
      <c r="T338" s="3190">
        <v>8</v>
      </c>
      <c r="U338" s="3190">
        <v>-2</v>
      </c>
      <c r="V338" s="3190">
        <v>50.93</v>
      </c>
      <c r="W338" s="3190" t="s">
        <v>4593</v>
      </c>
      <c r="X338" s="3190" t="s">
        <v>4593</v>
      </c>
      <c r="Y338" s="3190">
        <v>3648</v>
      </c>
      <c r="Z338" s="3190">
        <v>18.577999999999999</v>
      </c>
    </row>
    <row r="339" spans="16:26">
      <c r="P339" s="3190">
        <v>158</v>
      </c>
      <c r="Q339" s="3190" t="s">
        <v>4545</v>
      </c>
      <c r="R339" s="3190" t="s">
        <v>4504</v>
      </c>
      <c r="S339" s="3190" t="s">
        <v>4112</v>
      </c>
      <c r="T339" s="3190">
        <v>8</v>
      </c>
      <c r="U339" s="3190">
        <v>-2</v>
      </c>
      <c r="V339" s="3190">
        <v>50.93</v>
      </c>
      <c r="W339" s="3190" t="s">
        <v>4593</v>
      </c>
      <c r="X339" s="3190" t="s">
        <v>4593</v>
      </c>
      <c r="Y339" s="3190">
        <v>3648</v>
      </c>
      <c r="Z339" s="3190">
        <v>18.577999999999999</v>
      </c>
    </row>
    <row r="340" spans="16:26">
      <c r="P340" s="3190">
        <v>159</v>
      </c>
      <c r="Q340" s="3190" t="s">
        <v>4545</v>
      </c>
      <c r="R340" s="3190" t="s">
        <v>4504</v>
      </c>
      <c r="S340" s="3190" t="s">
        <v>4113</v>
      </c>
      <c r="T340" s="3190">
        <v>8</v>
      </c>
      <c r="U340" s="3190">
        <v>-2</v>
      </c>
      <c r="V340" s="3190">
        <v>50.93</v>
      </c>
      <c r="W340" s="3190" t="s">
        <v>4593</v>
      </c>
      <c r="X340" s="3190" t="s">
        <v>4593</v>
      </c>
      <c r="Y340" s="3190">
        <v>3648</v>
      </c>
      <c r="Z340" s="3190">
        <v>18.577999999999999</v>
      </c>
    </row>
    <row r="341" spans="16:26">
      <c r="P341" s="3190">
        <v>160</v>
      </c>
      <c r="Q341" s="3190" t="s">
        <v>4545</v>
      </c>
      <c r="R341" s="3190" t="s">
        <v>4504</v>
      </c>
      <c r="S341" s="3190" t="s">
        <v>4114</v>
      </c>
      <c r="T341" s="3190">
        <v>8</v>
      </c>
      <c r="U341" s="3190">
        <v>-2</v>
      </c>
      <c r="V341" s="3190">
        <v>50.93</v>
      </c>
      <c r="W341" s="3190" t="s">
        <v>4593</v>
      </c>
      <c r="X341" s="3190" t="s">
        <v>4593</v>
      </c>
      <c r="Y341" s="3190">
        <v>3648</v>
      </c>
      <c r="Z341" s="3190">
        <v>18.577999999999999</v>
      </c>
    </row>
    <row r="342" spans="16:26">
      <c r="P342" s="3190">
        <v>161</v>
      </c>
      <c r="Q342" s="3190" t="s">
        <v>4545</v>
      </c>
      <c r="R342" s="3190" t="s">
        <v>4504</v>
      </c>
      <c r="S342" s="3190" t="s">
        <v>4115</v>
      </c>
      <c r="T342" s="3190">
        <v>8</v>
      </c>
      <c r="U342" s="3190">
        <v>-2</v>
      </c>
      <c r="V342" s="3190">
        <v>50.93</v>
      </c>
      <c r="W342" s="3190" t="s">
        <v>4593</v>
      </c>
      <c r="X342" s="3190" t="s">
        <v>4593</v>
      </c>
      <c r="Y342" s="3190">
        <v>3648</v>
      </c>
      <c r="Z342" s="3190">
        <v>18.577999999999999</v>
      </c>
    </row>
    <row r="343" spans="16:26">
      <c r="P343" s="3190">
        <v>162</v>
      </c>
      <c r="Q343" s="3190" t="s">
        <v>4545</v>
      </c>
      <c r="R343" s="3190" t="s">
        <v>4504</v>
      </c>
      <c r="S343" s="3190" t="s">
        <v>4116</v>
      </c>
      <c r="T343" s="3190">
        <v>8</v>
      </c>
      <c r="U343" s="3190">
        <v>-2</v>
      </c>
      <c r="V343" s="3190">
        <v>52.93</v>
      </c>
      <c r="W343" s="3190" t="s">
        <v>4593</v>
      </c>
      <c r="X343" s="3190" t="s">
        <v>4593</v>
      </c>
      <c r="Y343" s="3190">
        <v>3510</v>
      </c>
      <c r="Z343" s="3190">
        <v>18.577999999999999</v>
      </c>
    </row>
    <row r="344" spans="16:26">
      <c r="P344" s="3190">
        <v>163</v>
      </c>
      <c r="Q344" s="3190" t="s">
        <v>4545</v>
      </c>
      <c r="R344" s="3190" t="s">
        <v>4504</v>
      </c>
      <c r="S344" s="3190" t="s">
        <v>4117</v>
      </c>
      <c r="T344" s="3190">
        <v>8</v>
      </c>
      <c r="U344" s="3190">
        <v>-2</v>
      </c>
      <c r="V344" s="3190">
        <v>52.93</v>
      </c>
      <c r="W344" s="3190" t="s">
        <v>4593</v>
      </c>
      <c r="X344" s="3190" t="s">
        <v>4593</v>
      </c>
      <c r="Y344" s="3190">
        <v>3510</v>
      </c>
      <c r="Z344" s="3190">
        <v>18.577999999999999</v>
      </c>
    </row>
    <row r="345" spans="16:26">
      <c r="P345" s="3190">
        <v>164</v>
      </c>
      <c r="Q345" s="3190" t="s">
        <v>4545</v>
      </c>
      <c r="R345" s="3190" t="s">
        <v>4504</v>
      </c>
      <c r="S345" s="3190" t="s">
        <v>4118</v>
      </c>
      <c r="T345" s="3190">
        <v>8</v>
      </c>
      <c r="U345" s="3190">
        <v>-2</v>
      </c>
      <c r="V345" s="3190">
        <v>52.93</v>
      </c>
      <c r="W345" s="3190" t="s">
        <v>4593</v>
      </c>
      <c r="X345" s="3190" t="s">
        <v>4593</v>
      </c>
      <c r="Y345" s="3190">
        <v>3510</v>
      </c>
      <c r="Z345" s="3190">
        <v>18.577999999999999</v>
      </c>
    </row>
    <row r="346" spans="16:26">
      <c r="P346" s="3190">
        <v>165</v>
      </c>
      <c r="Q346" s="3190" t="s">
        <v>4545</v>
      </c>
      <c r="R346" s="3190" t="s">
        <v>4504</v>
      </c>
      <c r="S346" s="3190" t="s">
        <v>4119</v>
      </c>
      <c r="T346" s="3190">
        <v>8</v>
      </c>
      <c r="U346" s="3190">
        <v>-2</v>
      </c>
      <c r="V346" s="3190">
        <v>52.93</v>
      </c>
      <c r="W346" s="3190" t="s">
        <v>4593</v>
      </c>
      <c r="X346" s="3190" t="s">
        <v>4593</v>
      </c>
      <c r="Y346" s="3190">
        <v>3510</v>
      </c>
      <c r="Z346" s="3190">
        <v>18.577999999999999</v>
      </c>
    </row>
    <row r="347" spans="16:26">
      <c r="P347" s="3190">
        <v>166</v>
      </c>
      <c r="Q347" s="3190" t="s">
        <v>4545</v>
      </c>
      <c r="R347" s="3190" t="s">
        <v>4504</v>
      </c>
      <c r="S347" s="3190" t="s">
        <v>4120</v>
      </c>
      <c r="T347" s="3190">
        <v>8</v>
      </c>
      <c r="U347" s="3190">
        <v>-2</v>
      </c>
      <c r="V347" s="3190">
        <v>52.93</v>
      </c>
      <c r="W347" s="3190" t="s">
        <v>4593</v>
      </c>
      <c r="X347" s="3190" t="s">
        <v>4593</v>
      </c>
      <c r="Y347" s="3190">
        <v>3510</v>
      </c>
      <c r="Z347" s="3190">
        <v>18.577999999999999</v>
      </c>
    </row>
    <row r="348" spans="16:26">
      <c r="P348" s="3190">
        <v>167</v>
      </c>
      <c r="Q348" s="3190" t="s">
        <v>4545</v>
      </c>
      <c r="R348" s="3190" t="s">
        <v>4504</v>
      </c>
      <c r="S348" s="3190" t="s">
        <v>4121</v>
      </c>
      <c r="T348" s="3190">
        <v>8</v>
      </c>
      <c r="U348" s="3190">
        <v>-2</v>
      </c>
      <c r="V348" s="3190">
        <v>52.93</v>
      </c>
      <c r="W348" s="3190" t="s">
        <v>4593</v>
      </c>
      <c r="X348" s="3190" t="s">
        <v>4593</v>
      </c>
      <c r="Y348" s="3190">
        <v>3510</v>
      </c>
      <c r="Z348" s="3190">
        <v>18.577999999999999</v>
      </c>
    </row>
    <row r="349" spans="16:26">
      <c r="P349" s="3190">
        <v>168</v>
      </c>
      <c r="Q349" s="3190" t="s">
        <v>4545</v>
      </c>
      <c r="R349" s="3190" t="s">
        <v>4504</v>
      </c>
      <c r="S349" s="3190" t="s">
        <v>4122</v>
      </c>
      <c r="T349" s="3190">
        <v>8</v>
      </c>
      <c r="U349" s="3190">
        <v>-2</v>
      </c>
      <c r="V349" s="3190">
        <v>52.93</v>
      </c>
      <c r="W349" s="3190" t="s">
        <v>4593</v>
      </c>
      <c r="X349" s="3190" t="s">
        <v>4593</v>
      </c>
      <c r="Y349" s="3190">
        <v>3510</v>
      </c>
      <c r="Z349" s="3190">
        <v>18.577999999999999</v>
      </c>
    </row>
    <row r="350" spans="16:26">
      <c r="P350" s="3190">
        <v>169</v>
      </c>
      <c r="Q350" s="3190" t="s">
        <v>4545</v>
      </c>
      <c r="R350" s="3190" t="s">
        <v>4504</v>
      </c>
      <c r="S350" s="3190" t="s">
        <v>4123</v>
      </c>
      <c r="T350" s="3190">
        <v>8</v>
      </c>
      <c r="U350" s="3190">
        <v>-2</v>
      </c>
      <c r="V350" s="3190">
        <v>52.93</v>
      </c>
      <c r="W350" s="3190" t="s">
        <v>4593</v>
      </c>
      <c r="X350" s="3190" t="s">
        <v>4593</v>
      </c>
      <c r="Y350" s="3190">
        <v>3510</v>
      </c>
      <c r="Z350" s="3190">
        <v>18.577999999999999</v>
      </c>
    </row>
    <row r="351" spans="16:26">
      <c r="P351" s="3190">
        <v>170</v>
      </c>
      <c r="Q351" s="3190" t="s">
        <v>4545</v>
      </c>
      <c r="R351" s="3190" t="s">
        <v>4504</v>
      </c>
      <c r="S351" s="3190" t="s">
        <v>4124</v>
      </c>
      <c r="T351" s="3190">
        <v>8</v>
      </c>
      <c r="U351" s="3190">
        <v>-2</v>
      </c>
      <c r="V351" s="3190">
        <v>52.93</v>
      </c>
      <c r="W351" s="3190" t="s">
        <v>4593</v>
      </c>
      <c r="X351" s="3190" t="s">
        <v>4593</v>
      </c>
      <c r="Y351" s="3190">
        <v>3510</v>
      </c>
      <c r="Z351" s="3190">
        <v>18.577999999999999</v>
      </c>
    </row>
    <row r="352" spans="16:26">
      <c r="P352" s="3190">
        <v>171</v>
      </c>
      <c r="Q352" s="3190" t="s">
        <v>4545</v>
      </c>
      <c r="R352" s="3190" t="s">
        <v>4504</v>
      </c>
      <c r="S352" s="3190" t="s">
        <v>4125</v>
      </c>
      <c r="T352" s="3190">
        <v>8</v>
      </c>
      <c r="U352" s="3190">
        <v>-2</v>
      </c>
      <c r="V352" s="3190">
        <v>52.93</v>
      </c>
      <c r="W352" s="3190" t="s">
        <v>4593</v>
      </c>
      <c r="X352" s="3190" t="s">
        <v>4593</v>
      </c>
      <c r="Y352" s="3190">
        <v>3510</v>
      </c>
      <c r="Z352" s="3190">
        <v>18.577999999999999</v>
      </c>
    </row>
    <row r="353" spans="16:26">
      <c r="P353" s="3190">
        <v>172</v>
      </c>
      <c r="Q353" s="3190" t="s">
        <v>4545</v>
      </c>
      <c r="R353" s="3190" t="s">
        <v>4504</v>
      </c>
      <c r="S353" s="3190" t="s">
        <v>4126</v>
      </c>
      <c r="T353" s="3190">
        <v>8</v>
      </c>
      <c r="U353" s="3190">
        <v>-2</v>
      </c>
      <c r="V353" s="3190">
        <v>52.93</v>
      </c>
      <c r="W353" s="3190" t="s">
        <v>4593</v>
      </c>
      <c r="X353" s="3190" t="s">
        <v>4593</v>
      </c>
      <c r="Y353" s="3190">
        <v>3510</v>
      </c>
      <c r="Z353" s="3190">
        <v>18.577999999999999</v>
      </c>
    </row>
    <row r="354" spans="16:26">
      <c r="P354" s="3190">
        <v>173</v>
      </c>
      <c r="Q354" s="3190" t="s">
        <v>4545</v>
      </c>
      <c r="R354" s="3190" t="s">
        <v>4504</v>
      </c>
      <c r="S354" s="3190" t="s">
        <v>4127</v>
      </c>
      <c r="T354" s="3190">
        <v>8</v>
      </c>
      <c r="U354" s="3190">
        <v>-2</v>
      </c>
      <c r="V354" s="3190">
        <v>52.93</v>
      </c>
      <c r="W354" s="3190" t="s">
        <v>4593</v>
      </c>
      <c r="X354" s="3190" t="s">
        <v>4593</v>
      </c>
      <c r="Y354" s="3190">
        <v>3510</v>
      </c>
      <c r="Z354" s="3190">
        <v>18.577999999999999</v>
      </c>
    </row>
    <row r="355" spans="16:26">
      <c r="P355" s="3190">
        <v>174</v>
      </c>
      <c r="Q355" s="3190" t="s">
        <v>4545</v>
      </c>
      <c r="R355" s="3190" t="s">
        <v>4504</v>
      </c>
      <c r="S355" s="3190" t="s">
        <v>4128</v>
      </c>
      <c r="T355" s="3190">
        <v>8</v>
      </c>
      <c r="U355" s="3190">
        <v>-2</v>
      </c>
      <c r="V355" s="3190">
        <v>52.93</v>
      </c>
      <c r="W355" s="3190" t="s">
        <v>4593</v>
      </c>
      <c r="X355" s="3190" t="s">
        <v>4593</v>
      </c>
      <c r="Y355" s="3190">
        <v>3510</v>
      </c>
      <c r="Z355" s="3190">
        <v>18.577999999999999</v>
      </c>
    </row>
    <row r="356" spans="16:26">
      <c r="P356" s="3190">
        <v>175</v>
      </c>
      <c r="Q356" s="3190" t="s">
        <v>4545</v>
      </c>
      <c r="R356" s="3190" t="s">
        <v>4504</v>
      </c>
      <c r="S356" s="3190" t="s">
        <v>4129</v>
      </c>
      <c r="T356" s="3190">
        <v>8</v>
      </c>
      <c r="U356" s="3190">
        <v>-2</v>
      </c>
      <c r="V356" s="3190">
        <v>52.93</v>
      </c>
      <c r="W356" s="3190" t="s">
        <v>4593</v>
      </c>
      <c r="X356" s="3190" t="s">
        <v>4593</v>
      </c>
      <c r="Y356" s="3190">
        <v>3510</v>
      </c>
      <c r="Z356" s="3190">
        <v>18.577999999999999</v>
      </c>
    </row>
    <row r="357" spans="16:26">
      <c r="P357" s="3190">
        <v>176</v>
      </c>
      <c r="Q357" s="3190" t="s">
        <v>4545</v>
      </c>
      <c r="R357" s="3190" t="s">
        <v>4504</v>
      </c>
      <c r="S357" s="3190" t="s">
        <v>4130</v>
      </c>
      <c r="T357" s="3190">
        <v>8</v>
      </c>
      <c r="U357" s="3190">
        <v>-2</v>
      </c>
      <c r="V357" s="3190">
        <v>59.92</v>
      </c>
      <c r="W357" s="3190" t="s">
        <v>4593</v>
      </c>
      <c r="X357" s="3190" t="s">
        <v>4593</v>
      </c>
      <c r="Y357" s="3190">
        <v>3100</v>
      </c>
      <c r="Z357" s="3190">
        <v>18.577999999999999</v>
      </c>
    </row>
    <row r="358" spans="16:26">
      <c r="P358" s="3190">
        <v>177</v>
      </c>
      <c r="Q358" s="3190" t="s">
        <v>4545</v>
      </c>
      <c r="R358" s="3190" t="s">
        <v>4504</v>
      </c>
      <c r="S358" s="3190" t="s">
        <v>4131</v>
      </c>
      <c r="T358" s="3190">
        <v>8</v>
      </c>
      <c r="U358" s="3190">
        <v>-2</v>
      </c>
      <c r="V358" s="3190">
        <v>50.93</v>
      </c>
      <c r="W358" s="3190" t="s">
        <v>4593</v>
      </c>
      <c r="X358" s="3190" t="s">
        <v>4593</v>
      </c>
      <c r="Y358" s="3190">
        <v>3648</v>
      </c>
      <c r="Z358" s="3190">
        <v>18.577999999999999</v>
      </c>
    </row>
    <row r="359" spans="16:26">
      <c r="P359" s="3190">
        <v>178</v>
      </c>
      <c r="Q359" s="3190" t="s">
        <v>4545</v>
      </c>
      <c r="R359" s="3190" t="s">
        <v>4504</v>
      </c>
      <c r="S359" s="3190" t="s">
        <v>4132</v>
      </c>
      <c r="T359" s="3190">
        <v>8</v>
      </c>
      <c r="U359" s="3190">
        <v>-2</v>
      </c>
      <c r="V359" s="3190">
        <v>50.93</v>
      </c>
      <c r="W359" s="3190" t="s">
        <v>4593</v>
      </c>
      <c r="X359" s="3190" t="s">
        <v>4593</v>
      </c>
      <c r="Y359" s="3190">
        <v>3648</v>
      </c>
      <c r="Z359" s="3190">
        <v>18.577999999999999</v>
      </c>
    </row>
    <row r="360" spans="16:26">
      <c r="P360" s="3190">
        <v>179</v>
      </c>
      <c r="Q360" s="3190" t="s">
        <v>4545</v>
      </c>
      <c r="R360" s="3190" t="s">
        <v>4504</v>
      </c>
      <c r="S360" s="3190" t="s">
        <v>4133</v>
      </c>
      <c r="T360" s="3190">
        <v>8</v>
      </c>
      <c r="U360" s="3190">
        <v>-2</v>
      </c>
      <c r="V360" s="3190">
        <v>50.93</v>
      </c>
      <c r="W360" s="3190" t="s">
        <v>4593</v>
      </c>
      <c r="X360" s="3190" t="s">
        <v>4593</v>
      </c>
      <c r="Y360" s="3190">
        <v>3648</v>
      </c>
      <c r="Z360" s="3190">
        <v>18.577999999999999</v>
      </c>
    </row>
    <row r="361" spans="16:26">
      <c r="P361" s="3190">
        <v>180</v>
      </c>
      <c r="Q361" s="3190" t="s">
        <v>4545</v>
      </c>
      <c r="R361" s="3190" t="s">
        <v>4504</v>
      </c>
      <c r="S361" s="3190" t="s">
        <v>4134</v>
      </c>
      <c r="T361" s="3190">
        <v>8</v>
      </c>
      <c r="U361" s="3190">
        <v>-2</v>
      </c>
      <c r="V361" s="3190">
        <v>50.93</v>
      </c>
      <c r="W361" s="3190" t="s">
        <v>4593</v>
      </c>
      <c r="X361" s="3190" t="s">
        <v>4593</v>
      </c>
      <c r="Y361" s="3190">
        <v>3648</v>
      </c>
      <c r="Z361" s="3190">
        <v>18.577999999999999</v>
      </c>
    </row>
    <row r="362" spans="16:26">
      <c r="P362" s="3190">
        <v>181</v>
      </c>
      <c r="Q362" s="3190" t="s">
        <v>4545</v>
      </c>
      <c r="R362" s="3190" t="s">
        <v>4504</v>
      </c>
      <c r="S362" s="3190" t="s">
        <v>4135</v>
      </c>
      <c r="T362" s="3190">
        <v>8</v>
      </c>
      <c r="U362" s="3190">
        <v>-2</v>
      </c>
      <c r="V362" s="3190">
        <v>50.93</v>
      </c>
      <c r="W362" s="3190" t="s">
        <v>4593</v>
      </c>
      <c r="X362" s="3190" t="s">
        <v>4593</v>
      </c>
      <c r="Y362" s="3190">
        <v>3648</v>
      </c>
      <c r="Z362" s="3190">
        <v>18.577999999999999</v>
      </c>
    </row>
    <row r="363" spans="16:26">
      <c r="P363" s="3190">
        <v>182</v>
      </c>
      <c r="Q363" s="3190" t="s">
        <v>4545</v>
      </c>
      <c r="R363" s="3190" t="s">
        <v>4504</v>
      </c>
      <c r="S363" s="3190" t="s">
        <v>4594</v>
      </c>
      <c r="T363" s="3190">
        <v>8</v>
      </c>
      <c r="U363" s="3190">
        <v>-3</v>
      </c>
      <c r="V363" s="3190">
        <v>59.92</v>
      </c>
      <c r="W363" s="3190" t="s">
        <v>4593</v>
      </c>
      <c r="X363" s="3190" t="s">
        <v>4593</v>
      </c>
      <c r="Y363" s="3190">
        <v>2945</v>
      </c>
      <c r="Z363" s="3190">
        <v>17.649100000000001</v>
      </c>
    </row>
    <row r="364" spans="16:26">
      <c r="P364" s="3190">
        <v>183</v>
      </c>
      <c r="Q364" s="3190" t="s">
        <v>4545</v>
      </c>
      <c r="R364" s="3190" t="s">
        <v>4504</v>
      </c>
      <c r="S364" s="3190" t="s">
        <v>3629</v>
      </c>
      <c r="T364" s="3190">
        <v>8</v>
      </c>
      <c r="U364" s="3190">
        <v>-3</v>
      </c>
      <c r="V364" s="3190">
        <v>59.92</v>
      </c>
      <c r="W364" s="3190" t="s">
        <v>4593</v>
      </c>
      <c r="X364" s="3190" t="s">
        <v>4593</v>
      </c>
      <c r="Y364" s="3190">
        <v>2945</v>
      </c>
      <c r="Z364" s="3190">
        <v>17.649100000000001</v>
      </c>
    </row>
    <row r="365" spans="16:26">
      <c r="P365" s="3190">
        <v>184</v>
      </c>
      <c r="Q365" s="3190" t="s">
        <v>4545</v>
      </c>
      <c r="R365" s="3190" t="s">
        <v>4504</v>
      </c>
      <c r="S365" s="3190" t="s">
        <v>3630</v>
      </c>
      <c r="T365" s="3190">
        <v>8</v>
      </c>
      <c r="U365" s="3190">
        <v>-3</v>
      </c>
      <c r="V365" s="3190">
        <v>59.92</v>
      </c>
      <c r="W365" s="3190" t="s">
        <v>4593</v>
      </c>
      <c r="X365" s="3190" t="s">
        <v>4593</v>
      </c>
      <c r="Y365" s="3190">
        <v>2945</v>
      </c>
      <c r="Z365" s="3190">
        <v>17.649100000000001</v>
      </c>
    </row>
    <row r="366" spans="16:26">
      <c r="P366" s="3190">
        <v>185</v>
      </c>
      <c r="Q366" s="3190" t="s">
        <v>4545</v>
      </c>
      <c r="R366" s="3190" t="s">
        <v>4504</v>
      </c>
      <c r="S366" s="3190" t="s">
        <v>3631</v>
      </c>
      <c r="T366" s="3190">
        <v>8</v>
      </c>
      <c r="U366" s="3190">
        <v>-3</v>
      </c>
      <c r="V366" s="3190">
        <v>52.93</v>
      </c>
      <c r="W366" s="3190" t="s">
        <v>4593</v>
      </c>
      <c r="X366" s="3190" t="s">
        <v>4593</v>
      </c>
      <c r="Y366" s="3190">
        <v>3334</v>
      </c>
      <c r="Z366" s="3190">
        <v>17.649100000000001</v>
      </c>
    </row>
    <row r="367" spans="16:26">
      <c r="P367" s="3190">
        <v>186</v>
      </c>
      <c r="Q367" s="3190" t="s">
        <v>4545</v>
      </c>
      <c r="R367" s="3190" t="s">
        <v>4504</v>
      </c>
      <c r="S367" s="3190" t="s">
        <v>3632</v>
      </c>
      <c r="T367" s="3190">
        <v>8</v>
      </c>
      <c r="U367" s="3190">
        <v>-3</v>
      </c>
      <c r="V367" s="3190">
        <v>52.93</v>
      </c>
      <c r="W367" s="3190" t="s">
        <v>4593</v>
      </c>
      <c r="X367" s="3190" t="s">
        <v>4593</v>
      </c>
      <c r="Y367" s="3190">
        <v>3334</v>
      </c>
      <c r="Z367" s="3190">
        <v>17.649100000000001</v>
      </c>
    </row>
    <row r="368" spans="16:26">
      <c r="P368" s="3190">
        <v>187</v>
      </c>
      <c r="Q368" s="3190" t="s">
        <v>4545</v>
      </c>
      <c r="R368" s="3190" t="s">
        <v>4504</v>
      </c>
      <c r="S368" s="3190" t="s">
        <v>3633</v>
      </c>
      <c r="T368" s="3190">
        <v>8</v>
      </c>
      <c r="U368" s="3190">
        <v>-3</v>
      </c>
      <c r="V368" s="3190">
        <v>52.93</v>
      </c>
      <c r="W368" s="3190" t="s">
        <v>4593</v>
      </c>
      <c r="X368" s="3190" t="s">
        <v>4593</v>
      </c>
      <c r="Y368" s="3190">
        <v>3334</v>
      </c>
      <c r="Z368" s="3190">
        <v>17.649100000000001</v>
      </c>
    </row>
    <row r="369" spans="16:26">
      <c r="P369" s="3190">
        <v>188</v>
      </c>
      <c r="Q369" s="3190" t="s">
        <v>4545</v>
      </c>
      <c r="R369" s="3190" t="s">
        <v>4504</v>
      </c>
      <c r="S369" s="3190" t="s">
        <v>3634</v>
      </c>
      <c r="T369" s="3190">
        <v>8</v>
      </c>
      <c r="U369" s="3190">
        <v>-3</v>
      </c>
      <c r="V369" s="3190">
        <v>52.93</v>
      </c>
      <c r="W369" s="3190" t="s">
        <v>4593</v>
      </c>
      <c r="X369" s="3190" t="s">
        <v>4593</v>
      </c>
      <c r="Y369" s="3190">
        <v>3334</v>
      </c>
      <c r="Z369" s="3190">
        <v>17.649100000000001</v>
      </c>
    </row>
    <row r="370" spans="16:26">
      <c r="P370" s="3190">
        <v>189</v>
      </c>
      <c r="Q370" s="3190" t="s">
        <v>4545</v>
      </c>
      <c r="R370" s="3190" t="s">
        <v>4504</v>
      </c>
      <c r="S370" s="3190" t="s">
        <v>3635</v>
      </c>
      <c r="T370" s="3190">
        <v>8</v>
      </c>
      <c r="U370" s="3190">
        <v>-3</v>
      </c>
      <c r="V370" s="3190">
        <v>52.93</v>
      </c>
      <c r="W370" s="3190" t="s">
        <v>4593</v>
      </c>
      <c r="X370" s="3190" t="s">
        <v>4593</v>
      </c>
      <c r="Y370" s="3190">
        <v>3334</v>
      </c>
      <c r="Z370" s="3190">
        <v>17.649100000000001</v>
      </c>
    </row>
    <row r="371" spans="16:26">
      <c r="P371" s="3190">
        <v>190</v>
      </c>
      <c r="Q371" s="3190" t="s">
        <v>4545</v>
      </c>
      <c r="R371" s="3190" t="s">
        <v>4504</v>
      </c>
      <c r="S371" s="3190" t="s">
        <v>3636</v>
      </c>
      <c r="T371" s="3190">
        <v>8</v>
      </c>
      <c r="U371" s="3190">
        <v>-3</v>
      </c>
      <c r="V371" s="3190">
        <v>52.93</v>
      </c>
      <c r="W371" s="3190" t="s">
        <v>4593</v>
      </c>
      <c r="X371" s="3190" t="s">
        <v>4593</v>
      </c>
      <c r="Y371" s="3190">
        <v>3334</v>
      </c>
      <c r="Z371" s="3190">
        <v>17.649100000000001</v>
      </c>
    </row>
    <row r="372" spans="16:26">
      <c r="P372" s="3190">
        <v>191</v>
      </c>
      <c r="Q372" s="3190" t="s">
        <v>4545</v>
      </c>
      <c r="R372" s="3190" t="s">
        <v>4504</v>
      </c>
      <c r="S372" s="3190" t="s">
        <v>3637</v>
      </c>
      <c r="T372" s="3190">
        <v>8</v>
      </c>
      <c r="U372" s="3190">
        <v>-3</v>
      </c>
      <c r="V372" s="3190">
        <v>52.93</v>
      </c>
      <c r="W372" s="3190" t="s">
        <v>4593</v>
      </c>
      <c r="X372" s="3190" t="s">
        <v>4593</v>
      </c>
      <c r="Y372" s="3190">
        <v>3334</v>
      </c>
      <c r="Z372" s="3190">
        <v>17.649100000000001</v>
      </c>
    </row>
    <row r="373" spans="16:26">
      <c r="P373" s="3190">
        <v>192</v>
      </c>
      <c r="Q373" s="3190" t="s">
        <v>4545</v>
      </c>
      <c r="R373" s="3190" t="s">
        <v>4504</v>
      </c>
      <c r="S373" s="3190" t="s">
        <v>3638</v>
      </c>
      <c r="T373" s="3190">
        <v>8</v>
      </c>
      <c r="U373" s="3190">
        <v>-3</v>
      </c>
      <c r="V373" s="3190">
        <v>52.93</v>
      </c>
      <c r="W373" s="3190" t="s">
        <v>4593</v>
      </c>
      <c r="X373" s="3190" t="s">
        <v>4593</v>
      </c>
      <c r="Y373" s="3190">
        <v>3334</v>
      </c>
      <c r="Z373" s="3190">
        <v>17.649100000000001</v>
      </c>
    </row>
    <row r="374" spans="16:26">
      <c r="P374" s="3190">
        <v>193</v>
      </c>
      <c r="Q374" s="3190" t="s">
        <v>4545</v>
      </c>
      <c r="R374" s="3190" t="s">
        <v>4504</v>
      </c>
      <c r="S374" s="3190" t="s">
        <v>3639</v>
      </c>
      <c r="T374" s="3190">
        <v>8</v>
      </c>
      <c r="U374" s="3190">
        <v>-3</v>
      </c>
      <c r="V374" s="3190">
        <v>52.93</v>
      </c>
      <c r="W374" s="3190" t="s">
        <v>4593</v>
      </c>
      <c r="X374" s="3190" t="s">
        <v>4593</v>
      </c>
      <c r="Y374" s="3190">
        <v>3334</v>
      </c>
      <c r="Z374" s="3190">
        <v>17.649100000000001</v>
      </c>
    </row>
    <row r="375" spans="16:26">
      <c r="P375" s="3190">
        <v>194</v>
      </c>
      <c r="Q375" s="3190" t="s">
        <v>4545</v>
      </c>
      <c r="R375" s="3190" t="s">
        <v>4504</v>
      </c>
      <c r="S375" s="3190" t="s">
        <v>3640</v>
      </c>
      <c r="T375" s="3190">
        <v>8</v>
      </c>
      <c r="U375" s="3190">
        <v>-3</v>
      </c>
      <c r="V375" s="3190">
        <v>52.93</v>
      </c>
      <c r="W375" s="3190" t="s">
        <v>4593</v>
      </c>
      <c r="X375" s="3190" t="s">
        <v>4593</v>
      </c>
      <c r="Y375" s="3190">
        <v>3334</v>
      </c>
      <c r="Z375" s="3190">
        <v>17.649100000000001</v>
      </c>
    </row>
    <row r="376" spans="16:26">
      <c r="P376" s="3190">
        <v>195</v>
      </c>
      <c r="Q376" s="3190" t="s">
        <v>4545</v>
      </c>
      <c r="R376" s="3190" t="s">
        <v>4504</v>
      </c>
      <c r="S376" s="3190" t="s">
        <v>3641</v>
      </c>
      <c r="T376" s="3190">
        <v>8</v>
      </c>
      <c r="U376" s="3190">
        <v>-3</v>
      </c>
      <c r="V376" s="3190">
        <v>52.93</v>
      </c>
      <c r="W376" s="3190" t="s">
        <v>4593</v>
      </c>
      <c r="X376" s="3190" t="s">
        <v>4593</v>
      </c>
      <c r="Y376" s="3190">
        <v>3334</v>
      </c>
      <c r="Z376" s="3190">
        <v>17.649100000000001</v>
      </c>
    </row>
    <row r="377" spans="16:26">
      <c r="P377" s="3190">
        <v>196</v>
      </c>
      <c r="Q377" s="3190" t="s">
        <v>4545</v>
      </c>
      <c r="R377" s="3190" t="s">
        <v>4504</v>
      </c>
      <c r="S377" s="3190" t="s">
        <v>3642</v>
      </c>
      <c r="T377" s="3190">
        <v>8</v>
      </c>
      <c r="U377" s="3190">
        <v>-3</v>
      </c>
      <c r="V377" s="3190">
        <v>52.93</v>
      </c>
      <c r="W377" s="3190" t="s">
        <v>4593</v>
      </c>
      <c r="X377" s="3190" t="s">
        <v>4593</v>
      </c>
      <c r="Y377" s="3190">
        <v>3334</v>
      </c>
      <c r="Z377" s="3190">
        <v>17.649100000000001</v>
      </c>
    </row>
    <row r="378" spans="16:26">
      <c r="P378" s="3190">
        <v>197</v>
      </c>
      <c r="Q378" s="3190" t="s">
        <v>4545</v>
      </c>
      <c r="R378" s="3190" t="s">
        <v>4504</v>
      </c>
      <c r="S378" s="3190" t="s">
        <v>3643</v>
      </c>
      <c r="T378" s="3190">
        <v>8</v>
      </c>
      <c r="U378" s="3190">
        <v>-3</v>
      </c>
      <c r="V378" s="3190">
        <v>52.93</v>
      </c>
      <c r="W378" s="3190" t="s">
        <v>4593</v>
      </c>
      <c r="X378" s="3190" t="s">
        <v>4593</v>
      </c>
      <c r="Y378" s="3190">
        <v>3334</v>
      </c>
      <c r="Z378" s="3190">
        <v>17.649100000000001</v>
      </c>
    </row>
    <row r="379" spans="16:26">
      <c r="P379" s="3190">
        <v>198</v>
      </c>
      <c r="Q379" s="3190" t="s">
        <v>4545</v>
      </c>
      <c r="R379" s="3190" t="s">
        <v>4504</v>
      </c>
      <c r="S379" s="3190" t="s">
        <v>3644</v>
      </c>
      <c r="T379" s="3190">
        <v>8</v>
      </c>
      <c r="U379" s="3190">
        <v>-3</v>
      </c>
      <c r="V379" s="3190">
        <v>52.93</v>
      </c>
      <c r="W379" s="3190" t="s">
        <v>4593</v>
      </c>
      <c r="X379" s="3190" t="s">
        <v>4593</v>
      </c>
      <c r="Y379" s="3190">
        <v>3334</v>
      </c>
      <c r="Z379" s="3190">
        <v>17.649100000000001</v>
      </c>
    </row>
    <row r="380" spans="16:26">
      <c r="P380" s="3190">
        <v>199</v>
      </c>
      <c r="Q380" s="3190" t="s">
        <v>4545</v>
      </c>
      <c r="R380" s="3190" t="s">
        <v>4504</v>
      </c>
      <c r="S380" s="3190" t="s">
        <v>3645</v>
      </c>
      <c r="T380" s="3190">
        <v>8</v>
      </c>
      <c r="U380" s="3190">
        <v>-3</v>
      </c>
      <c r="V380" s="3190">
        <v>52.93</v>
      </c>
      <c r="W380" s="3190" t="s">
        <v>4593</v>
      </c>
      <c r="X380" s="3190" t="s">
        <v>4593</v>
      </c>
      <c r="Y380" s="3190">
        <v>3334</v>
      </c>
      <c r="Z380" s="3190">
        <v>17.649100000000001</v>
      </c>
    </row>
    <row r="381" spans="16:26">
      <c r="P381" s="3190">
        <v>200</v>
      </c>
      <c r="Q381" s="3190" t="s">
        <v>4545</v>
      </c>
      <c r="R381" s="3190" t="s">
        <v>4504</v>
      </c>
      <c r="S381" s="3190" t="s">
        <v>3646</v>
      </c>
      <c r="T381" s="3190">
        <v>8</v>
      </c>
      <c r="U381" s="3190">
        <v>-3</v>
      </c>
      <c r="V381" s="3190">
        <v>52.93</v>
      </c>
      <c r="W381" s="3190" t="s">
        <v>4593</v>
      </c>
      <c r="X381" s="3190" t="s">
        <v>4593</v>
      </c>
      <c r="Y381" s="3190">
        <v>3334</v>
      </c>
      <c r="Z381" s="3190">
        <v>17.649100000000001</v>
      </c>
    </row>
    <row r="382" spans="16:26">
      <c r="P382" s="3190">
        <v>201</v>
      </c>
      <c r="Q382" s="3190" t="s">
        <v>4545</v>
      </c>
      <c r="R382" s="3190" t="s">
        <v>4504</v>
      </c>
      <c r="S382" s="3190" t="s">
        <v>3647</v>
      </c>
      <c r="T382" s="3190">
        <v>8</v>
      </c>
      <c r="U382" s="3190">
        <v>-3</v>
      </c>
      <c r="V382" s="3190">
        <v>52.93</v>
      </c>
      <c r="W382" s="3190" t="s">
        <v>4593</v>
      </c>
      <c r="X382" s="3190" t="s">
        <v>4593</v>
      </c>
      <c r="Y382" s="3190">
        <v>3334</v>
      </c>
      <c r="Z382" s="3190">
        <v>17.649100000000001</v>
      </c>
    </row>
    <row r="383" spans="16:26">
      <c r="P383" s="3190">
        <v>202</v>
      </c>
      <c r="Q383" s="3190" t="s">
        <v>4545</v>
      </c>
      <c r="R383" s="3190" t="s">
        <v>4504</v>
      </c>
      <c r="S383" s="3190" t="s">
        <v>3648</v>
      </c>
      <c r="T383" s="3190">
        <v>8</v>
      </c>
      <c r="U383" s="3190">
        <v>-3</v>
      </c>
      <c r="V383" s="3190">
        <v>52.93</v>
      </c>
      <c r="W383" s="3190" t="s">
        <v>4593</v>
      </c>
      <c r="X383" s="3190" t="s">
        <v>4593</v>
      </c>
      <c r="Y383" s="3190">
        <v>3334</v>
      </c>
      <c r="Z383" s="3190">
        <v>17.649100000000001</v>
      </c>
    </row>
    <row r="384" spans="16:26">
      <c r="P384" s="3190">
        <v>203</v>
      </c>
      <c r="Q384" s="3190" t="s">
        <v>4545</v>
      </c>
      <c r="R384" s="3190" t="s">
        <v>4504</v>
      </c>
      <c r="S384" s="3190" t="s">
        <v>3649</v>
      </c>
      <c r="T384" s="3190">
        <v>8</v>
      </c>
      <c r="U384" s="3190">
        <v>-3</v>
      </c>
      <c r="V384" s="3190">
        <v>52.93</v>
      </c>
      <c r="W384" s="3190" t="s">
        <v>4593</v>
      </c>
      <c r="X384" s="3190" t="s">
        <v>4593</v>
      </c>
      <c r="Y384" s="3190">
        <v>3334</v>
      </c>
      <c r="Z384" s="3190">
        <v>17.649100000000001</v>
      </c>
    </row>
    <row r="385" spans="16:26">
      <c r="P385" s="3190">
        <v>204</v>
      </c>
      <c r="Q385" s="3190" t="s">
        <v>4545</v>
      </c>
      <c r="R385" s="3190" t="s">
        <v>4504</v>
      </c>
      <c r="S385" s="3190" t="s">
        <v>3650</v>
      </c>
      <c r="T385" s="3190">
        <v>8</v>
      </c>
      <c r="U385" s="3190">
        <v>-3</v>
      </c>
      <c r="V385" s="3190">
        <v>52.93</v>
      </c>
      <c r="W385" s="3190" t="s">
        <v>4593</v>
      </c>
      <c r="X385" s="3190" t="s">
        <v>4593</v>
      </c>
      <c r="Y385" s="3190">
        <v>3334</v>
      </c>
      <c r="Z385" s="3190">
        <v>17.649100000000001</v>
      </c>
    </row>
    <row r="386" spans="16:26">
      <c r="P386" s="3190">
        <v>205</v>
      </c>
      <c r="Q386" s="3190" t="s">
        <v>4545</v>
      </c>
      <c r="R386" s="3190" t="s">
        <v>4504</v>
      </c>
      <c r="S386" s="3190" t="s">
        <v>3651</v>
      </c>
      <c r="T386" s="3190">
        <v>8</v>
      </c>
      <c r="U386" s="3190">
        <v>-3</v>
      </c>
      <c r="V386" s="3190">
        <v>52.93</v>
      </c>
      <c r="W386" s="3190" t="s">
        <v>4593</v>
      </c>
      <c r="X386" s="3190" t="s">
        <v>4593</v>
      </c>
      <c r="Y386" s="3190">
        <v>3334</v>
      </c>
      <c r="Z386" s="3190">
        <v>17.649100000000001</v>
      </c>
    </row>
    <row r="387" spans="16:26">
      <c r="P387" s="3190">
        <v>206</v>
      </c>
      <c r="Q387" s="3190" t="s">
        <v>4545</v>
      </c>
      <c r="R387" s="3190" t="s">
        <v>4504</v>
      </c>
      <c r="S387" s="3190" t="s">
        <v>3652</v>
      </c>
      <c r="T387" s="3190">
        <v>8</v>
      </c>
      <c r="U387" s="3190">
        <v>-3</v>
      </c>
      <c r="V387" s="3190">
        <v>52.93</v>
      </c>
      <c r="W387" s="3190" t="s">
        <v>4593</v>
      </c>
      <c r="X387" s="3190" t="s">
        <v>4593</v>
      </c>
      <c r="Y387" s="3190">
        <v>3334</v>
      </c>
      <c r="Z387" s="3190">
        <v>17.649100000000001</v>
      </c>
    </row>
    <row r="388" spans="16:26">
      <c r="P388" s="3190">
        <v>207</v>
      </c>
      <c r="Q388" s="3190" t="s">
        <v>4545</v>
      </c>
      <c r="R388" s="3190" t="s">
        <v>4504</v>
      </c>
      <c r="S388" s="3190" t="s">
        <v>3653</v>
      </c>
      <c r="T388" s="3190">
        <v>8</v>
      </c>
      <c r="U388" s="3190">
        <v>-3</v>
      </c>
      <c r="V388" s="3190">
        <v>52.93</v>
      </c>
      <c r="W388" s="3190" t="s">
        <v>4593</v>
      </c>
      <c r="X388" s="3190" t="s">
        <v>4593</v>
      </c>
      <c r="Y388" s="3190">
        <v>3334</v>
      </c>
      <c r="Z388" s="3190">
        <v>17.649100000000001</v>
      </c>
    </row>
    <row r="389" spans="16:26">
      <c r="P389" s="3190">
        <v>208</v>
      </c>
      <c r="Q389" s="3190" t="s">
        <v>4545</v>
      </c>
      <c r="R389" s="3190" t="s">
        <v>4504</v>
      </c>
      <c r="S389" s="3190" t="s">
        <v>3654</v>
      </c>
      <c r="T389" s="3190">
        <v>8</v>
      </c>
      <c r="U389" s="3190">
        <v>-3</v>
      </c>
      <c r="V389" s="3190">
        <v>52.93</v>
      </c>
      <c r="W389" s="3190" t="s">
        <v>4593</v>
      </c>
      <c r="X389" s="3190" t="s">
        <v>4593</v>
      </c>
      <c r="Y389" s="3190">
        <v>3334</v>
      </c>
      <c r="Z389" s="3190">
        <v>17.649100000000001</v>
      </c>
    </row>
    <row r="390" spans="16:26">
      <c r="P390" s="3190">
        <v>209</v>
      </c>
      <c r="Q390" s="3190" t="s">
        <v>4545</v>
      </c>
      <c r="R390" s="3190" t="s">
        <v>4504</v>
      </c>
      <c r="S390" s="3190" t="s">
        <v>3655</v>
      </c>
      <c r="T390" s="3190">
        <v>8</v>
      </c>
      <c r="U390" s="3190">
        <v>-3</v>
      </c>
      <c r="V390" s="3190">
        <v>52.93</v>
      </c>
      <c r="W390" s="3190" t="s">
        <v>4593</v>
      </c>
      <c r="X390" s="3190" t="s">
        <v>4593</v>
      </c>
      <c r="Y390" s="3190">
        <v>3334</v>
      </c>
      <c r="Z390" s="3190">
        <v>17.649100000000001</v>
      </c>
    </row>
    <row r="391" spans="16:26">
      <c r="P391" s="3190">
        <v>210</v>
      </c>
      <c r="Q391" s="3190" t="s">
        <v>4545</v>
      </c>
      <c r="R391" s="3190" t="s">
        <v>4504</v>
      </c>
      <c r="S391" s="3190" t="s">
        <v>3656</v>
      </c>
      <c r="T391" s="3190">
        <v>8</v>
      </c>
      <c r="U391" s="3190">
        <v>-3</v>
      </c>
      <c r="V391" s="3190">
        <v>52.93</v>
      </c>
      <c r="W391" s="3190" t="s">
        <v>4593</v>
      </c>
      <c r="X391" s="3190" t="s">
        <v>4593</v>
      </c>
      <c r="Y391" s="3190">
        <v>3334</v>
      </c>
      <c r="Z391" s="3190">
        <v>17.649100000000001</v>
      </c>
    </row>
    <row r="392" spans="16:26">
      <c r="P392" s="3190">
        <v>211</v>
      </c>
      <c r="Q392" s="3190" t="s">
        <v>4545</v>
      </c>
      <c r="R392" s="3190" t="s">
        <v>4504</v>
      </c>
      <c r="S392" s="3190" t="s">
        <v>3657</v>
      </c>
      <c r="T392" s="3190">
        <v>8</v>
      </c>
      <c r="U392" s="3190">
        <v>-3</v>
      </c>
      <c r="V392" s="3190">
        <v>52.93</v>
      </c>
      <c r="W392" s="3190" t="s">
        <v>4593</v>
      </c>
      <c r="X392" s="3190" t="s">
        <v>4593</v>
      </c>
      <c r="Y392" s="3190">
        <v>3334</v>
      </c>
      <c r="Z392" s="3190">
        <v>17.649100000000001</v>
      </c>
    </row>
    <row r="393" spans="16:26">
      <c r="P393" s="3190">
        <v>212</v>
      </c>
      <c r="Q393" s="3190" t="s">
        <v>4545</v>
      </c>
      <c r="R393" s="3190" t="s">
        <v>4504</v>
      </c>
      <c r="S393" s="3190" t="s">
        <v>3658</v>
      </c>
      <c r="T393" s="3190">
        <v>8</v>
      </c>
      <c r="U393" s="3190">
        <v>-3</v>
      </c>
      <c r="V393" s="3190">
        <v>52.93</v>
      </c>
      <c r="W393" s="3190" t="s">
        <v>4593</v>
      </c>
      <c r="X393" s="3190" t="s">
        <v>4593</v>
      </c>
      <c r="Y393" s="3190">
        <v>3334</v>
      </c>
      <c r="Z393" s="3190">
        <v>17.649100000000001</v>
      </c>
    </row>
    <row r="394" spans="16:26">
      <c r="P394" s="3190">
        <v>213</v>
      </c>
      <c r="Q394" s="3190" t="s">
        <v>4545</v>
      </c>
      <c r="R394" s="3190" t="s">
        <v>4504</v>
      </c>
      <c r="S394" s="3190" t="s">
        <v>3659</v>
      </c>
      <c r="T394" s="3190">
        <v>8</v>
      </c>
      <c r="U394" s="3190">
        <v>-3</v>
      </c>
      <c r="V394" s="3190">
        <v>52.93</v>
      </c>
      <c r="W394" s="3190" t="s">
        <v>4593</v>
      </c>
      <c r="X394" s="3190" t="s">
        <v>4593</v>
      </c>
      <c r="Y394" s="3190">
        <v>3334</v>
      </c>
      <c r="Z394" s="3190">
        <v>17.649100000000001</v>
      </c>
    </row>
    <row r="395" spans="16:26">
      <c r="P395" s="3190">
        <v>214</v>
      </c>
      <c r="Q395" s="3190" t="s">
        <v>4545</v>
      </c>
      <c r="R395" s="3190" t="s">
        <v>4504</v>
      </c>
      <c r="S395" s="3190" t="s">
        <v>3660</v>
      </c>
      <c r="T395" s="3190">
        <v>8</v>
      </c>
      <c r="U395" s="3190">
        <v>-3</v>
      </c>
      <c r="V395" s="3190">
        <v>52.93</v>
      </c>
      <c r="W395" s="3190" t="s">
        <v>4593</v>
      </c>
      <c r="X395" s="3190" t="s">
        <v>4593</v>
      </c>
      <c r="Y395" s="3190">
        <v>3334</v>
      </c>
      <c r="Z395" s="3190">
        <v>17.649100000000001</v>
      </c>
    </row>
    <row r="396" spans="16:26">
      <c r="P396" s="3190">
        <v>215</v>
      </c>
      <c r="Q396" s="3190" t="s">
        <v>4545</v>
      </c>
      <c r="R396" s="3190" t="s">
        <v>4504</v>
      </c>
      <c r="S396" s="3190" t="s">
        <v>3661</v>
      </c>
      <c r="T396" s="3190">
        <v>8</v>
      </c>
      <c r="U396" s="3190">
        <v>-3</v>
      </c>
      <c r="V396" s="3190">
        <v>52.93</v>
      </c>
      <c r="W396" s="3190" t="s">
        <v>4593</v>
      </c>
      <c r="X396" s="3190" t="s">
        <v>4593</v>
      </c>
      <c r="Y396" s="3190">
        <v>3334</v>
      </c>
      <c r="Z396" s="3190">
        <v>17.649100000000001</v>
      </c>
    </row>
    <row r="397" spans="16:26">
      <c r="P397" s="3190">
        <v>216</v>
      </c>
      <c r="Q397" s="3190" t="s">
        <v>4545</v>
      </c>
      <c r="R397" s="3190" t="s">
        <v>4504</v>
      </c>
      <c r="S397" s="3190" t="s">
        <v>3662</v>
      </c>
      <c r="T397" s="3190">
        <v>8</v>
      </c>
      <c r="U397" s="3190">
        <v>-3</v>
      </c>
      <c r="V397" s="3190">
        <v>59.92</v>
      </c>
      <c r="W397" s="3190" t="s">
        <v>4593</v>
      </c>
      <c r="X397" s="3190" t="s">
        <v>4593</v>
      </c>
      <c r="Y397" s="3190">
        <v>2945</v>
      </c>
      <c r="Z397" s="3190">
        <v>17.649100000000001</v>
      </c>
    </row>
    <row r="398" spans="16:26">
      <c r="P398" s="3190">
        <v>217</v>
      </c>
      <c r="Q398" s="3190" t="s">
        <v>4545</v>
      </c>
      <c r="R398" s="3190" t="s">
        <v>4504</v>
      </c>
      <c r="S398" s="3190" t="s">
        <v>3663</v>
      </c>
      <c r="T398" s="3190">
        <v>8</v>
      </c>
      <c r="U398" s="3190">
        <v>-3</v>
      </c>
      <c r="V398" s="3190">
        <v>59.92</v>
      </c>
      <c r="W398" s="3190" t="s">
        <v>4593</v>
      </c>
      <c r="X398" s="3190" t="s">
        <v>4593</v>
      </c>
      <c r="Y398" s="3190">
        <v>2945</v>
      </c>
      <c r="Z398" s="3190">
        <v>17.649100000000001</v>
      </c>
    </row>
    <row r="399" spans="16:26">
      <c r="P399" s="3190">
        <v>218</v>
      </c>
      <c r="Q399" s="3190" t="s">
        <v>4545</v>
      </c>
      <c r="R399" s="3190" t="s">
        <v>4504</v>
      </c>
      <c r="S399" s="3190" t="s">
        <v>3664</v>
      </c>
      <c r="T399" s="3190">
        <v>8</v>
      </c>
      <c r="U399" s="3190">
        <v>-3</v>
      </c>
      <c r="V399" s="3190">
        <v>59.92</v>
      </c>
      <c r="W399" s="3190" t="s">
        <v>4593</v>
      </c>
      <c r="X399" s="3190" t="s">
        <v>4593</v>
      </c>
      <c r="Y399" s="3190">
        <v>2945</v>
      </c>
      <c r="Z399" s="3190">
        <v>17.649100000000001</v>
      </c>
    </row>
    <row r="400" spans="16:26">
      <c r="P400" s="3190">
        <v>219</v>
      </c>
      <c r="Q400" s="3190" t="s">
        <v>4545</v>
      </c>
      <c r="R400" s="3190" t="s">
        <v>4504</v>
      </c>
      <c r="S400" s="3190" t="s">
        <v>3665</v>
      </c>
      <c r="T400" s="3190">
        <v>8</v>
      </c>
      <c r="U400" s="3190">
        <v>-3</v>
      </c>
      <c r="V400" s="3190">
        <v>59.92</v>
      </c>
      <c r="W400" s="3190" t="s">
        <v>4593</v>
      </c>
      <c r="X400" s="3190" t="s">
        <v>4593</v>
      </c>
      <c r="Y400" s="3190">
        <v>2945</v>
      </c>
      <c r="Z400" s="3190">
        <v>17.649100000000001</v>
      </c>
    </row>
    <row r="401" spans="16:26">
      <c r="P401" s="3190">
        <v>220</v>
      </c>
      <c r="Q401" s="3190" t="s">
        <v>4545</v>
      </c>
      <c r="R401" s="3190" t="s">
        <v>4504</v>
      </c>
      <c r="S401" s="3190" t="s">
        <v>3666</v>
      </c>
      <c r="T401" s="3190">
        <v>8</v>
      </c>
      <c r="U401" s="3190">
        <v>-3</v>
      </c>
      <c r="V401" s="3190">
        <v>59.92</v>
      </c>
      <c r="W401" s="3190" t="s">
        <v>4593</v>
      </c>
      <c r="X401" s="3190" t="s">
        <v>4593</v>
      </c>
      <c r="Y401" s="3190">
        <v>2945</v>
      </c>
      <c r="Z401" s="3190">
        <v>17.649100000000001</v>
      </c>
    </row>
    <row r="402" spans="16:26">
      <c r="P402" s="3190">
        <v>221</v>
      </c>
      <c r="Q402" s="3190" t="s">
        <v>4545</v>
      </c>
      <c r="R402" s="3190" t="s">
        <v>4504</v>
      </c>
      <c r="S402" s="3190" t="s">
        <v>3667</v>
      </c>
      <c r="T402" s="3190">
        <v>8</v>
      </c>
      <c r="U402" s="3190">
        <v>-3</v>
      </c>
      <c r="V402" s="3190">
        <v>52.93</v>
      </c>
      <c r="W402" s="3190" t="s">
        <v>4593</v>
      </c>
      <c r="X402" s="3190" t="s">
        <v>4593</v>
      </c>
      <c r="Y402" s="3190">
        <v>3334</v>
      </c>
      <c r="Z402" s="3190">
        <v>17.649100000000001</v>
      </c>
    </row>
    <row r="403" spans="16:26">
      <c r="P403" s="3190">
        <v>222</v>
      </c>
      <c r="Q403" s="3190" t="s">
        <v>4545</v>
      </c>
      <c r="R403" s="3190" t="s">
        <v>4504</v>
      </c>
      <c r="S403" s="3190" t="s">
        <v>3668</v>
      </c>
      <c r="T403" s="3190">
        <v>8</v>
      </c>
      <c r="U403" s="3190">
        <v>-3</v>
      </c>
      <c r="V403" s="3190">
        <v>52.93</v>
      </c>
      <c r="W403" s="3190" t="s">
        <v>4593</v>
      </c>
      <c r="X403" s="3190" t="s">
        <v>4593</v>
      </c>
      <c r="Y403" s="3190">
        <v>3334</v>
      </c>
      <c r="Z403" s="3190">
        <v>17.649100000000001</v>
      </c>
    </row>
    <row r="404" spans="16:26">
      <c r="P404" s="3190">
        <v>223</v>
      </c>
      <c r="Q404" s="3190" t="s">
        <v>4545</v>
      </c>
      <c r="R404" s="3190" t="s">
        <v>4504</v>
      </c>
      <c r="S404" s="3190" t="s">
        <v>3669</v>
      </c>
      <c r="T404" s="3190">
        <v>8</v>
      </c>
      <c r="U404" s="3190">
        <v>-3</v>
      </c>
      <c r="V404" s="3190">
        <v>52.93</v>
      </c>
      <c r="W404" s="3190" t="s">
        <v>4593</v>
      </c>
      <c r="X404" s="3190" t="s">
        <v>4593</v>
      </c>
      <c r="Y404" s="3190">
        <v>3334</v>
      </c>
      <c r="Z404" s="3190">
        <v>17.649100000000001</v>
      </c>
    </row>
    <row r="405" spans="16:26">
      <c r="P405" s="3190">
        <v>224</v>
      </c>
      <c r="Q405" s="3190" t="s">
        <v>4545</v>
      </c>
      <c r="R405" s="3190" t="s">
        <v>4504</v>
      </c>
      <c r="S405" s="3190" t="s">
        <v>3670</v>
      </c>
      <c r="T405" s="3190">
        <v>8</v>
      </c>
      <c r="U405" s="3190">
        <v>-3</v>
      </c>
      <c r="V405" s="3190">
        <v>52.93</v>
      </c>
      <c r="W405" s="3190" t="s">
        <v>4593</v>
      </c>
      <c r="X405" s="3190" t="s">
        <v>4593</v>
      </c>
      <c r="Y405" s="3190">
        <v>3334</v>
      </c>
      <c r="Z405" s="3190">
        <v>17.649100000000001</v>
      </c>
    </row>
    <row r="406" spans="16:26">
      <c r="P406" s="3190">
        <v>225</v>
      </c>
      <c r="Q406" s="3190" t="s">
        <v>4545</v>
      </c>
      <c r="R406" s="3190" t="s">
        <v>4504</v>
      </c>
      <c r="S406" s="3190" t="s">
        <v>3671</v>
      </c>
      <c r="T406" s="3190">
        <v>8</v>
      </c>
      <c r="U406" s="3190">
        <v>-3</v>
      </c>
      <c r="V406" s="3190">
        <v>52.93</v>
      </c>
      <c r="W406" s="3190" t="s">
        <v>4593</v>
      </c>
      <c r="X406" s="3190" t="s">
        <v>4593</v>
      </c>
      <c r="Y406" s="3190">
        <v>3334</v>
      </c>
      <c r="Z406" s="3190">
        <v>17.649100000000001</v>
      </c>
    </row>
    <row r="407" spans="16:26">
      <c r="P407" s="3190">
        <v>226</v>
      </c>
      <c r="Q407" s="3190" t="s">
        <v>4545</v>
      </c>
      <c r="R407" s="3190" t="s">
        <v>4504</v>
      </c>
      <c r="S407" s="3190" t="s">
        <v>3672</v>
      </c>
      <c r="T407" s="3190">
        <v>8</v>
      </c>
      <c r="U407" s="3190">
        <v>-3</v>
      </c>
      <c r="V407" s="3190">
        <v>59.92</v>
      </c>
      <c r="W407" s="3190" t="s">
        <v>4593</v>
      </c>
      <c r="X407" s="3190" t="s">
        <v>4593</v>
      </c>
      <c r="Y407" s="3190">
        <v>2945</v>
      </c>
      <c r="Z407" s="3190">
        <v>17.649100000000001</v>
      </c>
    </row>
    <row r="408" spans="16:26">
      <c r="P408" s="3190">
        <v>227</v>
      </c>
      <c r="Q408" s="3190" t="s">
        <v>4545</v>
      </c>
      <c r="R408" s="3190" t="s">
        <v>4504</v>
      </c>
      <c r="S408" s="3190" t="s">
        <v>3673</v>
      </c>
      <c r="T408" s="3190">
        <v>8</v>
      </c>
      <c r="U408" s="3190">
        <v>-3</v>
      </c>
      <c r="V408" s="3190">
        <v>59.92</v>
      </c>
      <c r="W408" s="3190" t="s">
        <v>4593</v>
      </c>
      <c r="X408" s="3190" t="s">
        <v>4593</v>
      </c>
      <c r="Y408" s="3190">
        <v>2945</v>
      </c>
      <c r="Z408" s="3190">
        <v>17.649100000000001</v>
      </c>
    </row>
    <row r="409" spans="16:26">
      <c r="P409" s="3190">
        <v>228</v>
      </c>
      <c r="Q409" s="3190" t="s">
        <v>4545</v>
      </c>
      <c r="R409" s="3190" t="s">
        <v>4504</v>
      </c>
      <c r="S409" s="3190" t="s">
        <v>3674</v>
      </c>
      <c r="T409" s="3190">
        <v>8</v>
      </c>
      <c r="U409" s="3190">
        <v>-3</v>
      </c>
      <c r="V409" s="3190">
        <v>59.92</v>
      </c>
      <c r="W409" s="3190" t="s">
        <v>4593</v>
      </c>
      <c r="X409" s="3190" t="s">
        <v>4593</v>
      </c>
      <c r="Y409" s="3190">
        <v>2945</v>
      </c>
      <c r="Z409" s="3190">
        <v>17.649100000000001</v>
      </c>
    </row>
    <row r="410" spans="16:26">
      <c r="P410" s="3190">
        <v>229</v>
      </c>
      <c r="Q410" s="3190" t="s">
        <v>4545</v>
      </c>
      <c r="R410" s="3190" t="s">
        <v>4504</v>
      </c>
      <c r="S410" s="3190" t="s">
        <v>3675</v>
      </c>
      <c r="T410" s="3190">
        <v>8</v>
      </c>
      <c r="U410" s="3190">
        <v>-3</v>
      </c>
      <c r="V410" s="3190">
        <v>59.92</v>
      </c>
      <c r="W410" s="3190" t="s">
        <v>4593</v>
      </c>
      <c r="X410" s="3190" t="s">
        <v>4593</v>
      </c>
      <c r="Y410" s="3190">
        <v>2945</v>
      </c>
      <c r="Z410" s="3190">
        <v>17.649100000000001</v>
      </c>
    </row>
    <row r="411" spans="16:26">
      <c r="P411" s="3190">
        <v>230</v>
      </c>
      <c r="Q411" s="3190" t="s">
        <v>4545</v>
      </c>
      <c r="R411" s="3190" t="s">
        <v>4504</v>
      </c>
      <c r="S411" s="3190" t="s">
        <v>3676</v>
      </c>
      <c r="T411" s="3190">
        <v>8</v>
      </c>
      <c r="U411" s="3190">
        <v>-3</v>
      </c>
      <c r="V411" s="3190">
        <v>50.93</v>
      </c>
      <c r="W411" s="3190" t="s">
        <v>4593</v>
      </c>
      <c r="X411" s="3190" t="s">
        <v>4593</v>
      </c>
      <c r="Y411" s="3190">
        <v>3465</v>
      </c>
      <c r="Z411" s="3190">
        <v>17.649100000000001</v>
      </c>
    </row>
    <row r="412" spans="16:26">
      <c r="P412" s="3190">
        <v>231</v>
      </c>
      <c r="Q412" s="3190" t="s">
        <v>4545</v>
      </c>
      <c r="R412" s="3190" t="s">
        <v>4504</v>
      </c>
      <c r="S412" s="3190" t="s">
        <v>3677</v>
      </c>
      <c r="T412" s="3190">
        <v>8</v>
      </c>
      <c r="U412" s="3190">
        <v>-3</v>
      </c>
      <c r="V412" s="3190">
        <v>50.93</v>
      </c>
      <c r="W412" s="3190" t="s">
        <v>4593</v>
      </c>
      <c r="X412" s="3190" t="s">
        <v>4593</v>
      </c>
      <c r="Y412" s="3190">
        <v>3465</v>
      </c>
      <c r="Z412" s="3190">
        <v>17.649100000000001</v>
      </c>
    </row>
    <row r="413" spans="16:26">
      <c r="P413" s="3190">
        <v>232</v>
      </c>
      <c r="Q413" s="3190" t="s">
        <v>4545</v>
      </c>
      <c r="R413" s="3190" t="s">
        <v>4504</v>
      </c>
      <c r="S413" s="3190" t="s">
        <v>3678</v>
      </c>
      <c r="T413" s="3190">
        <v>8</v>
      </c>
      <c r="U413" s="3190">
        <v>-3</v>
      </c>
      <c r="V413" s="3190">
        <v>50.93</v>
      </c>
      <c r="W413" s="3190" t="s">
        <v>4593</v>
      </c>
      <c r="X413" s="3190" t="s">
        <v>4593</v>
      </c>
      <c r="Y413" s="3190">
        <v>3465</v>
      </c>
      <c r="Z413" s="3190">
        <v>17.649100000000001</v>
      </c>
    </row>
    <row r="414" spans="16:26">
      <c r="P414" s="3190">
        <v>233</v>
      </c>
      <c r="Q414" s="3190" t="s">
        <v>4545</v>
      </c>
      <c r="R414" s="3190" t="s">
        <v>4504</v>
      </c>
      <c r="S414" s="3190" t="s">
        <v>3679</v>
      </c>
      <c r="T414" s="3190">
        <v>8</v>
      </c>
      <c r="U414" s="3190">
        <v>-3</v>
      </c>
      <c r="V414" s="3190">
        <v>50.93</v>
      </c>
      <c r="W414" s="3190" t="s">
        <v>4593</v>
      </c>
      <c r="X414" s="3190" t="s">
        <v>4593</v>
      </c>
      <c r="Y414" s="3190">
        <v>3465</v>
      </c>
      <c r="Z414" s="3190">
        <v>17.649100000000001</v>
      </c>
    </row>
    <row r="415" spans="16:26">
      <c r="P415" s="3190">
        <v>234</v>
      </c>
      <c r="Q415" s="3190" t="s">
        <v>4545</v>
      </c>
      <c r="R415" s="3190" t="s">
        <v>4504</v>
      </c>
      <c r="S415" s="3190" t="s">
        <v>3680</v>
      </c>
      <c r="T415" s="3190">
        <v>8</v>
      </c>
      <c r="U415" s="3190">
        <v>-3</v>
      </c>
      <c r="V415" s="3190">
        <v>50.93</v>
      </c>
      <c r="W415" s="3190" t="s">
        <v>4593</v>
      </c>
      <c r="X415" s="3190" t="s">
        <v>4593</v>
      </c>
      <c r="Y415" s="3190">
        <v>3465</v>
      </c>
      <c r="Z415" s="3190">
        <v>17.649100000000001</v>
      </c>
    </row>
    <row r="416" spans="16:26">
      <c r="P416" s="3190">
        <v>235</v>
      </c>
      <c r="Q416" s="3190" t="s">
        <v>4545</v>
      </c>
      <c r="R416" s="3190" t="s">
        <v>4504</v>
      </c>
      <c r="S416" s="3190" t="s">
        <v>3681</v>
      </c>
      <c r="T416" s="3190">
        <v>8</v>
      </c>
      <c r="U416" s="3190">
        <v>-3</v>
      </c>
      <c r="V416" s="3190">
        <v>50.93</v>
      </c>
      <c r="W416" s="3190" t="s">
        <v>4593</v>
      </c>
      <c r="X416" s="3190" t="s">
        <v>4593</v>
      </c>
      <c r="Y416" s="3190">
        <v>3465</v>
      </c>
      <c r="Z416" s="3190">
        <v>17.649100000000001</v>
      </c>
    </row>
    <row r="417" spans="16:26">
      <c r="P417" s="3190">
        <v>236</v>
      </c>
      <c r="Q417" s="3190" t="s">
        <v>4545</v>
      </c>
      <c r="R417" s="3190" t="s">
        <v>4504</v>
      </c>
      <c r="S417" s="3190" t="s">
        <v>3682</v>
      </c>
      <c r="T417" s="3190">
        <v>8</v>
      </c>
      <c r="U417" s="3190">
        <v>-3</v>
      </c>
      <c r="V417" s="3190">
        <v>50.93</v>
      </c>
      <c r="W417" s="3190" t="s">
        <v>4593</v>
      </c>
      <c r="X417" s="3190" t="s">
        <v>4593</v>
      </c>
      <c r="Y417" s="3190">
        <v>3465</v>
      </c>
      <c r="Z417" s="3190">
        <v>17.649100000000001</v>
      </c>
    </row>
    <row r="418" spans="16:26">
      <c r="P418" s="3190">
        <v>237</v>
      </c>
      <c r="Q418" s="3190" t="s">
        <v>4545</v>
      </c>
      <c r="R418" s="3190" t="s">
        <v>4504</v>
      </c>
      <c r="S418" s="3190" t="s">
        <v>3683</v>
      </c>
      <c r="T418" s="3190">
        <v>8</v>
      </c>
      <c r="U418" s="3190">
        <v>-3</v>
      </c>
      <c r="V418" s="3190">
        <v>50.93</v>
      </c>
      <c r="W418" s="3190" t="s">
        <v>4593</v>
      </c>
      <c r="X418" s="3190" t="s">
        <v>4593</v>
      </c>
      <c r="Y418" s="3190">
        <v>3465</v>
      </c>
      <c r="Z418" s="3190">
        <v>17.649100000000001</v>
      </c>
    </row>
    <row r="419" spans="16:26">
      <c r="P419" s="3190">
        <v>238</v>
      </c>
      <c r="Q419" s="3190" t="s">
        <v>4545</v>
      </c>
      <c r="R419" s="3190" t="s">
        <v>4504</v>
      </c>
      <c r="S419" s="3190" t="s">
        <v>3684</v>
      </c>
      <c r="T419" s="3190">
        <v>8</v>
      </c>
      <c r="U419" s="3190">
        <v>-3</v>
      </c>
      <c r="V419" s="3190">
        <v>50.93</v>
      </c>
      <c r="W419" s="3190" t="s">
        <v>4593</v>
      </c>
      <c r="X419" s="3190" t="s">
        <v>4593</v>
      </c>
      <c r="Y419" s="3190">
        <v>3465</v>
      </c>
      <c r="Z419" s="3190">
        <v>17.649100000000001</v>
      </c>
    </row>
    <row r="420" spans="16:26">
      <c r="P420" s="3190">
        <v>239</v>
      </c>
      <c r="Q420" s="3190" t="s">
        <v>4545</v>
      </c>
      <c r="R420" s="3190" t="s">
        <v>4504</v>
      </c>
      <c r="S420" s="3190" t="s">
        <v>3685</v>
      </c>
      <c r="T420" s="3190">
        <v>8</v>
      </c>
      <c r="U420" s="3190">
        <v>-3</v>
      </c>
      <c r="V420" s="3190">
        <v>50.93</v>
      </c>
      <c r="W420" s="3190" t="s">
        <v>4593</v>
      </c>
      <c r="X420" s="3190" t="s">
        <v>4593</v>
      </c>
      <c r="Y420" s="3190">
        <v>3465</v>
      </c>
      <c r="Z420" s="3190">
        <v>17.649100000000001</v>
      </c>
    </row>
    <row r="421" spans="16:26">
      <c r="P421" s="3190">
        <v>240</v>
      </c>
      <c r="Q421" s="3190" t="s">
        <v>4545</v>
      </c>
      <c r="R421" s="3190" t="s">
        <v>4504</v>
      </c>
      <c r="S421" s="3190" t="s">
        <v>3686</v>
      </c>
      <c r="T421" s="3190">
        <v>8</v>
      </c>
      <c r="U421" s="3190">
        <v>-3</v>
      </c>
      <c r="V421" s="3190">
        <v>59.92</v>
      </c>
      <c r="W421" s="3190" t="s">
        <v>4593</v>
      </c>
      <c r="X421" s="3190" t="s">
        <v>4593</v>
      </c>
      <c r="Y421" s="3190">
        <v>2945</v>
      </c>
      <c r="Z421" s="3190">
        <v>17.649100000000001</v>
      </c>
    </row>
    <row r="422" spans="16:26">
      <c r="P422" s="3190">
        <v>241</v>
      </c>
      <c r="Q422" s="3190" t="s">
        <v>4545</v>
      </c>
      <c r="R422" s="3190" t="s">
        <v>4504</v>
      </c>
      <c r="S422" s="3190" t="s">
        <v>3687</v>
      </c>
      <c r="T422" s="3190">
        <v>8</v>
      </c>
      <c r="U422" s="3190">
        <v>-3</v>
      </c>
      <c r="V422" s="3190">
        <v>50.93</v>
      </c>
      <c r="W422" s="3190" t="s">
        <v>4593</v>
      </c>
      <c r="X422" s="3190" t="s">
        <v>4593</v>
      </c>
      <c r="Y422" s="3190">
        <v>3465</v>
      </c>
      <c r="Z422" s="3190">
        <v>17.649100000000001</v>
      </c>
    </row>
    <row r="423" spans="16:26">
      <c r="P423" s="3190">
        <v>242</v>
      </c>
      <c r="Q423" s="3190" t="s">
        <v>4545</v>
      </c>
      <c r="R423" s="3190" t="s">
        <v>4504</v>
      </c>
      <c r="S423" s="3190" t="s">
        <v>3688</v>
      </c>
      <c r="T423" s="3190">
        <v>8</v>
      </c>
      <c r="U423" s="3190">
        <v>-3</v>
      </c>
      <c r="V423" s="3190">
        <v>50.93</v>
      </c>
      <c r="W423" s="3190" t="s">
        <v>4593</v>
      </c>
      <c r="X423" s="3190" t="s">
        <v>4593</v>
      </c>
      <c r="Y423" s="3190">
        <v>3465</v>
      </c>
      <c r="Z423" s="3190">
        <v>17.649100000000001</v>
      </c>
    </row>
    <row r="424" spans="16:26">
      <c r="P424" s="3190">
        <v>243</v>
      </c>
      <c r="Q424" s="3190" t="s">
        <v>4545</v>
      </c>
      <c r="R424" s="3190" t="s">
        <v>4504</v>
      </c>
      <c r="S424" s="3190" t="s">
        <v>3689</v>
      </c>
      <c r="T424" s="3190">
        <v>8</v>
      </c>
      <c r="U424" s="3190">
        <v>-3</v>
      </c>
      <c r="V424" s="3190">
        <v>50.93</v>
      </c>
      <c r="W424" s="3190" t="s">
        <v>4593</v>
      </c>
      <c r="X424" s="3190" t="s">
        <v>4593</v>
      </c>
      <c r="Y424" s="3190">
        <v>3465</v>
      </c>
      <c r="Z424" s="3190">
        <v>17.649100000000001</v>
      </c>
    </row>
    <row r="425" spans="16:26">
      <c r="P425" s="3190">
        <v>244</v>
      </c>
      <c r="Q425" s="3190" t="s">
        <v>4545</v>
      </c>
      <c r="R425" s="3190" t="s">
        <v>4504</v>
      </c>
      <c r="S425" s="3190" t="s">
        <v>3690</v>
      </c>
      <c r="T425" s="3190">
        <v>8</v>
      </c>
      <c r="U425" s="3190">
        <v>-3</v>
      </c>
      <c r="V425" s="3190">
        <v>50.93</v>
      </c>
      <c r="W425" s="3190" t="s">
        <v>4593</v>
      </c>
      <c r="X425" s="3190" t="s">
        <v>4593</v>
      </c>
      <c r="Y425" s="3190">
        <v>3465</v>
      </c>
      <c r="Z425" s="3190">
        <v>17.649100000000001</v>
      </c>
    </row>
    <row r="426" spans="16:26">
      <c r="P426" s="3190">
        <v>245</v>
      </c>
      <c r="Q426" s="3190" t="s">
        <v>4545</v>
      </c>
      <c r="R426" s="3190" t="s">
        <v>4504</v>
      </c>
      <c r="S426" s="3190" t="s">
        <v>3691</v>
      </c>
      <c r="T426" s="3190">
        <v>8</v>
      </c>
      <c r="U426" s="3190">
        <v>-3</v>
      </c>
      <c r="V426" s="3190">
        <v>50.93</v>
      </c>
      <c r="W426" s="3190" t="s">
        <v>4593</v>
      </c>
      <c r="X426" s="3190" t="s">
        <v>4593</v>
      </c>
      <c r="Y426" s="3190">
        <v>3465</v>
      </c>
      <c r="Z426" s="3190">
        <v>17.649100000000001</v>
      </c>
    </row>
    <row r="427" spans="16:26">
      <c r="P427" s="3190">
        <v>246</v>
      </c>
      <c r="Q427" s="3190" t="s">
        <v>4545</v>
      </c>
      <c r="R427" s="3190" t="s">
        <v>4504</v>
      </c>
      <c r="S427" s="3190" t="s">
        <v>3692</v>
      </c>
      <c r="T427" s="3190">
        <v>8</v>
      </c>
      <c r="U427" s="3190">
        <v>-3</v>
      </c>
      <c r="V427" s="3190">
        <v>50.93</v>
      </c>
      <c r="W427" s="3190" t="s">
        <v>4593</v>
      </c>
      <c r="X427" s="3190" t="s">
        <v>4593</v>
      </c>
      <c r="Y427" s="3190">
        <v>3465</v>
      </c>
      <c r="Z427" s="3190">
        <v>17.649100000000001</v>
      </c>
    </row>
    <row r="428" spans="16:26">
      <c r="P428" s="3190">
        <v>247</v>
      </c>
      <c r="Q428" s="3190" t="s">
        <v>4545</v>
      </c>
      <c r="R428" s="3190" t="s">
        <v>4504</v>
      </c>
      <c r="S428" s="3190" t="s">
        <v>3693</v>
      </c>
      <c r="T428" s="3190">
        <v>8</v>
      </c>
      <c r="U428" s="3190">
        <v>-3</v>
      </c>
      <c r="V428" s="3190">
        <v>50.93</v>
      </c>
      <c r="W428" s="3190" t="s">
        <v>4593</v>
      </c>
      <c r="X428" s="3190" t="s">
        <v>4593</v>
      </c>
      <c r="Y428" s="3190">
        <v>3465</v>
      </c>
      <c r="Z428" s="3190">
        <v>17.649100000000001</v>
      </c>
    </row>
    <row r="429" spans="16:26">
      <c r="P429" s="3190">
        <v>248</v>
      </c>
      <c r="Q429" s="3190" t="s">
        <v>4545</v>
      </c>
      <c r="R429" s="3190" t="s">
        <v>4504</v>
      </c>
      <c r="S429" s="3190" t="s">
        <v>3694</v>
      </c>
      <c r="T429" s="3190">
        <v>8</v>
      </c>
      <c r="U429" s="3190">
        <v>-3</v>
      </c>
      <c r="V429" s="3190">
        <v>50.93</v>
      </c>
      <c r="W429" s="3190" t="s">
        <v>4593</v>
      </c>
      <c r="X429" s="3190" t="s">
        <v>4593</v>
      </c>
      <c r="Y429" s="3190">
        <v>3465</v>
      </c>
      <c r="Z429" s="3190">
        <v>17.649100000000001</v>
      </c>
    </row>
    <row r="430" spans="16:26">
      <c r="P430" s="3190">
        <v>249</v>
      </c>
      <c r="Q430" s="3190" t="s">
        <v>4545</v>
      </c>
      <c r="R430" s="3190" t="s">
        <v>4504</v>
      </c>
      <c r="S430" s="3190" t="s">
        <v>3695</v>
      </c>
      <c r="T430" s="3190">
        <v>8</v>
      </c>
      <c r="U430" s="3190">
        <v>-3</v>
      </c>
      <c r="V430" s="3190">
        <v>50.93</v>
      </c>
      <c r="W430" s="3190" t="s">
        <v>4593</v>
      </c>
      <c r="X430" s="3190" t="s">
        <v>4593</v>
      </c>
      <c r="Y430" s="3190">
        <v>3465</v>
      </c>
      <c r="Z430" s="3190">
        <v>17.649100000000001</v>
      </c>
    </row>
    <row r="431" spans="16:26">
      <c r="P431" s="3190">
        <v>250</v>
      </c>
      <c r="Q431" s="3190" t="s">
        <v>4545</v>
      </c>
      <c r="R431" s="3190" t="s">
        <v>4504</v>
      </c>
      <c r="S431" s="3190" t="s">
        <v>3696</v>
      </c>
      <c r="T431" s="3190">
        <v>8</v>
      </c>
      <c r="U431" s="3190">
        <v>-3</v>
      </c>
      <c r="V431" s="3190">
        <v>50.93</v>
      </c>
      <c r="W431" s="3190" t="s">
        <v>4593</v>
      </c>
      <c r="X431" s="3190" t="s">
        <v>4593</v>
      </c>
      <c r="Y431" s="3190">
        <v>3465</v>
      </c>
      <c r="Z431" s="3190">
        <v>17.649100000000001</v>
      </c>
    </row>
    <row r="432" spans="16:26">
      <c r="P432" s="3190">
        <v>251</v>
      </c>
      <c r="Q432" s="3190" t="s">
        <v>4545</v>
      </c>
      <c r="R432" s="3190" t="s">
        <v>4504</v>
      </c>
      <c r="S432" s="3190" t="s">
        <v>3697</v>
      </c>
      <c r="T432" s="3190">
        <v>8</v>
      </c>
      <c r="U432" s="3190">
        <v>-3</v>
      </c>
      <c r="V432" s="3190">
        <v>52.93</v>
      </c>
      <c r="W432" s="3190" t="s">
        <v>4593</v>
      </c>
      <c r="X432" s="3190" t="s">
        <v>4593</v>
      </c>
      <c r="Y432" s="3190">
        <v>3334</v>
      </c>
      <c r="Z432" s="3190">
        <v>17.649100000000001</v>
      </c>
    </row>
    <row r="433" spans="16:26">
      <c r="P433" s="3190">
        <v>252</v>
      </c>
      <c r="Q433" s="3190" t="s">
        <v>4545</v>
      </c>
      <c r="R433" s="3190" t="s">
        <v>4504</v>
      </c>
      <c r="S433" s="3190" t="s">
        <v>3698</v>
      </c>
      <c r="T433" s="3190">
        <v>8</v>
      </c>
      <c r="U433" s="3190">
        <v>-3</v>
      </c>
      <c r="V433" s="3190">
        <v>59.92</v>
      </c>
      <c r="W433" s="3190" t="s">
        <v>4593</v>
      </c>
      <c r="X433" s="3190" t="s">
        <v>4593</v>
      </c>
      <c r="Y433" s="3190">
        <v>2945</v>
      </c>
      <c r="Z433" s="3190">
        <v>17.649100000000001</v>
      </c>
    </row>
    <row r="434" spans="16:26">
      <c r="P434" s="3190">
        <v>253</v>
      </c>
      <c r="Q434" s="3190" t="s">
        <v>4545</v>
      </c>
      <c r="R434" s="3190" t="s">
        <v>4504</v>
      </c>
      <c r="S434" s="3190" t="s">
        <v>3699</v>
      </c>
      <c r="T434" s="3190">
        <v>8</v>
      </c>
      <c r="U434" s="3190">
        <v>-3</v>
      </c>
      <c r="V434" s="3190">
        <v>59.92</v>
      </c>
      <c r="W434" s="3190" t="s">
        <v>4593</v>
      </c>
      <c r="X434" s="3190" t="s">
        <v>4593</v>
      </c>
      <c r="Y434" s="3190">
        <v>2945</v>
      </c>
      <c r="Z434" s="3190">
        <v>17.649100000000001</v>
      </c>
    </row>
    <row r="435" spans="16:26">
      <c r="P435" s="3190">
        <v>254</v>
      </c>
      <c r="Q435" s="3190" t="s">
        <v>4545</v>
      </c>
      <c r="R435" s="3190" t="s">
        <v>4504</v>
      </c>
      <c r="S435" s="3190" t="s">
        <v>3700</v>
      </c>
      <c r="T435" s="3190">
        <v>8</v>
      </c>
      <c r="U435" s="3190">
        <v>-3</v>
      </c>
      <c r="V435" s="3190">
        <v>59.92</v>
      </c>
      <c r="W435" s="3190" t="s">
        <v>4593</v>
      </c>
      <c r="X435" s="3190" t="s">
        <v>4593</v>
      </c>
      <c r="Y435" s="3190">
        <v>2945</v>
      </c>
      <c r="Z435" s="3190">
        <v>17.649100000000001</v>
      </c>
    </row>
    <row r="436" spans="16:26">
      <c r="P436" s="3190">
        <v>255</v>
      </c>
      <c r="Q436" s="3190" t="s">
        <v>4545</v>
      </c>
      <c r="R436" s="3190" t="s">
        <v>4504</v>
      </c>
      <c r="S436" s="3190" t="s">
        <v>3701</v>
      </c>
      <c r="T436" s="3190">
        <v>8</v>
      </c>
      <c r="U436" s="3190">
        <v>-3</v>
      </c>
      <c r="V436" s="3190">
        <v>52.93</v>
      </c>
      <c r="W436" s="3190" t="s">
        <v>4593</v>
      </c>
      <c r="X436" s="3190" t="s">
        <v>4593</v>
      </c>
      <c r="Y436" s="3190">
        <v>3334</v>
      </c>
      <c r="Z436" s="3190">
        <v>17.649100000000001</v>
      </c>
    </row>
    <row r="437" spans="16:26">
      <c r="P437" s="3190">
        <v>256</v>
      </c>
      <c r="Q437" s="3190" t="s">
        <v>4545</v>
      </c>
      <c r="R437" s="3190" t="s">
        <v>4504</v>
      </c>
      <c r="S437" s="3190" t="s">
        <v>3702</v>
      </c>
      <c r="T437" s="3190">
        <v>8</v>
      </c>
      <c r="U437" s="3190">
        <v>-3</v>
      </c>
      <c r="V437" s="3190">
        <v>52.93</v>
      </c>
      <c r="W437" s="3190" t="s">
        <v>4593</v>
      </c>
      <c r="X437" s="3190" t="s">
        <v>4593</v>
      </c>
      <c r="Y437" s="3190">
        <v>3334</v>
      </c>
      <c r="Z437" s="3190">
        <v>17.649100000000001</v>
      </c>
    </row>
    <row r="438" spans="16:26">
      <c r="P438" s="3190">
        <v>257</v>
      </c>
      <c r="Q438" s="3190" t="s">
        <v>4545</v>
      </c>
      <c r="R438" s="3190" t="s">
        <v>4504</v>
      </c>
      <c r="S438" s="3190" t="s">
        <v>3703</v>
      </c>
      <c r="T438" s="3190">
        <v>8</v>
      </c>
      <c r="U438" s="3190">
        <v>-3</v>
      </c>
      <c r="V438" s="3190">
        <v>52.93</v>
      </c>
      <c r="W438" s="3190" t="s">
        <v>4593</v>
      </c>
      <c r="X438" s="3190" t="s">
        <v>4593</v>
      </c>
      <c r="Y438" s="3190">
        <v>3334</v>
      </c>
      <c r="Z438" s="3190">
        <v>17.649100000000001</v>
      </c>
    </row>
    <row r="439" spans="16:26">
      <c r="P439" s="3190">
        <v>258</v>
      </c>
      <c r="Q439" s="3190" t="s">
        <v>4545</v>
      </c>
      <c r="R439" s="3190" t="s">
        <v>4504</v>
      </c>
      <c r="S439" s="3190" t="s">
        <v>3704</v>
      </c>
      <c r="T439" s="3190">
        <v>8</v>
      </c>
      <c r="U439" s="3190">
        <v>-3</v>
      </c>
      <c r="V439" s="3190">
        <v>52.93</v>
      </c>
      <c r="W439" s="3190" t="s">
        <v>4593</v>
      </c>
      <c r="X439" s="3190" t="s">
        <v>4593</v>
      </c>
      <c r="Y439" s="3190">
        <v>3334</v>
      </c>
      <c r="Z439" s="3190">
        <v>17.649100000000001</v>
      </c>
    </row>
    <row r="440" spans="16:26">
      <c r="P440" s="3190">
        <v>259</v>
      </c>
      <c r="Q440" s="3190" t="s">
        <v>4545</v>
      </c>
      <c r="R440" s="3190" t="s">
        <v>4504</v>
      </c>
      <c r="S440" s="3190" t="s">
        <v>3705</v>
      </c>
      <c r="T440" s="3190">
        <v>8</v>
      </c>
      <c r="U440" s="3190">
        <v>-3</v>
      </c>
      <c r="V440" s="3190">
        <v>52.93</v>
      </c>
      <c r="W440" s="3190" t="s">
        <v>4593</v>
      </c>
      <c r="X440" s="3190" t="s">
        <v>4593</v>
      </c>
      <c r="Y440" s="3190">
        <v>3334</v>
      </c>
      <c r="Z440" s="3190">
        <v>17.649100000000001</v>
      </c>
    </row>
    <row r="441" spans="16:26">
      <c r="P441" s="3190">
        <v>260</v>
      </c>
      <c r="Q441" s="3190" t="s">
        <v>4545</v>
      </c>
      <c r="R441" s="3190" t="s">
        <v>4504</v>
      </c>
      <c r="S441" s="3190" t="s">
        <v>3706</v>
      </c>
      <c r="T441" s="3190">
        <v>8</v>
      </c>
      <c r="U441" s="3190">
        <v>-3</v>
      </c>
      <c r="V441" s="3190">
        <v>52.93</v>
      </c>
      <c r="W441" s="3190" t="s">
        <v>4593</v>
      </c>
      <c r="X441" s="3190" t="s">
        <v>4593</v>
      </c>
      <c r="Y441" s="3190">
        <v>3334</v>
      </c>
      <c r="Z441" s="3190">
        <v>17.649100000000001</v>
      </c>
    </row>
    <row r="442" spans="16:26">
      <c r="P442" s="3190">
        <v>261</v>
      </c>
      <c r="Q442" s="3190" t="s">
        <v>4545</v>
      </c>
      <c r="R442" s="3190" t="s">
        <v>4504</v>
      </c>
      <c r="S442" s="3190" t="s">
        <v>3707</v>
      </c>
      <c r="T442" s="3190">
        <v>8</v>
      </c>
      <c r="U442" s="3190">
        <v>-3</v>
      </c>
      <c r="V442" s="3190">
        <v>52.93</v>
      </c>
      <c r="W442" s="3190" t="s">
        <v>4593</v>
      </c>
      <c r="X442" s="3190" t="s">
        <v>4593</v>
      </c>
      <c r="Y442" s="3190">
        <v>3334</v>
      </c>
      <c r="Z442" s="3190">
        <v>17.649100000000001</v>
      </c>
    </row>
    <row r="443" spans="16:26">
      <c r="P443" s="3190">
        <v>262</v>
      </c>
      <c r="Q443" s="3190" t="s">
        <v>4545</v>
      </c>
      <c r="R443" s="3190" t="s">
        <v>4504</v>
      </c>
      <c r="S443" s="3190" t="s">
        <v>3708</v>
      </c>
      <c r="T443" s="3190">
        <v>8</v>
      </c>
      <c r="U443" s="3190">
        <v>-3</v>
      </c>
      <c r="V443" s="3190">
        <v>52.93</v>
      </c>
      <c r="W443" s="3190" t="s">
        <v>4593</v>
      </c>
      <c r="X443" s="3190" t="s">
        <v>4593</v>
      </c>
      <c r="Y443" s="3190">
        <v>3334</v>
      </c>
      <c r="Z443" s="3190">
        <v>17.649100000000001</v>
      </c>
    </row>
    <row r="444" spans="16:26">
      <c r="P444" s="3190">
        <v>263</v>
      </c>
      <c r="Q444" s="3190" t="s">
        <v>4545</v>
      </c>
      <c r="R444" s="3190" t="s">
        <v>4504</v>
      </c>
      <c r="S444" s="3190" t="s">
        <v>3709</v>
      </c>
      <c r="T444" s="3190">
        <v>8</v>
      </c>
      <c r="U444" s="3190">
        <v>-3</v>
      </c>
      <c r="V444" s="3190">
        <v>50.93</v>
      </c>
      <c r="W444" s="3190" t="s">
        <v>4593</v>
      </c>
      <c r="X444" s="3190" t="s">
        <v>4593</v>
      </c>
      <c r="Y444" s="3190">
        <v>3465</v>
      </c>
      <c r="Z444" s="3190">
        <v>17.649100000000001</v>
      </c>
    </row>
    <row r="445" spans="16:26">
      <c r="P445" s="3190">
        <v>264</v>
      </c>
      <c r="Q445" s="3190" t="s">
        <v>4545</v>
      </c>
      <c r="R445" s="3190" t="s">
        <v>4504</v>
      </c>
      <c r="S445" s="3190" t="s">
        <v>3710</v>
      </c>
      <c r="T445" s="3190">
        <v>8</v>
      </c>
      <c r="U445" s="3190">
        <v>-3</v>
      </c>
      <c r="V445" s="3190">
        <v>50.93</v>
      </c>
      <c r="W445" s="3190" t="s">
        <v>4593</v>
      </c>
      <c r="X445" s="3190" t="s">
        <v>4593</v>
      </c>
      <c r="Y445" s="3190">
        <v>3465</v>
      </c>
      <c r="Z445" s="3190">
        <v>17.649100000000001</v>
      </c>
    </row>
    <row r="446" spans="16:26">
      <c r="P446" s="3190">
        <v>265</v>
      </c>
      <c r="Q446" s="3190" t="s">
        <v>4545</v>
      </c>
      <c r="R446" s="3190" t="s">
        <v>4504</v>
      </c>
      <c r="S446" s="3190" t="s">
        <v>3711</v>
      </c>
      <c r="T446" s="3190">
        <v>8</v>
      </c>
      <c r="U446" s="3190">
        <v>-3</v>
      </c>
      <c r="V446" s="3190">
        <v>50.93</v>
      </c>
      <c r="W446" s="3190" t="s">
        <v>4593</v>
      </c>
      <c r="X446" s="3190" t="s">
        <v>4593</v>
      </c>
      <c r="Y446" s="3190">
        <v>3465</v>
      </c>
      <c r="Z446" s="3190">
        <v>17.649100000000001</v>
      </c>
    </row>
    <row r="447" spans="16:26">
      <c r="P447" s="3190">
        <v>266</v>
      </c>
      <c r="Q447" s="3190" t="s">
        <v>4545</v>
      </c>
      <c r="R447" s="3190" t="s">
        <v>4504</v>
      </c>
      <c r="S447" s="3190" t="s">
        <v>3712</v>
      </c>
      <c r="T447" s="3190">
        <v>8</v>
      </c>
      <c r="U447" s="3190">
        <v>-3</v>
      </c>
      <c r="V447" s="3190">
        <v>50.93</v>
      </c>
      <c r="W447" s="3190" t="s">
        <v>4593</v>
      </c>
      <c r="X447" s="3190" t="s">
        <v>4593</v>
      </c>
      <c r="Y447" s="3190">
        <v>3465</v>
      </c>
      <c r="Z447" s="3190">
        <v>17.649100000000001</v>
      </c>
    </row>
    <row r="448" spans="16:26">
      <c r="P448" s="3190">
        <v>267</v>
      </c>
      <c r="Q448" s="3190" t="s">
        <v>4545</v>
      </c>
      <c r="R448" s="3190" t="s">
        <v>4504</v>
      </c>
      <c r="S448" s="3190" t="s">
        <v>3713</v>
      </c>
      <c r="T448" s="3190">
        <v>8</v>
      </c>
      <c r="U448" s="3190">
        <v>-3</v>
      </c>
      <c r="V448" s="3190">
        <v>50.93</v>
      </c>
      <c r="W448" s="3190" t="s">
        <v>4593</v>
      </c>
      <c r="X448" s="3190" t="s">
        <v>4593</v>
      </c>
      <c r="Y448" s="3190">
        <v>3465</v>
      </c>
      <c r="Z448" s="3190">
        <v>17.649100000000001</v>
      </c>
    </row>
    <row r="449" spans="16:26">
      <c r="P449" s="3190">
        <v>268</v>
      </c>
      <c r="Q449" s="3190" t="s">
        <v>4545</v>
      </c>
      <c r="R449" s="3190" t="s">
        <v>4504</v>
      </c>
      <c r="S449" s="3190" t="s">
        <v>3714</v>
      </c>
      <c r="T449" s="3190">
        <v>8</v>
      </c>
      <c r="U449" s="3190">
        <v>-3</v>
      </c>
      <c r="V449" s="3190">
        <v>50.93</v>
      </c>
      <c r="W449" s="3190" t="s">
        <v>4593</v>
      </c>
      <c r="X449" s="3190" t="s">
        <v>4593</v>
      </c>
      <c r="Y449" s="3190">
        <v>3465</v>
      </c>
      <c r="Z449" s="3190">
        <v>17.649100000000001</v>
      </c>
    </row>
    <row r="450" spans="16:26">
      <c r="P450" s="3190">
        <v>269</v>
      </c>
      <c r="Q450" s="3190" t="s">
        <v>4545</v>
      </c>
      <c r="R450" s="3190" t="s">
        <v>4504</v>
      </c>
      <c r="S450" s="3190" t="s">
        <v>3715</v>
      </c>
      <c r="T450" s="3190">
        <v>8</v>
      </c>
      <c r="U450" s="3190">
        <v>-3</v>
      </c>
      <c r="V450" s="3190">
        <v>59.92</v>
      </c>
      <c r="W450" s="3190" t="s">
        <v>4593</v>
      </c>
      <c r="X450" s="3190" t="s">
        <v>4593</v>
      </c>
      <c r="Y450" s="3190">
        <v>2945</v>
      </c>
      <c r="Z450" s="3190">
        <v>17.649100000000001</v>
      </c>
    </row>
    <row r="451" spans="16:26">
      <c r="P451" s="3190">
        <v>270</v>
      </c>
      <c r="Q451" s="3190" t="s">
        <v>4545</v>
      </c>
      <c r="R451" s="3190" t="s">
        <v>4504</v>
      </c>
      <c r="S451" s="3190" t="s">
        <v>3716</v>
      </c>
      <c r="T451" s="3190">
        <v>8</v>
      </c>
      <c r="U451" s="3190">
        <v>-3</v>
      </c>
      <c r="V451" s="3190">
        <v>59.92</v>
      </c>
      <c r="W451" s="3190" t="s">
        <v>4593</v>
      </c>
      <c r="X451" s="3190" t="s">
        <v>4593</v>
      </c>
      <c r="Y451" s="3190">
        <v>2945</v>
      </c>
      <c r="Z451" s="3190">
        <v>17.649100000000001</v>
      </c>
    </row>
    <row r="452" spans="16:26">
      <c r="P452" s="3190">
        <v>271</v>
      </c>
      <c r="Q452" s="3190" t="s">
        <v>4545</v>
      </c>
      <c r="R452" s="3190" t="s">
        <v>4504</v>
      </c>
      <c r="S452" s="3190" t="s">
        <v>3717</v>
      </c>
      <c r="T452" s="3190">
        <v>8</v>
      </c>
      <c r="U452" s="3190">
        <v>-3</v>
      </c>
      <c r="V452" s="3190">
        <v>59.92</v>
      </c>
      <c r="W452" s="3190" t="s">
        <v>4593</v>
      </c>
      <c r="X452" s="3190" t="s">
        <v>4593</v>
      </c>
      <c r="Y452" s="3190">
        <v>2945</v>
      </c>
      <c r="Z452" s="3190">
        <v>17.649100000000001</v>
      </c>
    </row>
    <row r="453" spans="16:26">
      <c r="P453" s="3190">
        <v>272</v>
      </c>
      <c r="Q453" s="3190" t="s">
        <v>4545</v>
      </c>
      <c r="R453" s="3190" t="s">
        <v>4504</v>
      </c>
      <c r="S453" s="3190" t="s">
        <v>3718</v>
      </c>
      <c r="T453" s="3190">
        <v>8</v>
      </c>
      <c r="U453" s="3190">
        <v>-3</v>
      </c>
      <c r="V453" s="3190">
        <v>59.92</v>
      </c>
      <c r="W453" s="3190" t="s">
        <v>4593</v>
      </c>
      <c r="X453" s="3190" t="s">
        <v>4593</v>
      </c>
      <c r="Y453" s="3190">
        <v>2945</v>
      </c>
      <c r="Z453" s="3190">
        <v>17.649100000000001</v>
      </c>
    </row>
    <row r="454" spans="16:26">
      <c r="P454" s="3190">
        <v>273</v>
      </c>
      <c r="Q454" s="3190" t="s">
        <v>4545</v>
      </c>
      <c r="R454" s="3190" t="s">
        <v>4504</v>
      </c>
      <c r="S454" s="3190" t="s">
        <v>3719</v>
      </c>
      <c r="T454" s="3190">
        <v>8</v>
      </c>
      <c r="U454" s="3190">
        <v>-3</v>
      </c>
      <c r="V454" s="3190">
        <v>59.92</v>
      </c>
      <c r="W454" s="3190" t="s">
        <v>4593</v>
      </c>
      <c r="X454" s="3190" t="s">
        <v>4593</v>
      </c>
      <c r="Y454" s="3190">
        <v>2945</v>
      </c>
      <c r="Z454" s="3190">
        <v>17.649100000000001</v>
      </c>
    </row>
    <row r="455" spans="16:26">
      <c r="P455" s="3190">
        <v>274</v>
      </c>
      <c r="Q455" s="3190" t="s">
        <v>4545</v>
      </c>
      <c r="R455" s="3190" t="s">
        <v>4504</v>
      </c>
      <c r="S455" s="3190" t="s">
        <v>3720</v>
      </c>
      <c r="T455" s="3190">
        <v>8</v>
      </c>
      <c r="U455" s="3190">
        <v>-3</v>
      </c>
      <c r="V455" s="3190">
        <v>50.93</v>
      </c>
      <c r="W455" s="3190" t="s">
        <v>4593</v>
      </c>
      <c r="X455" s="3190" t="s">
        <v>4593</v>
      </c>
      <c r="Y455" s="3190">
        <v>3465</v>
      </c>
      <c r="Z455" s="3190">
        <v>17.649100000000001</v>
      </c>
    </row>
    <row r="456" spans="16:26">
      <c r="P456" s="3190">
        <v>275</v>
      </c>
      <c r="Q456" s="3190" t="s">
        <v>4545</v>
      </c>
      <c r="R456" s="3190" t="s">
        <v>4504</v>
      </c>
      <c r="S456" s="3190" t="s">
        <v>3721</v>
      </c>
      <c r="T456" s="3190">
        <v>8</v>
      </c>
      <c r="U456" s="3190">
        <v>-3</v>
      </c>
      <c r="V456" s="3190">
        <v>50.93</v>
      </c>
      <c r="W456" s="3190" t="s">
        <v>4593</v>
      </c>
      <c r="X456" s="3190" t="s">
        <v>4593</v>
      </c>
      <c r="Y456" s="3190">
        <v>3465</v>
      </c>
      <c r="Z456" s="3190">
        <v>17.649100000000001</v>
      </c>
    </row>
    <row r="457" spans="16:26">
      <c r="P457" s="3190">
        <v>276</v>
      </c>
      <c r="Q457" s="3190" t="s">
        <v>4545</v>
      </c>
      <c r="R457" s="3190" t="s">
        <v>4504</v>
      </c>
      <c r="S457" s="3190" t="s">
        <v>3722</v>
      </c>
      <c r="T457" s="3190">
        <v>8</v>
      </c>
      <c r="U457" s="3190">
        <v>-3</v>
      </c>
      <c r="V457" s="3190">
        <v>50.93</v>
      </c>
      <c r="W457" s="3190" t="s">
        <v>4593</v>
      </c>
      <c r="X457" s="3190" t="s">
        <v>4593</v>
      </c>
      <c r="Y457" s="3190">
        <v>3465</v>
      </c>
      <c r="Z457" s="3190">
        <v>17.649100000000001</v>
      </c>
    </row>
    <row r="458" spans="16:26">
      <c r="P458" s="3190">
        <v>277</v>
      </c>
      <c r="Q458" s="3190" t="s">
        <v>4545</v>
      </c>
      <c r="R458" s="3190" t="s">
        <v>4504</v>
      </c>
      <c r="S458" s="3190" t="s">
        <v>3723</v>
      </c>
      <c r="T458" s="3190">
        <v>8</v>
      </c>
      <c r="U458" s="3190">
        <v>-3</v>
      </c>
      <c r="V458" s="3190">
        <v>50.93</v>
      </c>
      <c r="W458" s="3190" t="s">
        <v>4593</v>
      </c>
      <c r="X458" s="3190" t="s">
        <v>4593</v>
      </c>
      <c r="Y458" s="3190">
        <v>3465</v>
      </c>
      <c r="Z458" s="3190">
        <v>17.649100000000001</v>
      </c>
    </row>
    <row r="459" spans="16:26">
      <c r="P459" s="3190">
        <v>278</v>
      </c>
      <c r="Q459" s="3190" t="s">
        <v>4545</v>
      </c>
      <c r="R459" s="3190" t="s">
        <v>4504</v>
      </c>
      <c r="S459" s="3190" t="s">
        <v>3724</v>
      </c>
      <c r="T459" s="3190">
        <v>8</v>
      </c>
      <c r="U459" s="3190">
        <v>-3</v>
      </c>
      <c r="V459" s="3190">
        <v>50.93</v>
      </c>
      <c r="W459" s="3190" t="s">
        <v>4593</v>
      </c>
      <c r="X459" s="3190" t="s">
        <v>4593</v>
      </c>
      <c r="Y459" s="3190">
        <v>3465</v>
      </c>
      <c r="Z459" s="3190">
        <v>17.649100000000001</v>
      </c>
    </row>
    <row r="460" spans="16:26">
      <c r="P460" s="3190">
        <v>279</v>
      </c>
      <c r="Q460" s="3190" t="s">
        <v>4545</v>
      </c>
      <c r="R460" s="3190" t="s">
        <v>4504</v>
      </c>
      <c r="S460" s="3190" t="s">
        <v>3725</v>
      </c>
      <c r="T460" s="3190">
        <v>8</v>
      </c>
      <c r="U460" s="3190">
        <v>-3</v>
      </c>
      <c r="V460" s="3190">
        <v>50.93</v>
      </c>
      <c r="W460" s="3190" t="s">
        <v>4593</v>
      </c>
      <c r="X460" s="3190" t="s">
        <v>4593</v>
      </c>
      <c r="Y460" s="3190">
        <v>3465</v>
      </c>
      <c r="Z460" s="3190">
        <v>17.649100000000001</v>
      </c>
    </row>
    <row r="461" spans="16:26">
      <c r="P461" s="3190">
        <v>280</v>
      </c>
      <c r="Q461" s="3190" t="s">
        <v>4545</v>
      </c>
      <c r="R461" s="3190" t="s">
        <v>4504</v>
      </c>
      <c r="S461" s="3190" t="s">
        <v>3726</v>
      </c>
      <c r="T461" s="3190">
        <v>8</v>
      </c>
      <c r="U461" s="3190">
        <v>-3</v>
      </c>
      <c r="V461" s="3190">
        <v>50.93</v>
      </c>
      <c r="W461" s="3190" t="s">
        <v>4593</v>
      </c>
      <c r="X461" s="3190" t="s">
        <v>4593</v>
      </c>
      <c r="Y461" s="3190">
        <v>3465</v>
      </c>
      <c r="Z461" s="3190">
        <v>17.649100000000001</v>
      </c>
    </row>
    <row r="462" spans="16:26">
      <c r="P462" s="3190">
        <v>281</v>
      </c>
      <c r="Q462" s="3190" t="s">
        <v>4545</v>
      </c>
      <c r="R462" s="3190" t="s">
        <v>4504</v>
      </c>
      <c r="S462" s="3190" t="s">
        <v>3727</v>
      </c>
      <c r="T462" s="3190">
        <v>8</v>
      </c>
      <c r="U462" s="3190">
        <v>-3</v>
      </c>
      <c r="V462" s="3190">
        <v>50.93</v>
      </c>
      <c r="W462" s="3190" t="s">
        <v>4593</v>
      </c>
      <c r="X462" s="3190" t="s">
        <v>4593</v>
      </c>
      <c r="Y462" s="3190">
        <v>3465</v>
      </c>
      <c r="Z462" s="3190">
        <v>17.649100000000001</v>
      </c>
    </row>
    <row r="463" spans="16:26">
      <c r="P463" s="3190">
        <v>282</v>
      </c>
      <c r="Q463" s="3190" t="s">
        <v>4545</v>
      </c>
      <c r="R463" s="3190" t="s">
        <v>4504</v>
      </c>
      <c r="S463" s="3190" t="s">
        <v>3728</v>
      </c>
      <c r="T463" s="3190">
        <v>8</v>
      </c>
      <c r="U463" s="3190">
        <v>-3</v>
      </c>
      <c r="V463" s="3190">
        <v>50.93</v>
      </c>
      <c r="W463" s="3190" t="s">
        <v>4593</v>
      </c>
      <c r="X463" s="3190" t="s">
        <v>4593</v>
      </c>
      <c r="Y463" s="3190">
        <v>3465</v>
      </c>
      <c r="Z463" s="3190">
        <v>17.649100000000001</v>
      </c>
    </row>
    <row r="464" spans="16:26">
      <c r="P464" s="3190">
        <v>283</v>
      </c>
      <c r="Q464" s="3190" t="s">
        <v>4545</v>
      </c>
      <c r="R464" s="3190" t="s">
        <v>4504</v>
      </c>
      <c r="S464" s="3190" t="s">
        <v>3729</v>
      </c>
      <c r="T464" s="3190">
        <v>8</v>
      </c>
      <c r="U464" s="3190">
        <v>-3</v>
      </c>
      <c r="V464" s="3190">
        <v>50.93</v>
      </c>
      <c r="W464" s="3190" t="s">
        <v>4593</v>
      </c>
      <c r="X464" s="3190" t="s">
        <v>4593</v>
      </c>
      <c r="Y464" s="3190">
        <v>3465</v>
      </c>
      <c r="Z464" s="3190">
        <v>17.649100000000001</v>
      </c>
    </row>
    <row r="465" spans="16:26">
      <c r="P465" s="3190">
        <v>284</v>
      </c>
      <c r="Q465" s="3190" t="s">
        <v>4545</v>
      </c>
      <c r="R465" s="3190" t="s">
        <v>4504</v>
      </c>
      <c r="S465" s="3190" t="s">
        <v>3730</v>
      </c>
      <c r="T465" s="3190">
        <v>8</v>
      </c>
      <c r="U465" s="3190">
        <v>-3</v>
      </c>
      <c r="V465" s="3190">
        <v>89.38</v>
      </c>
      <c r="W465" s="3190" t="s">
        <v>4593</v>
      </c>
      <c r="X465" s="3190" t="s">
        <v>4593</v>
      </c>
      <c r="Y465" s="3190">
        <v>2567</v>
      </c>
      <c r="Z465" s="3190">
        <v>22.9438</v>
      </c>
    </row>
    <row r="466" spans="16:26">
      <c r="P466" s="3190">
        <v>285</v>
      </c>
      <c r="Q466" s="3190" t="s">
        <v>4545</v>
      </c>
      <c r="R466" s="3190" t="s">
        <v>4504</v>
      </c>
      <c r="S466" s="3190" t="s">
        <v>3731</v>
      </c>
      <c r="T466" s="3190">
        <v>8</v>
      </c>
      <c r="U466" s="3190">
        <v>-3</v>
      </c>
      <c r="V466" s="3190">
        <v>59.92</v>
      </c>
      <c r="W466" s="3190" t="s">
        <v>4593</v>
      </c>
      <c r="X466" s="3190" t="s">
        <v>4593</v>
      </c>
      <c r="Y466" s="3190">
        <v>2945</v>
      </c>
      <c r="Z466" s="3190">
        <v>17.649100000000001</v>
      </c>
    </row>
    <row r="467" spans="16:26">
      <c r="P467" s="3190">
        <v>286</v>
      </c>
      <c r="Q467" s="3190" t="s">
        <v>4545</v>
      </c>
      <c r="R467" s="3190" t="s">
        <v>4504</v>
      </c>
      <c r="S467" s="3190" t="s">
        <v>3732</v>
      </c>
      <c r="T467" s="3190">
        <v>8</v>
      </c>
      <c r="U467" s="3190">
        <v>-3</v>
      </c>
      <c r="V467" s="3190">
        <v>59.92</v>
      </c>
      <c r="W467" s="3190" t="s">
        <v>4593</v>
      </c>
      <c r="X467" s="3190" t="s">
        <v>4593</v>
      </c>
      <c r="Y467" s="3190">
        <v>2945</v>
      </c>
      <c r="Z467" s="3190">
        <v>17.649100000000001</v>
      </c>
    </row>
    <row r="468" spans="16:26">
      <c r="P468" s="3190">
        <v>287</v>
      </c>
      <c r="Q468" s="3190" t="s">
        <v>4545</v>
      </c>
      <c r="R468" s="3190" t="s">
        <v>4504</v>
      </c>
      <c r="S468" s="3190" t="s">
        <v>3733</v>
      </c>
      <c r="T468" s="3190">
        <v>8</v>
      </c>
      <c r="U468" s="3190">
        <v>-3</v>
      </c>
      <c r="V468" s="3190">
        <v>52.93</v>
      </c>
      <c r="W468" s="3190" t="s">
        <v>4593</v>
      </c>
      <c r="X468" s="3190" t="s">
        <v>4593</v>
      </c>
      <c r="Y468" s="3190">
        <v>3334</v>
      </c>
      <c r="Z468" s="3190">
        <v>17.649100000000001</v>
      </c>
    </row>
    <row r="469" spans="16:26">
      <c r="P469" s="3190">
        <v>288</v>
      </c>
      <c r="Q469" s="3190" t="s">
        <v>4545</v>
      </c>
      <c r="R469" s="3190" t="s">
        <v>4504</v>
      </c>
      <c r="S469" s="3190" t="s">
        <v>3734</v>
      </c>
      <c r="T469" s="3190">
        <v>8</v>
      </c>
      <c r="U469" s="3190">
        <v>-3</v>
      </c>
      <c r="V469" s="3190">
        <v>52.93</v>
      </c>
      <c r="W469" s="3190" t="s">
        <v>4593</v>
      </c>
      <c r="X469" s="3190" t="s">
        <v>4593</v>
      </c>
      <c r="Y469" s="3190">
        <v>3334</v>
      </c>
      <c r="Z469" s="3190">
        <v>17.649100000000001</v>
      </c>
    </row>
    <row r="470" spans="16:26">
      <c r="P470" s="3190">
        <v>289</v>
      </c>
      <c r="Q470" s="3190" t="s">
        <v>4545</v>
      </c>
      <c r="R470" s="3190" t="s">
        <v>4504</v>
      </c>
      <c r="S470" s="3190" t="s">
        <v>3735</v>
      </c>
      <c r="T470" s="3190">
        <v>8</v>
      </c>
      <c r="U470" s="3190">
        <v>-3</v>
      </c>
      <c r="V470" s="3190">
        <v>59.92</v>
      </c>
      <c r="W470" s="3190" t="s">
        <v>4593</v>
      </c>
      <c r="X470" s="3190" t="s">
        <v>4593</v>
      </c>
      <c r="Y470" s="3190">
        <v>2945</v>
      </c>
      <c r="Z470" s="3190">
        <v>17.649100000000001</v>
      </c>
    </row>
    <row r="471" spans="16:26">
      <c r="P471" s="3190">
        <v>290</v>
      </c>
      <c r="Q471" s="3190" t="s">
        <v>4545</v>
      </c>
      <c r="R471" s="3190" t="s">
        <v>4504</v>
      </c>
      <c r="S471" s="3190" t="s">
        <v>3736</v>
      </c>
      <c r="T471" s="3190">
        <v>8</v>
      </c>
      <c r="U471" s="3190">
        <v>-3</v>
      </c>
      <c r="V471" s="3190">
        <v>52.93</v>
      </c>
      <c r="W471" s="3190" t="s">
        <v>4593</v>
      </c>
      <c r="X471" s="3190" t="s">
        <v>4593</v>
      </c>
      <c r="Y471" s="3190">
        <v>3334</v>
      </c>
      <c r="Z471" s="3190">
        <v>17.649100000000001</v>
      </c>
    </row>
    <row r="472" spans="16:26">
      <c r="P472" s="3190">
        <v>291</v>
      </c>
      <c r="Q472" s="3190" t="s">
        <v>4545</v>
      </c>
      <c r="R472" s="3190" t="s">
        <v>4504</v>
      </c>
      <c r="S472" s="3190" t="s">
        <v>3737</v>
      </c>
      <c r="T472" s="3190">
        <v>8</v>
      </c>
      <c r="U472" s="3190">
        <v>-3</v>
      </c>
      <c r="V472" s="3190">
        <v>52.93</v>
      </c>
      <c r="W472" s="3190" t="s">
        <v>4593</v>
      </c>
      <c r="X472" s="3190" t="s">
        <v>4593</v>
      </c>
      <c r="Y472" s="3190">
        <v>3334</v>
      </c>
      <c r="Z472" s="3190">
        <v>17.649100000000001</v>
      </c>
    </row>
    <row r="473" spans="16:26">
      <c r="P473" s="3190">
        <v>292</v>
      </c>
      <c r="Q473" s="3190" t="s">
        <v>4545</v>
      </c>
      <c r="R473" s="3190" t="s">
        <v>4504</v>
      </c>
      <c r="S473" s="3190" t="s">
        <v>3738</v>
      </c>
      <c r="T473" s="3190">
        <v>8</v>
      </c>
      <c r="U473" s="3190">
        <v>-3</v>
      </c>
      <c r="V473" s="3190">
        <v>52.93</v>
      </c>
      <c r="W473" s="3190" t="s">
        <v>4593</v>
      </c>
      <c r="X473" s="3190" t="s">
        <v>4593</v>
      </c>
      <c r="Y473" s="3190">
        <v>3334</v>
      </c>
      <c r="Z473" s="3190">
        <v>17.649100000000001</v>
      </c>
    </row>
    <row r="474" spans="16:26">
      <c r="P474" s="3190">
        <v>293</v>
      </c>
      <c r="Q474" s="3190" t="s">
        <v>4545</v>
      </c>
      <c r="R474" s="3190" t="s">
        <v>4504</v>
      </c>
      <c r="S474" s="3190" t="s">
        <v>3739</v>
      </c>
      <c r="T474" s="3190">
        <v>8</v>
      </c>
      <c r="U474" s="3190">
        <v>-3</v>
      </c>
      <c r="V474" s="3190">
        <v>52.93</v>
      </c>
      <c r="W474" s="3190" t="s">
        <v>4593</v>
      </c>
      <c r="X474" s="3190" t="s">
        <v>4593</v>
      </c>
      <c r="Y474" s="3190">
        <v>3334</v>
      </c>
      <c r="Z474" s="3190">
        <v>17.649100000000001</v>
      </c>
    </row>
    <row r="475" spans="16:26">
      <c r="P475" s="3190">
        <v>294</v>
      </c>
      <c r="Q475" s="3190" t="s">
        <v>4545</v>
      </c>
      <c r="R475" s="3190" t="s">
        <v>4504</v>
      </c>
      <c r="S475" s="3190" t="s">
        <v>3740</v>
      </c>
      <c r="T475" s="3190">
        <v>8</v>
      </c>
      <c r="U475" s="3190">
        <v>-3</v>
      </c>
      <c r="V475" s="3190">
        <v>59.92</v>
      </c>
      <c r="W475" s="3190" t="s">
        <v>4593</v>
      </c>
      <c r="X475" s="3190" t="s">
        <v>4593</v>
      </c>
      <c r="Y475" s="3190">
        <v>2945</v>
      </c>
      <c r="Z475" s="3190">
        <v>17.649100000000001</v>
      </c>
    </row>
    <row r="476" spans="16:26">
      <c r="P476" s="3190">
        <v>295</v>
      </c>
      <c r="Q476" s="3190" t="s">
        <v>4545</v>
      </c>
      <c r="R476" s="3190" t="s">
        <v>4504</v>
      </c>
      <c r="S476" s="3190" t="s">
        <v>3741</v>
      </c>
      <c r="T476" s="3190">
        <v>8</v>
      </c>
      <c r="U476" s="3190">
        <v>-3</v>
      </c>
      <c r="V476" s="3190">
        <v>50.93</v>
      </c>
      <c r="W476" s="3190" t="s">
        <v>4593</v>
      </c>
      <c r="X476" s="3190" t="s">
        <v>4593</v>
      </c>
      <c r="Y476" s="3190">
        <v>3465</v>
      </c>
      <c r="Z476" s="3190">
        <v>17.649100000000001</v>
      </c>
    </row>
    <row r="477" spans="16:26">
      <c r="P477" s="3190">
        <v>296</v>
      </c>
      <c r="Q477" s="3190" t="s">
        <v>4545</v>
      </c>
      <c r="R477" s="3190" t="s">
        <v>4504</v>
      </c>
      <c r="S477" s="3190" t="s">
        <v>3742</v>
      </c>
      <c r="T477" s="3190">
        <v>8</v>
      </c>
      <c r="U477" s="3190">
        <v>-3</v>
      </c>
      <c r="V477" s="3190">
        <v>52.93</v>
      </c>
      <c r="W477" s="3190" t="s">
        <v>4593</v>
      </c>
      <c r="X477" s="3190" t="s">
        <v>4593</v>
      </c>
      <c r="Y477" s="3190">
        <v>3334</v>
      </c>
      <c r="Z477" s="3190">
        <v>17.649100000000001</v>
      </c>
    </row>
    <row r="478" spans="16:26">
      <c r="P478" s="3190">
        <v>297</v>
      </c>
      <c r="Q478" s="3190" t="s">
        <v>4545</v>
      </c>
      <c r="R478" s="3190" t="s">
        <v>4504</v>
      </c>
      <c r="S478" s="3190" t="s">
        <v>3743</v>
      </c>
      <c r="T478" s="3190">
        <v>8</v>
      </c>
      <c r="U478" s="3190">
        <v>-3</v>
      </c>
      <c r="V478" s="3190">
        <v>52.93</v>
      </c>
      <c r="W478" s="3190" t="s">
        <v>4593</v>
      </c>
      <c r="X478" s="3190" t="s">
        <v>4593</v>
      </c>
      <c r="Y478" s="3190">
        <v>3334</v>
      </c>
      <c r="Z478" s="3190">
        <v>17.649100000000001</v>
      </c>
    </row>
    <row r="479" spans="16:26">
      <c r="P479" s="3190">
        <v>298</v>
      </c>
      <c r="Q479" s="3190" t="s">
        <v>4545</v>
      </c>
      <c r="R479" s="3190" t="s">
        <v>4504</v>
      </c>
      <c r="S479" s="3190" t="s">
        <v>3744</v>
      </c>
      <c r="T479" s="3190">
        <v>8</v>
      </c>
      <c r="U479" s="3190">
        <v>-3</v>
      </c>
      <c r="V479" s="3190">
        <v>52.93</v>
      </c>
      <c r="W479" s="3190" t="s">
        <v>4593</v>
      </c>
      <c r="X479" s="3190" t="s">
        <v>4593</v>
      </c>
      <c r="Y479" s="3190">
        <v>3334</v>
      </c>
      <c r="Z479" s="3190">
        <v>17.649100000000001</v>
      </c>
    </row>
    <row r="480" spans="16:26">
      <c r="P480" s="3190">
        <v>299</v>
      </c>
      <c r="Q480" s="3190" t="s">
        <v>4545</v>
      </c>
      <c r="R480" s="3190" t="s">
        <v>4504</v>
      </c>
      <c r="S480" s="3190" t="s">
        <v>3745</v>
      </c>
      <c r="T480" s="3190">
        <v>8</v>
      </c>
      <c r="U480" s="3190">
        <v>-3</v>
      </c>
      <c r="V480" s="3190">
        <v>52.93</v>
      </c>
      <c r="W480" s="3190" t="s">
        <v>4593</v>
      </c>
      <c r="X480" s="3190" t="s">
        <v>4593</v>
      </c>
      <c r="Y480" s="3190">
        <v>3334</v>
      </c>
      <c r="Z480" s="3190">
        <v>17.649100000000001</v>
      </c>
    </row>
    <row r="481" spans="16:26">
      <c r="P481" s="3190">
        <v>300</v>
      </c>
      <c r="Q481" s="3190" t="s">
        <v>4545</v>
      </c>
      <c r="R481" s="3190" t="s">
        <v>4504</v>
      </c>
      <c r="S481" s="3190" t="s">
        <v>3746</v>
      </c>
      <c r="T481" s="3190">
        <v>8</v>
      </c>
      <c r="U481" s="3190">
        <v>-3</v>
      </c>
      <c r="V481" s="3190">
        <v>52.93</v>
      </c>
      <c r="W481" s="3190" t="s">
        <v>4593</v>
      </c>
      <c r="X481" s="3190" t="s">
        <v>4593</v>
      </c>
      <c r="Y481" s="3190">
        <v>3334</v>
      </c>
      <c r="Z481" s="3190">
        <v>17.649100000000001</v>
      </c>
    </row>
    <row r="482" spans="16:26">
      <c r="P482" s="3190">
        <v>301</v>
      </c>
      <c r="Q482" s="3190" t="s">
        <v>4545</v>
      </c>
      <c r="R482" s="3190" t="s">
        <v>4504</v>
      </c>
      <c r="S482" s="3190" t="s">
        <v>3747</v>
      </c>
      <c r="T482" s="3190">
        <v>8</v>
      </c>
      <c r="U482" s="3190">
        <v>-3</v>
      </c>
      <c r="V482" s="3190">
        <v>52.93</v>
      </c>
      <c r="W482" s="3190" t="s">
        <v>4593</v>
      </c>
      <c r="X482" s="3190" t="s">
        <v>4593</v>
      </c>
      <c r="Y482" s="3190">
        <v>3334</v>
      </c>
      <c r="Z482" s="3190">
        <v>17.649100000000001</v>
      </c>
    </row>
    <row r="483" spans="16:26">
      <c r="P483" s="3190">
        <v>302</v>
      </c>
      <c r="Q483" s="3190" t="s">
        <v>4545</v>
      </c>
      <c r="R483" s="3190" t="s">
        <v>4504</v>
      </c>
      <c r="S483" s="3190" t="s">
        <v>3748</v>
      </c>
      <c r="T483" s="3190">
        <v>8</v>
      </c>
      <c r="U483" s="3190">
        <v>-3</v>
      </c>
      <c r="V483" s="3190">
        <v>52.93</v>
      </c>
      <c r="W483" s="3190" t="s">
        <v>4593</v>
      </c>
      <c r="X483" s="3190" t="s">
        <v>4593</v>
      </c>
      <c r="Y483" s="3190">
        <v>3334</v>
      </c>
      <c r="Z483" s="3190">
        <v>17.649100000000001</v>
      </c>
    </row>
    <row r="484" spans="16:26">
      <c r="P484" s="3190">
        <v>303</v>
      </c>
      <c r="Q484" s="3190" t="s">
        <v>4545</v>
      </c>
      <c r="R484" s="3190" t="s">
        <v>4504</v>
      </c>
      <c r="S484" s="3190" t="s">
        <v>3749</v>
      </c>
      <c r="T484" s="3190">
        <v>8</v>
      </c>
      <c r="U484" s="3190">
        <v>-3</v>
      </c>
      <c r="V484" s="3190">
        <v>52.93</v>
      </c>
      <c r="W484" s="3190" t="s">
        <v>4593</v>
      </c>
      <c r="X484" s="3190" t="s">
        <v>4593</v>
      </c>
      <c r="Y484" s="3190">
        <v>3334</v>
      </c>
      <c r="Z484" s="3190">
        <v>17.649100000000001</v>
      </c>
    </row>
    <row r="485" spans="16:26">
      <c r="P485" s="3190">
        <v>304</v>
      </c>
      <c r="Q485" s="3190" t="s">
        <v>4545</v>
      </c>
      <c r="R485" s="3190" t="s">
        <v>4504</v>
      </c>
      <c r="S485" s="3190" t="s">
        <v>3750</v>
      </c>
      <c r="T485" s="3190">
        <v>8</v>
      </c>
      <c r="U485" s="3190">
        <v>-3</v>
      </c>
      <c r="V485" s="3190">
        <v>52.93</v>
      </c>
      <c r="W485" s="3190" t="s">
        <v>4593</v>
      </c>
      <c r="X485" s="3190" t="s">
        <v>4593</v>
      </c>
      <c r="Y485" s="3190">
        <v>3334</v>
      </c>
      <c r="Z485" s="3190">
        <v>17.649100000000001</v>
      </c>
    </row>
    <row r="486" spans="16:26">
      <c r="P486" s="3190">
        <v>305</v>
      </c>
      <c r="Q486" s="3190" t="s">
        <v>4545</v>
      </c>
      <c r="R486" s="3190" t="s">
        <v>4504</v>
      </c>
      <c r="S486" s="3190" t="s">
        <v>3751</v>
      </c>
      <c r="T486" s="3190">
        <v>8</v>
      </c>
      <c r="U486" s="3190">
        <v>-3</v>
      </c>
      <c r="V486" s="3190">
        <v>52.93</v>
      </c>
      <c r="W486" s="3190" t="s">
        <v>4593</v>
      </c>
      <c r="X486" s="3190" t="s">
        <v>4593</v>
      </c>
      <c r="Y486" s="3190">
        <v>3334</v>
      </c>
      <c r="Z486" s="3190">
        <v>17.649100000000001</v>
      </c>
    </row>
    <row r="487" spans="16:26">
      <c r="P487" s="3190">
        <v>306</v>
      </c>
      <c r="Q487" s="3190" t="s">
        <v>4545</v>
      </c>
      <c r="R487" s="3190" t="s">
        <v>4504</v>
      </c>
      <c r="S487" s="3190" t="s">
        <v>3752</v>
      </c>
      <c r="T487" s="3190">
        <v>8</v>
      </c>
      <c r="U487" s="3190">
        <v>-3</v>
      </c>
      <c r="V487" s="3190">
        <v>52.93</v>
      </c>
      <c r="W487" s="3190" t="s">
        <v>4593</v>
      </c>
      <c r="X487" s="3190" t="s">
        <v>4593</v>
      </c>
      <c r="Y487" s="3190">
        <v>3334</v>
      </c>
      <c r="Z487" s="3190">
        <v>17.649100000000001</v>
      </c>
    </row>
    <row r="488" spans="16:26">
      <c r="P488" s="3190">
        <v>307</v>
      </c>
      <c r="Q488" s="3190" t="s">
        <v>4545</v>
      </c>
      <c r="R488" s="3190" t="s">
        <v>4504</v>
      </c>
      <c r="S488" s="3190" t="s">
        <v>3753</v>
      </c>
      <c r="T488" s="3190">
        <v>8</v>
      </c>
      <c r="U488" s="3190">
        <v>-3</v>
      </c>
      <c r="V488" s="3190">
        <v>52.93</v>
      </c>
      <c r="W488" s="3190" t="s">
        <v>4593</v>
      </c>
      <c r="X488" s="3190" t="s">
        <v>4593</v>
      </c>
      <c r="Y488" s="3190">
        <v>3334</v>
      </c>
      <c r="Z488" s="3190">
        <v>17.649100000000001</v>
      </c>
    </row>
    <row r="489" spans="16:26">
      <c r="P489" s="3190">
        <v>308</v>
      </c>
      <c r="Q489" s="3190" t="s">
        <v>4545</v>
      </c>
      <c r="R489" s="3190" t="s">
        <v>4504</v>
      </c>
      <c r="S489" s="3190" t="s">
        <v>3754</v>
      </c>
      <c r="T489" s="3190">
        <v>8</v>
      </c>
      <c r="U489" s="3190">
        <v>-3</v>
      </c>
      <c r="V489" s="3190">
        <v>52.93</v>
      </c>
      <c r="W489" s="3190" t="s">
        <v>4593</v>
      </c>
      <c r="X489" s="3190" t="s">
        <v>4593</v>
      </c>
      <c r="Y489" s="3190">
        <v>3334</v>
      </c>
      <c r="Z489" s="3190">
        <v>17.649100000000001</v>
      </c>
    </row>
    <row r="490" spans="16:26">
      <c r="P490" s="3190">
        <v>309</v>
      </c>
      <c r="Q490" s="3190" t="s">
        <v>4545</v>
      </c>
      <c r="R490" s="3190" t="s">
        <v>4504</v>
      </c>
      <c r="S490" s="3190" t="s">
        <v>3755</v>
      </c>
      <c r="T490" s="3190">
        <v>8</v>
      </c>
      <c r="U490" s="3190">
        <v>-3</v>
      </c>
      <c r="V490" s="3190">
        <v>52.93</v>
      </c>
      <c r="W490" s="3190" t="s">
        <v>4593</v>
      </c>
      <c r="X490" s="3190" t="s">
        <v>4593</v>
      </c>
      <c r="Y490" s="3190">
        <v>3334</v>
      </c>
      <c r="Z490" s="3190">
        <v>17.649100000000001</v>
      </c>
    </row>
    <row r="491" spans="16:26">
      <c r="P491" s="3190">
        <v>310</v>
      </c>
      <c r="Q491" s="3190" t="s">
        <v>4545</v>
      </c>
      <c r="R491" s="3190" t="s">
        <v>4504</v>
      </c>
      <c r="S491" s="3190" t="s">
        <v>3756</v>
      </c>
      <c r="T491" s="3190">
        <v>8</v>
      </c>
      <c r="U491" s="3190">
        <v>-3</v>
      </c>
      <c r="V491" s="3190">
        <v>50.93</v>
      </c>
      <c r="W491" s="3190" t="s">
        <v>4593</v>
      </c>
      <c r="X491" s="3190" t="s">
        <v>4593</v>
      </c>
      <c r="Y491" s="3190">
        <v>3465</v>
      </c>
      <c r="Z491" s="3190">
        <v>17.649100000000001</v>
      </c>
    </row>
    <row r="492" spans="16:26">
      <c r="P492" s="3190">
        <v>311</v>
      </c>
      <c r="Q492" s="3190" t="s">
        <v>4545</v>
      </c>
      <c r="R492" s="3190" t="s">
        <v>4504</v>
      </c>
      <c r="S492" s="3190" t="s">
        <v>3757</v>
      </c>
      <c r="T492" s="3190">
        <v>8</v>
      </c>
      <c r="U492" s="3190">
        <v>-3</v>
      </c>
      <c r="V492" s="3190">
        <v>50.93</v>
      </c>
      <c r="W492" s="3190" t="s">
        <v>4593</v>
      </c>
      <c r="X492" s="3190" t="s">
        <v>4593</v>
      </c>
      <c r="Y492" s="3190">
        <v>3465</v>
      </c>
      <c r="Z492" s="3190">
        <v>17.649100000000001</v>
      </c>
    </row>
    <row r="493" spans="16:26">
      <c r="P493" s="3190">
        <v>312</v>
      </c>
      <c r="Q493" s="3190" t="s">
        <v>4545</v>
      </c>
      <c r="R493" s="3190" t="s">
        <v>4504</v>
      </c>
      <c r="S493" s="3190" t="s">
        <v>3758</v>
      </c>
      <c r="T493" s="3190">
        <v>8</v>
      </c>
      <c r="U493" s="3190">
        <v>-3</v>
      </c>
      <c r="V493" s="3190">
        <v>50.93</v>
      </c>
      <c r="W493" s="3190" t="s">
        <v>4593</v>
      </c>
      <c r="X493" s="3190" t="s">
        <v>4593</v>
      </c>
      <c r="Y493" s="3190">
        <v>3465</v>
      </c>
      <c r="Z493" s="3190">
        <v>17.649100000000001</v>
      </c>
    </row>
    <row r="494" spans="16:26">
      <c r="P494" s="3190">
        <v>313</v>
      </c>
      <c r="Q494" s="3190" t="s">
        <v>4545</v>
      </c>
      <c r="R494" s="3190" t="s">
        <v>4504</v>
      </c>
      <c r="S494" s="3190" t="s">
        <v>3759</v>
      </c>
      <c r="T494" s="3190">
        <v>8</v>
      </c>
      <c r="U494" s="3190">
        <v>-3</v>
      </c>
      <c r="V494" s="3190">
        <v>50.93</v>
      </c>
      <c r="W494" s="3190" t="s">
        <v>4593</v>
      </c>
      <c r="X494" s="3190" t="s">
        <v>4593</v>
      </c>
      <c r="Y494" s="3190">
        <v>3465</v>
      </c>
      <c r="Z494" s="3190">
        <v>17.649100000000001</v>
      </c>
    </row>
    <row r="495" spans="16:26">
      <c r="P495" s="3190">
        <v>314</v>
      </c>
      <c r="Q495" s="3190" t="s">
        <v>4545</v>
      </c>
      <c r="R495" s="3190" t="s">
        <v>4504</v>
      </c>
      <c r="S495" s="3190" t="s">
        <v>3760</v>
      </c>
      <c r="T495" s="3190">
        <v>8</v>
      </c>
      <c r="U495" s="3190">
        <v>-3</v>
      </c>
      <c r="V495" s="3190">
        <v>50.93</v>
      </c>
      <c r="W495" s="3190" t="s">
        <v>4593</v>
      </c>
      <c r="X495" s="3190" t="s">
        <v>4593</v>
      </c>
      <c r="Y495" s="3190">
        <v>3465</v>
      </c>
      <c r="Z495" s="3190">
        <v>17.649100000000001</v>
      </c>
    </row>
    <row r="496" spans="16:26">
      <c r="P496" s="3190">
        <v>315</v>
      </c>
      <c r="Q496" s="3190" t="s">
        <v>4545</v>
      </c>
      <c r="R496" s="3190" t="s">
        <v>4504</v>
      </c>
      <c r="S496" s="3190" t="s">
        <v>3761</v>
      </c>
      <c r="T496" s="3190">
        <v>8</v>
      </c>
      <c r="U496" s="3190">
        <v>-3</v>
      </c>
      <c r="V496" s="3190">
        <v>50.93</v>
      </c>
      <c r="W496" s="3190" t="s">
        <v>4593</v>
      </c>
      <c r="X496" s="3190" t="s">
        <v>4593</v>
      </c>
      <c r="Y496" s="3190">
        <v>3465</v>
      </c>
      <c r="Z496" s="3190">
        <v>17.649100000000001</v>
      </c>
    </row>
    <row r="497" spans="16:26">
      <c r="P497" s="3190">
        <v>316</v>
      </c>
      <c r="Q497" s="3190" t="s">
        <v>4545</v>
      </c>
      <c r="R497" s="3190" t="s">
        <v>4504</v>
      </c>
      <c r="S497" s="3190" t="s">
        <v>3762</v>
      </c>
      <c r="T497" s="3190">
        <v>8</v>
      </c>
      <c r="U497" s="3190">
        <v>-3</v>
      </c>
      <c r="V497" s="3190">
        <v>50.93</v>
      </c>
      <c r="W497" s="3190" t="s">
        <v>4593</v>
      </c>
      <c r="X497" s="3190" t="s">
        <v>4593</v>
      </c>
      <c r="Y497" s="3190">
        <v>3465</v>
      </c>
      <c r="Z497" s="3190">
        <v>17.649100000000001</v>
      </c>
    </row>
    <row r="498" spans="16:26">
      <c r="P498" s="3190">
        <v>317</v>
      </c>
      <c r="Q498" s="3190" t="s">
        <v>4545</v>
      </c>
      <c r="R498" s="3190" t="s">
        <v>4504</v>
      </c>
      <c r="S498" s="3190" t="s">
        <v>3763</v>
      </c>
      <c r="T498" s="3190">
        <v>8</v>
      </c>
      <c r="U498" s="3190">
        <v>-3</v>
      </c>
      <c r="V498" s="3190">
        <v>52.93</v>
      </c>
      <c r="W498" s="3190" t="s">
        <v>4593</v>
      </c>
      <c r="X498" s="3190" t="s">
        <v>4593</v>
      </c>
      <c r="Y498" s="3190">
        <v>3334</v>
      </c>
      <c r="Z498" s="3190">
        <v>17.649100000000001</v>
      </c>
    </row>
    <row r="499" spans="16:26">
      <c r="P499" s="3190">
        <v>318</v>
      </c>
      <c r="Q499" s="3190" t="s">
        <v>4545</v>
      </c>
      <c r="R499" s="3190" t="s">
        <v>4504</v>
      </c>
      <c r="S499" s="3190" t="s">
        <v>3764</v>
      </c>
      <c r="T499" s="3190">
        <v>8</v>
      </c>
      <c r="U499" s="3190">
        <v>-3</v>
      </c>
      <c r="V499" s="3190">
        <v>52.93</v>
      </c>
      <c r="W499" s="3190" t="s">
        <v>4593</v>
      </c>
      <c r="X499" s="3190" t="s">
        <v>4593</v>
      </c>
      <c r="Y499" s="3190">
        <v>3334</v>
      </c>
      <c r="Z499" s="3190">
        <v>17.649100000000001</v>
      </c>
    </row>
    <row r="500" spans="16:26">
      <c r="P500" s="3190">
        <v>319</v>
      </c>
      <c r="Q500" s="3190" t="s">
        <v>4545</v>
      </c>
      <c r="R500" s="3190" t="s">
        <v>4504</v>
      </c>
      <c r="S500" s="3190" t="s">
        <v>3765</v>
      </c>
      <c r="T500" s="3190">
        <v>8</v>
      </c>
      <c r="U500" s="3190">
        <v>-3</v>
      </c>
      <c r="V500" s="3190">
        <v>52.93</v>
      </c>
      <c r="W500" s="3190" t="s">
        <v>4593</v>
      </c>
      <c r="X500" s="3190" t="s">
        <v>4593</v>
      </c>
      <c r="Y500" s="3190">
        <v>3334</v>
      </c>
      <c r="Z500" s="3190">
        <v>17.649100000000001</v>
      </c>
    </row>
    <row r="501" spans="16:26">
      <c r="P501" s="3190">
        <v>320</v>
      </c>
      <c r="Q501" s="3190" t="s">
        <v>4545</v>
      </c>
      <c r="R501" s="3190" t="s">
        <v>4504</v>
      </c>
      <c r="S501" s="3190" t="s">
        <v>3766</v>
      </c>
      <c r="T501" s="3190">
        <v>8</v>
      </c>
      <c r="U501" s="3190">
        <v>-3</v>
      </c>
      <c r="V501" s="3190">
        <v>50.93</v>
      </c>
      <c r="W501" s="3190" t="s">
        <v>4593</v>
      </c>
      <c r="X501" s="3190" t="s">
        <v>4593</v>
      </c>
      <c r="Y501" s="3190">
        <v>3465</v>
      </c>
      <c r="Z501" s="3190">
        <v>17.649100000000001</v>
      </c>
    </row>
    <row r="502" spans="16:26">
      <c r="P502" s="3190">
        <v>321</v>
      </c>
      <c r="Q502" s="3190" t="s">
        <v>4545</v>
      </c>
      <c r="R502" s="3190" t="s">
        <v>4504</v>
      </c>
      <c r="S502" s="3190" t="s">
        <v>3767</v>
      </c>
      <c r="T502" s="3190">
        <v>8</v>
      </c>
      <c r="U502" s="3190">
        <v>-3</v>
      </c>
      <c r="V502" s="3190">
        <v>50.93</v>
      </c>
      <c r="W502" s="3190" t="s">
        <v>4593</v>
      </c>
      <c r="X502" s="3190" t="s">
        <v>4593</v>
      </c>
      <c r="Y502" s="3190">
        <v>3465</v>
      </c>
      <c r="Z502" s="3190">
        <v>17.649100000000001</v>
      </c>
    </row>
    <row r="503" spans="16:26">
      <c r="P503" s="3190">
        <v>322</v>
      </c>
      <c r="Q503" s="3190" t="s">
        <v>4545</v>
      </c>
      <c r="R503" s="3190" t="s">
        <v>4504</v>
      </c>
      <c r="S503" s="3190" t="s">
        <v>3768</v>
      </c>
      <c r="T503" s="3190">
        <v>8</v>
      </c>
      <c r="U503" s="3190">
        <v>-3</v>
      </c>
      <c r="V503" s="3190">
        <v>50.93</v>
      </c>
      <c r="W503" s="3190" t="s">
        <v>4593</v>
      </c>
      <c r="X503" s="3190" t="s">
        <v>4593</v>
      </c>
      <c r="Y503" s="3190">
        <v>3465</v>
      </c>
      <c r="Z503" s="3190">
        <v>17.649100000000001</v>
      </c>
    </row>
    <row r="504" spans="16:26">
      <c r="P504" s="3190">
        <v>323</v>
      </c>
      <c r="Q504" s="3190" t="s">
        <v>4545</v>
      </c>
      <c r="R504" s="3190" t="s">
        <v>4504</v>
      </c>
      <c r="S504" s="3190" t="s">
        <v>3769</v>
      </c>
      <c r="T504" s="3190">
        <v>8</v>
      </c>
      <c r="U504" s="3190">
        <v>-3</v>
      </c>
      <c r="V504" s="3190">
        <v>50.93</v>
      </c>
      <c r="W504" s="3190" t="s">
        <v>4593</v>
      </c>
      <c r="X504" s="3190" t="s">
        <v>4593</v>
      </c>
      <c r="Y504" s="3190">
        <v>3465</v>
      </c>
      <c r="Z504" s="3190">
        <v>17.649100000000001</v>
      </c>
    </row>
    <row r="505" spans="16:26">
      <c r="P505" s="3190">
        <v>324</v>
      </c>
      <c r="Q505" s="3190" t="s">
        <v>4545</v>
      </c>
      <c r="R505" s="3190" t="s">
        <v>4504</v>
      </c>
      <c r="S505" s="3190" t="s">
        <v>3770</v>
      </c>
      <c r="T505" s="3190">
        <v>8</v>
      </c>
      <c r="U505" s="3190">
        <v>-3</v>
      </c>
      <c r="V505" s="3190">
        <v>50.93</v>
      </c>
      <c r="W505" s="3190" t="s">
        <v>4593</v>
      </c>
      <c r="X505" s="3190" t="s">
        <v>4593</v>
      </c>
      <c r="Y505" s="3190">
        <v>3465</v>
      </c>
      <c r="Z505" s="3190">
        <v>17.649100000000001</v>
      </c>
    </row>
    <row r="506" spans="16:26">
      <c r="P506" s="3190">
        <v>325</v>
      </c>
      <c r="Q506" s="3190" t="s">
        <v>4545</v>
      </c>
      <c r="R506" s="3190" t="s">
        <v>4504</v>
      </c>
      <c r="S506" s="3190" t="s">
        <v>3771</v>
      </c>
      <c r="T506" s="3190">
        <v>8</v>
      </c>
      <c r="U506" s="3190">
        <v>-3</v>
      </c>
      <c r="V506" s="3190">
        <v>50.93</v>
      </c>
      <c r="W506" s="3190" t="s">
        <v>4593</v>
      </c>
      <c r="X506" s="3190" t="s">
        <v>4593</v>
      </c>
      <c r="Y506" s="3190">
        <v>3465</v>
      </c>
      <c r="Z506" s="3190">
        <v>17.649100000000001</v>
      </c>
    </row>
    <row r="507" spans="16:26">
      <c r="P507" s="3190">
        <v>326</v>
      </c>
      <c r="Q507" s="3190" t="s">
        <v>4545</v>
      </c>
      <c r="R507" s="3190" t="s">
        <v>4504</v>
      </c>
      <c r="S507" s="3190" t="s">
        <v>3772</v>
      </c>
      <c r="T507" s="3190">
        <v>8</v>
      </c>
      <c r="U507" s="3190">
        <v>-3</v>
      </c>
      <c r="V507" s="3190">
        <v>50.93</v>
      </c>
      <c r="W507" s="3190" t="s">
        <v>4593</v>
      </c>
      <c r="X507" s="3190" t="s">
        <v>4593</v>
      </c>
      <c r="Y507" s="3190">
        <v>3465</v>
      </c>
      <c r="Z507" s="3190">
        <v>17.649100000000001</v>
      </c>
    </row>
    <row r="508" spans="16:26">
      <c r="P508" s="3190">
        <v>327</v>
      </c>
      <c r="Q508" s="3190" t="s">
        <v>4545</v>
      </c>
      <c r="R508" s="3190" t="s">
        <v>4504</v>
      </c>
      <c r="S508" s="3190" t="s">
        <v>3773</v>
      </c>
      <c r="T508" s="3190">
        <v>8</v>
      </c>
      <c r="U508" s="3190">
        <v>-3</v>
      </c>
      <c r="V508" s="3190">
        <v>50.93</v>
      </c>
      <c r="W508" s="3190" t="s">
        <v>4593</v>
      </c>
      <c r="X508" s="3190" t="s">
        <v>4593</v>
      </c>
      <c r="Y508" s="3190">
        <v>3465</v>
      </c>
      <c r="Z508" s="3190">
        <v>17.649100000000001</v>
      </c>
    </row>
    <row r="509" spans="16:26">
      <c r="P509" s="3190">
        <v>328</v>
      </c>
      <c r="Q509" s="3190" t="s">
        <v>4545</v>
      </c>
      <c r="R509" s="3190" t="s">
        <v>4504</v>
      </c>
      <c r="S509" s="3190" t="s">
        <v>3774</v>
      </c>
      <c r="T509" s="3190">
        <v>8</v>
      </c>
      <c r="U509" s="3190">
        <v>-3</v>
      </c>
      <c r="V509" s="3190">
        <v>50.93</v>
      </c>
      <c r="W509" s="3190" t="s">
        <v>4593</v>
      </c>
      <c r="X509" s="3190" t="s">
        <v>4593</v>
      </c>
      <c r="Y509" s="3190">
        <v>3465</v>
      </c>
      <c r="Z509" s="3190">
        <v>17.649100000000001</v>
      </c>
    </row>
    <row r="510" spans="16:26">
      <c r="P510" s="3190">
        <v>329</v>
      </c>
      <c r="Q510" s="3190" t="s">
        <v>4545</v>
      </c>
      <c r="R510" s="3190" t="s">
        <v>4504</v>
      </c>
      <c r="S510" s="3190" t="s">
        <v>3775</v>
      </c>
      <c r="T510" s="3190">
        <v>8</v>
      </c>
      <c r="U510" s="3190">
        <v>-3</v>
      </c>
      <c r="V510" s="3190">
        <v>50.93</v>
      </c>
      <c r="W510" s="3190" t="s">
        <v>4593</v>
      </c>
      <c r="X510" s="3190" t="s">
        <v>4593</v>
      </c>
      <c r="Y510" s="3190">
        <v>3465</v>
      </c>
      <c r="Z510" s="3190">
        <v>17.649100000000001</v>
      </c>
    </row>
    <row r="511" spans="16:26">
      <c r="P511" s="3190">
        <v>330</v>
      </c>
      <c r="Q511" s="3190" t="s">
        <v>4545</v>
      </c>
      <c r="R511" s="3190" t="s">
        <v>4504</v>
      </c>
      <c r="S511" s="3190" t="s">
        <v>3776</v>
      </c>
      <c r="T511" s="3190">
        <v>8</v>
      </c>
      <c r="U511" s="3190">
        <v>-3</v>
      </c>
      <c r="V511" s="3190">
        <v>50.93</v>
      </c>
      <c r="W511" s="3190" t="s">
        <v>4593</v>
      </c>
      <c r="X511" s="3190" t="s">
        <v>4593</v>
      </c>
      <c r="Y511" s="3190">
        <v>3465</v>
      </c>
      <c r="Z511" s="3190">
        <v>17.649100000000001</v>
      </c>
    </row>
    <row r="512" spans="16:26">
      <c r="P512" s="3190">
        <v>331</v>
      </c>
      <c r="Q512" s="3190" t="s">
        <v>4545</v>
      </c>
      <c r="R512" s="3190" t="s">
        <v>4504</v>
      </c>
      <c r="S512" s="3190" t="s">
        <v>3777</v>
      </c>
      <c r="T512" s="3190">
        <v>8</v>
      </c>
      <c r="U512" s="3190">
        <v>-3</v>
      </c>
      <c r="V512" s="3190">
        <v>50.93</v>
      </c>
      <c r="W512" s="3190" t="s">
        <v>4593</v>
      </c>
      <c r="X512" s="3190" t="s">
        <v>4593</v>
      </c>
      <c r="Y512" s="3190">
        <v>3465</v>
      </c>
      <c r="Z512" s="3190">
        <v>17.649100000000001</v>
      </c>
    </row>
    <row r="513" spans="16:26">
      <c r="P513" s="3190">
        <v>332</v>
      </c>
      <c r="Q513" s="3190" t="s">
        <v>4545</v>
      </c>
      <c r="R513" s="3190" t="s">
        <v>4504</v>
      </c>
      <c r="S513" s="3190" t="s">
        <v>3778</v>
      </c>
      <c r="T513" s="3190">
        <v>8</v>
      </c>
      <c r="U513" s="3190">
        <v>-3</v>
      </c>
      <c r="V513" s="3190">
        <v>50.93</v>
      </c>
      <c r="W513" s="3190" t="s">
        <v>4593</v>
      </c>
      <c r="X513" s="3190" t="s">
        <v>4593</v>
      </c>
      <c r="Y513" s="3190">
        <v>3465</v>
      </c>
      <c r="Z513" s="3190">
        <v>17.649100000000001</v>
      </c>
    </row>
    <row r="514" spans="16:26">
      <c r="P514" s="3190">
        <v>333</v>
      </c>
      <c r="Q514" s="3190" t="s">
        <v>4545</v>
      </c>
      <c r="R514" s="3190" t="s">
        <v>4504</v>
      </c>
      <c r="S514" s="3190" t="s">
        <v>3779</v>
      </c>
      <c r="T514" s="3190">
        <v>8</v>
      </c>
      <c r="U514" s="3190">
        <v>-3</v>
      </c>
      <c r="V514" s="3190">
        <v>50.93</v>
      </c>
      <c r="W514" s="3190" t="s">
        <v>4593</v>
      </c>
      <c r="X514" s="3190" t="s">
        <v>4593</v>
      </c>
      <c r="Y514" s="3190">
        <v>3465</v>
      </c>
      <c r="Z514" s="3190">
        <v>17.649100000000001</v>
      </c>
    </row>
    <row r="515" spans="16:26">
      <c r="P515" s="3190">
        <v>334</v>
      </c>
      <c r="Q515" s="3190" t="s">
        <v>4545</v>
      </c>
      <c r="R515" s="3190" t="s">
        <v>4504</v>
      </c>
      <c r="S515" s="3190" t="s">
        <v>3780</v>
      </c>
      <c r="T515" s="3190">
        <v>8</v>
      </c>
      <c r="U515" s="3190">
        <v>-3</v>
      </c>
      <c r="V515" s="3190">
        <v>50.93</v>
      </c>
      <c r="W515" s="3190" t="s">
        <v>4593</v>
      </c>
      <c r="X515" s="3190" t="s">
        <v>4593</v>
      </c>
      <c r="Y515" s="3190">
        <v>3465</v>
      </c>
      <c r="Z515" s="3190">
        <v>17.649100000000001</v>
      </c>
    </row>
    <row r="516" spans="16:26">
      <c r="P516" s="3190">
        <v>335</v>
      </c>
      <c r="Q516" s="3190" t="s">
        <v>4545</v>
      </c>
      <c r="R516" s="3190" t="s">
        <v>4504</v>
      </c>
      <c r="S516" s="3190" t="s">
        <v>3781</v>
      </c>
      <c r="T516" s="3190">
        <v>8</v>
      </c>
      <c r="U516" s="3190">
        <v>-3</v>
      </c>
      <c r="V516" s="3190">
        <v>50.93</v>
      </c>
      <c r="W516" s="3190" t="s">
        <v>4593</v>
      </c>
      <c r="X516" s="3190" t="s">
        <v>4593</v>
      </c>
      <c r="Y516" s="3190">
        <v>3465</v>
      </c>
      <c r="Z516" s="3190">
        <v>17.649100000000001</v>
      </c>
    </row>
    <row r="517" spans="16:26">
      <c r="P517" s="3190">
        <v>336</v>
      </c>
      <c r="Q517" s="3190" t="s">
        <v>4545</v>
      </c>
      <c r="R517" s="3190" t="s">
        <v>4504</v>
      </c>
      <c r="S517" s="3190" t="s">
        <v>3782</v>
      </c>
      <c r="T517" s="3190">
        <v>8</v>
      </c>
      <c r="U517" s="3190">
        <v>-3</v>
      </c>
      <c r="V517" s="3190">
        <v>50.93</v>
      </c>
      <c r="W517" s="3190" t="s">
        <v>4593</v>
      </c>
      <c r="X517" s="3190" t="s">
        <v>4593</v>
      </c>
      <c r="Y517" s="3190">
        <v>3465</v>
      </c>
      <c r="Z517" s="3190">
        <v>17.649100000000001</v>
      </c>
    </row>
    <row r="518" spans="16:26">
      <c r="P518" s="3190">
        <v>337</v>
      </c>
      <c r="Q518" s="3190" t="s">
        <v>4545</v>
      </c>
      <c r="R518" s="3190" t="s">
        <v>4504</v>
      </c>
      <c r="S518" s="3190" t="s">
        <v>3783</v>
      </c>
      <c r="T518" s="3190">
        <v>8</v>
      </c>
      <c r="U518" s="3190">
        <v>-3</v>
      </c>
      <c r="V518" s="3190">
        <v>50.93</v>
      </c>
      <c r="W518" s="3190" t="s">
        <v>4593</v>
      </c>
      <c r="X518" s="3190" t="s">
        <v>4593</v>
      </c>
      <c r="Y518" s="3190">
        <v>3465</v>
      </c>
      <c r="Z518" s="3190">
        <v>17.649100000000001</v>
      </c>
    </row>
    <row r="519" spans="16:26">
      <c r="P519" s="3190">
        <v>338</v>
      </c>
      <c r="Q519" s="3190" t="s">
        <v>4545</v>
      </c>
      <c r="R519" s="3190" t="s">
        <v>4504</v>
      </c>
      <c r="S519" s="3190" t="s">
        <v>3784</v>
      </c>
      <c r="T519" s="3190">
        <v>8</v>
      </c>
      <c r="U519" s="3190">
        <v>-3</v>
      </c>
      <c r="V519" s="3190">
        <v>50.93</v>
      </c>
      <c r="W519" s="3190" t="s">
        <v>4593</v>
      </c>
      <c r="X519" s="3190" t="s">
        <v>4593</v>
      </c>
      <c r="Y519" s="3190">
        <v>3465</v>
      </c>
      <c r="Z519" s="3190">
        <v>17.649100000000001</v>
      </c>
    </row>
    <row r="520" spans="16:26">
      <c r="P520" s="3190">
        <v>339</v>
      </c>
      <c r="Q520" s="3190" t="s">
        <v>4545</v>
      </c>
      <c r="R520" s="3190" t="s">
        <v>4504</v>
      </c>
      <c r="S520" s="3190" t="s">
        <v>3785</v>
      </c>
      <c r="T520" s="3190">
        <v>8</v>
      </c>
      <c r="U520" s="3190">
        <v>-3</v>
      </c>
      <c r="V520" s="3190">
        <v>50.93</v>
      </c>
      <c r="W520" s="3190" t="s">
        <v>4593</v>
      </c>
      <c r="X520" s="3190" t="s">
        <v>4593</v>
      </c>
      <c r="Y520" s="3190">
        <v>3465</v>
      </c>
      <c r="Z520" s="3190">
        <v>17.649100000000001</v>
      </c>
    </row>
    <row r="521" spans="16:26">
      <c r="P521" s="3190">
        <v>340</v>
      </c>
      <c r="Q521" s="3190" t="s">
        <v>4545</v>
      </c>
      <c r="R521" s="3190" t="s">
        <v>4504</v>
      </c>
      <c r="S521" s="3190" t="s">
        <v>3786</v>
      </c>
      <c r="T521" s="3190">
        <v>8</v>
      </c>
      <c r="U521" s="3190">
        <v>-3</v>
      </c>
      <c r="V521" s="3190">
        <v>50.93</v>
      </c>
      <c r="W521" s="3190" t="s">
        <v>4593</v>
      </c>
      <c r="X521" s="3190" t="s">
        <v>4593</v>
      </c>
      <c r="Y521" s="3190">
        <v>3465</v>
      </c>
      <c r="Z521" s="3190">
        <v>17.649100000000001</v>
      </c>
    </row>
    <row r="522" spans="16:26">
      <c r="P522" s="3190">
        <v>341</v>
      </c>
      <c r="Q522" s="3190" t="s">
        <v>4545</v>
      </c>
      <c r="R522" s="3190" t="s">
        <v>4504</v>
      </c>
      <c r="S522" s="3190" t="s">
        <v>3787</v>
      </c>
      <c r="T522" s="3190">
        <v>8</v>
      </c>
      <c r="U522" s="3190">
        <v>-3</v>
      </c>
      <c r="V522" s="3190">
        <v>50.93</v>
      </c>
      <c r="W522" s="3190" t="s">
        <v>4593</v>
      </c>
      <c r="X522" s="3190" t="s">
        <v>4593</v>
      </c>
      <c r="Y522" s="3190">
        <v>3465</v>
      </c>
      <c r="Z522" s="3190">
        <v>17.649100000000001</v>
      </c>
    </row>
    <row r="523" spans="16:26">
      <c r="P523" s="3190">
        <v>342</v>
      </c>
      <c r="Q523" s="3190" t="s">
        <v>4545</v>
      </c>
      <c r="R523" s="3190" t="s">
        <v>4504</v>
      </c>
      <c r="S523" s="3190" t="s">
        <v>3788</v>
      </c>
      <c r="T523" s="3190">
        <v>8</v>
      </c>
      <c r="U523" s="3190">
        <v>-3</v>
      </c>
      <c r="V523" s="3190">
        <v>50.93</v>
      </c>
      <c r="W523" s="3190" t="s">
        <v>4593</v>
      </c>
      <c r="X523" s="3190" t="s">
        <v>4593</v>
      </c>
      <c r="Y523" s="3190">
        <v>3465</v>
      </c>
      <c r="Z523" s="3190">
        <v>17.649100000000001</v>
      </c>
    </row>
    <row r="524" spans="16:26">
      <c r="P524" s="3190">
        <v>343</v>
      </c>
      <c r="Q524" s="3190" t="s">
        <v>4545</v>
      </c>
      <c r="R524" s="3190" t="s">
        <v>4504</v>
      </c>
      <c r="S524" s="3190" t="s">
        <v>3789</v>
      </c>
      <c r="T524" s="3190">
        <v>8</v>
      </c>
      <c r="U524" s="3190">
        <v>-3</v>
      </c>
      <c r="V524" s="3190">
        <v>50.93</v>
      </c>
      <c r="W524" s="3190" t="s">
        <v>4593</v>
      </c>
      <c r="X524" s="3190" t="s">
        <v>4593</v>
      </c>
      <c r="Y524" s="3190">
        <v>3465</v>
      </c>
      <c r="Z524" s="3190">
        <v>17.649100000000001</v>
      </c>
    </row>
    <row r="525" spans="16:26">
      <c r="P525" s="3190">
        <v>344</v>
      </c>
      <c r="Q525" s="3190" t="s">
        <v>4545</v>
      </c>
      <c r="R525" s="3190" t="s">
        <v>4504</v>
      </c>
      <c r="S525" s="3190" t="s">
        <v>3790</v>
      </c>
      <c r="T525" s="3190">
        <v>8</v>
      </c>
      <c r="U525" s="3190">
        <v>-3</v>
      </c>
      <c r="V525" s="3190">
        <v>50.93</v>
      </c>
      <c r="W525" s="3190" t="s">
        <v>4593</v>
      </c>
      <c r="X525" s="3190" t="s">
        <v>4593</v>
      </c>
      <c r="Y525" s="3190">
        <v>3465</v>
      </c>
      <c r="Z525" s="3190">
        <v>17.649100000000001</v>
      </c>
    </row>
    <row r="526" spans="16:26">
      <c r="P526" s="3190">
        <v>345</v>
      </c>
      <c r="Q526" s="3190" t="s">
        <v>4545</v>
      </c>
      <c r="R526" s="3190" t="s">
        <v>4504</v>
      </c>
      <c r="S526" s="3190" t="s">
        <v>3791</v>
      </c>
      <c r="T526" s="3190">
        <v>8</v>
      </c>
      <c r="U526" s="3190">
        <v>-3</v>
      </c>
      <c r="V526" s="3190">
        <v>50.93</v>
      </c>
      <c r="W526" s="3190" t="s">
        <v>4593</v>
      </c>
      <c r="X526" s="3190" t="s">
        <v>4593</v>
      </c>
      <c r="Y526" s="3190">
        <v>3465</v>
      </c>
      <c r="Z526" s="3190">
        <v>17.649100000000001</v>
      </c>
    </row>
    <row r="527" spans="16:26">
      <c r="P527" s="3190">
        <v>346</v>
      </c>
      <c r="Q527" s="3190" t="s">
        <v>4545</v>
      </c>
      <c r="R527" s="3190" t="s">
        <v>4504</v>
      </c>
      <c r="S527" s="3190" t="s">
        <v>3792</v>
      </c>
      <c r="T527" s="3190">
        <v>8</v>
      </c>
      <c r="U527" s="3190">
        <v>-3</v>
      </c>
      <c r="V527" s="3190">
        <v>50.93</v>
      </c>
      <c r="W527" s="3190" t="s">
        <v>4593</v>
      </c>
      <c r="X527" s="3190" t="s">
        <v>4593</v>
      </c>
      <c r="Y527" s="3190">
        <v>3465</v>
      </c>
      <c r="Z527" s="3190">
        <v>17.649100000000001</v>
      </c>
    </row>
    <row r="528" spans="16:26">
      <c r="P528" s="3190">
        <v>347</v>
      </c>
      <c r="Q528" s="3190" t="s">
        <v>4545</v>
      </c>
      <c r="R528" s="3190" t="s">
        <v>4504</v>
      </c>
      <c r="S528" s="3190" t="s">
        <v>3793</v>
      </c>
      <c r="T528" s="3190">
        <v>8</v>
      </c>
      <c r="U528" s="3190">
        <v>-3</v>
      </c>
      <c r="V528" s="3190">
        <v>52.93</v>
      </c>
      <c r="W528" s="3190" t="s">
        <v>4593</v>
      </c>
      <c r="X528" s="3190" t="s">
        <v>4593</v>
      </c>
      <c r="Y528" s="3190">
        <v>3334</v>
      </c>
      <c r="Z528" s="3190">
        <v>17.649100000000001</v>
      </c>
    </row>
    <row r="529" spans="16:26">
      <c r="P529" s="3190">
        <v>348</v>
      </c>
      <c r="Q529" s="3190" t="s">
        <v>4545</v>
      </c>
      <c r="R529" s="3190" t="s">
        <v>4504</v>
      </c>
      <c r="S529" s="3190" t="s">
        <v>3794</v>
      </c>
      <c r="T529" s="3190">
        <v>8</v>
      </c>
      <c r="U529" s="3190">
        <v>-3</v>
      </c>
      <c r="V529" s="3190">
        <v>52.93</v>
      </c>
      <c r="W529" s="3190" t="s">
        <v>4593</v>
      </c>
      <c r="X529" s="3190" t="s">
        <v>4593</v>
      </c>
      <c r="Y529" s="3190">
        <v>3334</v>
      </c>
      <c r="Z529" s="3190">
        <v>17.649100000000001</v>
      </c>
    </row>
    <row r="530" spans="16:26">
      <c r="P530" s="3190">
        <v>349</v>
      </c>
      <c r="Q530" s="3190" t="s">
        <v>4545</v>
      </c>
      <c r="R530" s="3190" t="s">
        <v>4504</v>
      </c>
      <c r="S530" s="3190" t="s">
        <v>3795</v>
      </c>
      <c r="T530" s="3190">
        <v>8</v>
      </c>
      <c r="U530" s="3190">
        <v>-3</v>
      </c>
      <c r="V530" s="3190">
        <v>52.93</v>
      </c>
      <c r="W530" s="3190" t="s">
        <v>4593</v>
      </c>
      <c r="X530" s="3190" t="s">
        <v>4593</v>
      </c>
      <c r="Y530" s="3190">
        <v>3334</v>
      </c>
      <c r="Z530" s="3190">
        <v>17.649100000000001</v>
      </c>
    </row>
    <row r="531" spans="16:26">
      <c r="P531" s="3190">
        <v>350</v>
      </c>
      <c r="Q531" s="3190" t="s">
        <v>4545</v>
      </c>
      <c r="R531" s="3190" t="s">
        <v>4504</v>
      </c>
      <c r="S531" s="3190" t="s">
        <v>3796</v>
      </c>
      <c r="T531" s="3190">
        <v>8</v>
      </c>
      <c r="U531" s="3190">
        <v>-3</v>
      </c>
      <c r="V531" s="3190">
        <v>50.93</v>
      </c>
      <c r="W531" s="3190" t="s">
        <v>4593</v>
      </c>
      <c r="X531" s="3190" t="s">
        <v>4593</v>
      </c>
      <c r="Y531" s="3190">
        <v>3465</v>
      </c>
      <c r="Z531" s="3190">
        <v>17.649100000000001</v>
      </c>
    </row>
    <row r="532" spans="16:26">
      <c r="P532" s="3190">
        <v>351</v>
      </c>
      <c r="Q532" s="3190" t="s">
        <v>4545</v>
      </c>
      <c r="R532" s="3190" t="s">
        <v>4504</v>
      </c>
      <c r="S532" s="3190" t="s">
        <v>3797</v>
      </c>
      <c r="T532" s="3190">
        <v>8</v>
      </c>
      <c r="U532" s="3190">
        <v>-3</v>
      </c>
      <c r="V532" s="3190">
        <v>50.93</v>
      </c>
      <c r="W532" s="3190" t="s">
        <v>4593</v>
      </c>
      <c r="X532" s="3190" t="s">
        <v>4593</v>
      </c>
      <c r="Y532" s="3190">
        <v>3465</v>
      </c>
      <c r="Z532" s="3190">
        <v>17.649100000000001</v>
      </c>
    </row>
    <row r="533" spans="16:26">
      <c r="P533" s="3190">
        <v>352</v>
      </c>
      <c r="Q533" s="3190" t="s">
        <v>4545</v>
      </c>
      <c r="R533" s="3190" t="s">
        <v>4504</v>
      </c>
      <c r="S533" s="3190" t="s">
        <v>3798</v>
      </c>
      <c r="T533" s="3190">
        <v>8</v>
      </c>
      <c r="U533" s="3190">
        <v>-3</v>
      </c>
      <c r="V533" s="3190">
        <v>50.93</v>
      </c>
      <c r="W533" s="3190" t="s">
        <v>4593</v>
      </c>
      <c r="X533" s="3190" t="s">
        <v>4593</v>
      </c>
      <c r="Y533" s="3190">
        <v>3465</v>
      </c>
      <c r="Z533" s="3190">
        <v>17.649100000000001</v>
      </c>
    </row>
    <row r="534" spans="16:26">
      <c r="P534" s="3190">
        <v>353</v>
      </c>
      <c r="Q534" s="3190" t="s">
        <v>4545</v>
      </c>
      <c r="R534" s="3190" t="s">
        <v>4504</v>
      </c>
      <c r="S534" s="3190" t="s">
        <v>3799</v>
      </c>
      <c r="T534" s="3190">
        <v>8</v>
      </c>
      <c r="U534" s="3190">
        <v>-3</v>
      </c>
      <c r="V534" s="3190">
        <v>50.93</v>
      </c>
      <c r="W534" s="3190" t="s">
        <v>4593</v>
      </c>
      <c r="X534" s="3190" t="s">
        <v>4593</v>
      </c>
      <c r="Y534" s="3190">
        <v>3465</v>
      </c>
      <c r="Z534" s="3190">
        <v>17.649100000000001</v>
      </c>
    </row>
    <row r="535" spans="16:26">
      <c r="P535" s="3190">
        <v>354</v>
      </c>
      <c r="Q535" s="3190" t="s">
        <v>4545</v>
      </c>
      <c r="R535" s="3190" t="s">
        <v>4504</v>
      </c>
      <c r="S535" s="3190" t="s">
        <v>3800</v>
      </c>
      <c r="T535" s="3190">
        <v>8</v>
      </c>
      <c r="U535" s="3190">
        <v>-3</v>
      </c>
      <c r="V535" s="3190">
        <v>50.93</v>
      </c>
      <c r="W535" s="3190" t="s">
        <v>4593</v>
      </c>
      <c r="X535" s="3190" t="s">
        <v>4593</v>
      </c>
      <c r="Y535" s="3190">
        <v>3465</v>
      </c>
      <c r="Z535" s="3190">
        <v>17.649100000000001</v>
      </c>
    </row>
    <row r="536" spans="16:26">
      <c r="P536" s="3190">
        <v>355</v>
      </c>
      <c r="Q536" s="3190" t="s">
        <v>4545</v>
      </c>
      <c r="R536" s="3190" t="s">
        <v>4504</v>
      </c>
      <c r="S536" s="3190" t="s">
        <v>3801</v>
      </c>
      <c r="T536" s="3190">
        <v>8</v>
      </c>
      <c r="U536" s="3190">
        <v>-3</v>
      </c>
      <c r="V536" s="3190">
        <v>50.93</v>
      </c>
      <c r="W536" s="3190" t="s">
        <v>4593</v>
      </c>
      <c r="X536" s="3190" t="s">
        <v>4593</v>
      </c>
      <c r="Y536" s="3190">
        <v>3465</v>
      </c>
      <c r="Z536" s="3190">
        <v>17.649100000000001</v>
      </c>
    </row>
    <row r="537" spans="16:26">
      <c r="P537" s="3190">
        <v>356</v>
      </c>
      <c r="Q537" s="3190" t="s">
        <v>4545</v>
      </c>
      <c r="R537" s="3190" t="s">
        <v>4504</v>
      </c>
      <c r="S537" s="3190" t="s">
        <v>3802</v>
      </c>
      <c r="T537" s="3190">
        <v>8</v>
      </c>
      <c r="U537" s="3190">
        <v>-3</v>
      </c>
      <c r="V537" s="3190">
        <v>50.93</v>
      </c>
      <c r="W537" s="3190" t="s">
        <v>4593</v>
      </c>
      <c r="X537" s="3190" t="s">
        <v>4593</v>
      </c>
      <c r="Y537" s="3190">
        <v>3465</v>
      </c>
      <c r="Z537" s="3190">
        <v>17.649100000000001</v>
      </c>
    </row>
    <row r="538" spans="16:26">
      <c r="P538" s="3190">
        <v>357</v>
      </c>
      <c r="Q538" s="3190" t="s">
        <v>4545</v>
      </c>
      <c r="R538" s="3190" t="s">
        <v>4504</v>
      </c>
      <c r="S538" s="3190" t="s">
        <v>3803</v>
      </c>
      <c r="T538" s="3190">
        <v>8</v>
      </c>
      <c r="U538" s="3190">
        <v>-3</v>
      </c>
      <c r="V538" s="3190">
        <v>59.92</v>
      </c>
      <c r="W538" s="3190" t="s">
        <v>4593</v>
      </c>
      <c r="X538" s="3190" t="s">
        <v>4593</v>
      </c>
      <c r="Y538" s="3190">
        <v>2945</v>
      </c>
      <c r="Z538" s="3190">
        <v>17.649100000000001</v>
      </c>
    </row>
    <row r="539" spans="16:26">
      <c r="P539" s="3190">
        <v>358</v>
      </c>
      <c r="Q539" s="3190" t="s">
        <v>4545</v>
      </c>
      <c r="R539" s="3190" t="s">
        <v>4504</v>
      </c>
      <c r="S539" s="3190" t="s">
        <v>3804</v>
      </c>
      <c r="T539" s="3190">
        <v>8</v>
      </c>
      <c r="U539" s="3190">
        <v>-3</v>
      </c>
      <c r="V539" s="3190">
        <v>59.92</v>
      </c>
      <c r="W539" s="3190" t="s">
        <v>4593</v>
      </c>
      <c r="X539" s="3190" t="s">
        <v>4593</v>
      </c>
      <c r="Y539" s="3190">
        <v>2945</v>
      </c>
      <c r="Z539" s="3190">
        <v>17.649100000000001</v>
      </c>
    </row>
    <row r="540" spans="16:26">
      <c r="P540" s="3190">
        <v>359</v>
      </c>
      <c r="Q540" s="3190" t="s">
        <v>4545</v>
      </c>
      <c r="R540" s="3190" t="s">
        <v>4504</v>
      </c>
      <c r="S540" s="3190" t="s">
        <v>3805</v>
      </c>
      <c r="T540" s="3190">
        <v>8</v>
      </c>
      <c r="U540" s="3190">
        <v>-3</v>
      </c>
      <c r="V540" s="3190">
        <v>59.92</v>
      </c>
      <c r="W540" s="3190" t="s">
        <v>4593</v>
      </c>
      <c r="X540" s="3190" t="s">
        <v>4593</v>
      </c>
      <c r="Y540" s="3190">
        <v>2945</v>
      </c>
      <c r="Z540" s="3190">
        <v>17.649100000000001</v>
      </c>
    </row>
    <row r="541" spans="16:26">
      <c r="P541" s="3190">
        <v>360</v>
      </c>
      <c r="Q541" s="3190" t="s">
        <v>4545</v>
      </c>
      <c r="R541" s="3190" t="s">
        <v>4504</v>
      </c>
      <c r="S541" s="3190" t="s">
        <v>3806</v>
      </c>
      <c r="T541" s="3190">
        <v>8</v>
      </c>
      <c r="U541" s="3190">
        <v>-3</v>
      </c>
      <c r="V541" s="3190">
        <v>59.92</v>
      </c>
      <c r="W541" s="3190" t="s">
        <v>4593</v>
      </c>
      <c r="X541" s="3190" t="s">
        <v>4593</v>
      </c>
      <c r="Y541" s="3190">
        <v>2945</v>
      </c>
      <c r="Z541" s="3190">
        <v>17.649100000000001</v>
      </c>
    </row>
    <row r="542" spans="16:26">
      <c r="P542" s="3190">
        <v>361</v>
      </c>
      <c r="Q542" s="3190" t="s">
        <v>4545</v>
      </c>
      <c r="R542" s="3190" t="s">
        <v>4504</v>
      </c>
      <c r="S542" s="3190" t="s">
        <v>3807</v>
      </c>
      <c r="T542" s="3190">
        <v>8</v>
      </c>
      <c r="U542" s="3190">
        <v>-3</v>
      </c>
      <c r="V542" s="3190">
        <v>52.93</v>
      </c>
      <c r="W542" s="3190" t="s">
        <v>4593</v>
      </c>
      <c r="X542" s="3190" t="s">
        <v>4593</v>
      </c>
      <c r="Y542" s="3190">
        <v>3334</v>
      </c>
      <c r="Z542" s="3190">
        <v>17.649100000000001</v>
      </c>
    </row>
    <row r="543" spans="16:26">
      <c r="P543" s="3190">
        <v>362</v>
      </c>
      <c r="Q543" s="3190" t="s">
        <v>4545</v>
      </c>
      <c r="R543" s="3190" t="s">
        <v>4504</v>
      </c>
      <c r="S543" s="3190" t="s">
        <v>3808</v>
      </c>
      <c r="T543" s="3190">
        <v>8</v>
      </c>
      <c r="U543" s="3190">
        <v>-3</v>
      </c>
      <c r="V543" s="3190">
        <v>52.93</v>
      </c>
      <c r="W543" s="3190" t="s">
        <v>4593</v>
      </c>
      <c r="X543" s="3190" t="s">
        <v>4593</v>
      </c>
      <c r="Y543" s="3190">
        <v>3334</v>
      </c>
      <c r="Z543" s="3190">
        <v>17.649100000000001</v>
      </c>
    </row>
    <row r="544" spans="16:26">
      <c r="P544" s="3190">
        <v>363</v>
      </c>
      <c r="Q544" s="3190" t="s">
        <v>4545</v>
      </c>
      <c r="R544" s="3190" t="s">
        <v>4504</v>
      </c>
      <c r="S544" s="3190" t="s">
        <v>3809</v>
      </c>
      <c r="T544" s="3190">
        <v>8</v>
      </c>
      <c r="U544" s="3190">
        <v>-3</v>
      </c>
      <c r="V544" s="3190">
        <v>52.93</v>
      </c>
      <c r="W544" s="3190" t="s">
        <v>4593</v>
      </c>
      <c r="X544" s="3190" t="s">
        <v>4593</v>
      </c>
      <c r="Y544" s="3190">
        <v>3334</v>
      </c>
      <c r="Z544" s="3190">
        <v>17.649100000000001</v>
      </c>
    </row>
    <row r="545" spans="16:26">
      <c r="P545" s="3190">
        <v>364</v>
      </c>
      <c r="Q545" s="3190" t="s">
        <v>4545</v>
      </c>
      <c r="R545" s="3190" t="s">
        <v>4504</v>
      </c>
      <c r="S545" s="3190" t="s">
        <v>3810</v>
      </c>
      <c r="T545" s="3190">
        <v>8</v>
      </c>
      <c r="U545" s="3190">
        <v>-3</v>
      </c>
      <c r="V545" s="3190">
        <v>52.93</v>
      </c>
      <c r="W545" s="3190" t="s">
        <v>4593</v>
      </c>
      <c r="X545" s="3190" t="s">
        <v>4593</v>
      </c>
      <c r="Y545" s="3190">
        <v>3334</v>
      </c>
      <c r="Z545" s="3190">
        <v>17.649100000000001</v>
      </c>
    </row>
    <row r="546" spans="16:26">
      <c r="P546" s="3190">
        <v>365</v>
      </c>
      <c r="Q546" s="3190" t="s">
        <v>4545</v>
      </c>
      <c r="R546" s="3190" t="s">
        <v>4504</v>
      </c>
      <c r="S546" s="3190" t="s">
        <v>3811</v>
      </c>
      <c r="T546" s="3190">
        <v>8</v>
      </c>
      <c r="U546" s="3190">
        <v>-3</v>
      </c>
      <c r="V546" s="3190">
        <v>52.93</v>
      </c>
      <c r="W546" s="3190" t="s">
        <v>4593</v>
      </c>
      <c r="X546" s="3190" t="s">
        <v>4593</v>
      </c>
      <c r="Y546" s="3190">
        <v>3334</v>
      </c>
      <c r="Z546" s="3190">
        <v>17.649100000000001</v>
      </c>
    </row>
    <row r="547" spans="16:26">
      <c r="P547" s="3190">
        <v>366</v>
      </c>
      <c r="Q547" s="3190" t="s">
        <v>4545</v>
      </c>
      <c r="R547" s="3190" t="s">
        <v>4504</v>
      </c>
      <c r="S547" s="3190" t="s">
        <v>3812</v>
      </c>
      <c r="T547" s="3190">
        <v>8</v>
      </c>
      <c r="U547" s="3190">
        <v>-3</v>
      </c>
      <c r="V547" s="3190">
        <v>50.93</v>
      </c>
      <c r="W547" s="3190" t="s">
        <v>4593</v>
      </c>
      <c r="X547" s="3190" t="s">
        <v>4593</v>
      </c>
      <c r="Y547" s="3190">
        <v>3465</v>
      </c>
      <c r="Z547" s="3190">
        <v>17.649100000000001</v>
      </c>
    </row>
    <row r="548" spans="16:26">
      <c r="P548" s="3190">
        <v>367</v>
      </c>
      <c r="Q548" s="3190" t="s">
        <v>4545</v>
      </c>
      <c r="R548" s="3190" t="s">
        <v>4504</v>
      </c>
      <c r="S548" s="3190" t="s">
        <v>3813</v>
      </c>
      <c r="T548" s="3190">
        <v>8</v>
      </c>
      <c r="U548" s="3190">
        <v>-3</v>
      </c>
      <c r="V548" s="3190">
        <v>50.93</v>
      </c>
      <c r="W548" s="3190" t="s">
        <v>4593</v>
      </c>
      <c r="X548" s="3190" t="s">
        <v>4593</v>
      </c>
      <c r="Y548" s="3190">
        <v>3465</v>
      </c>
      <c r="Z548" s="3190">
        <v>17.649100000000001</v>
      </c>
    </row>
    <row r="549" spans="16:26">
      <c r="P549" s="3190">
        <v>368</v>
      </c>
      <c r="Q549" s="3190" t="s">
        <v>4545</v>
      </c>
      <c r="R549" s="3190" t="s">
        <v>4504</v>
      </c>
      <c r="S549" s="3190" t="s">
        <v>3814</v>
      </c>
      <c r="T549" s="3190">
        <v>8</v>
      </c>
      <c r="U549" s="3190">
        <v>-3</v>
      </c>
      <c r="V549" s="3190">
        <v>50.93</v>
      </c>
      <c r="W549" s="3190" t="s">
        <v>4593</v>
      </c>
      <c r="X549" s="3190" t="s">
        <v>4593</v>
      </c>
      <c r="Y549" s="3190">
        <v>3465</v>
      </c>
      <c r="Z549" s="3190">
        <v>17.649100000000001</v>
      </c>
    </row>
    <row r="550" spans="16:26">
      <c r="P550" s="3190">
        <v>369</v>
      </c>
      <c r="Q550" s="3190" t="s">
        <v>4545</v>
      </c>
      <c r="R550" s="3190" t="s">
        <v>4504</v>
      </c>
      <c r="S550" s="3190" t="s">
        <v>3815</v>
      </c>
      <c r="T550" s="3190">
        <v>8</v>
      </c>
      <c r="U550" s="3190">
        <v>-3</v>
      </c>
      <c r="V550" s="3190">
        <v>50.93</v>
      </c>
      <c r="W550" s="3190" t="s">
        <v>4593</v>
      </c>
      <c r="X550" s="3190" t="s">
        <v>4593</v>
      </c>
      <c r="Y550" s="3190">
        <v>3465</v>
      </c>
      <c r="Z550" s="3190">
        <v>17.649100000000001</v>
      </c>
    </row>
    <row r="551" spans="16:26">
      <c r="P551" s="3190">
        <v>370</v>
      </c>
      <c r="Q551" s="3190" t="s">
        <v>4545</v>
      </c>
      <c r="R551" s="3190" t="s">
        <v>4504</v>
      </c>
      <c r="S551" s="3190" t="s">
        <v>3816</v>
      </c>
      <c r="T551" s="3190">
        <v>8</v>
      </c>
      <c r="U551" s="3190">
        <v>-3</v>
      </c>
      <c r="V551" s="3190">
        <v>50.93</v>
      </c>
      <c r="W551" s="3190" t="s">
        <v>4593</v>
      </c>
      <c r="X551" s="3190" t="s">
        <v>4593</v>
      </c>
      <c r="Y551" s="3190">
        <v>3465</v>
      </c>
      <c r="Z551" s="3190">
        <v>17.649100000000001</v>
      </c>
    </row>
    <row r="552" spans="16:26">
      <c r="P552" s="3190">
        <v>371</v>
      </c>
      <c r="Q552" s="3190" t="s">
        <v>4545</v>
      </c>
      <c r="R552" s="3190" t="s">
        <v>4504</v>
      </c>
      <c r="S552" s="3190" t="s">
        <v>3817</v>
      </c>
      <c r="T552" s="3190">
        <v>8</v>
      </c>
      <c r="U552" s="3190">
        <v>-3</v>
      </c>
      <c r="V552" s="3190">
        <v>50.93</v>
      </c>
      <c r="W552" s="3190" t="s">
        <v>4593</v>
      </c>
      <c r="X552" s="3190" t="s">
        <v>4593</v>
      </c>
      <c r="Y552" s="3190">
        <v>3465</v>
      </c>
      <c r="Z552" s="3190">
        <v>17.649100000000001</v>
      </c>
    </row>
    <row r="553" spans="16:26">
      <c r="P553" s="3190">
        <v>372</v>
      </c>
      <c r="Q553" s="3190" t="s">
        <v>4545</v>
      </c>
      <c r="R553" s="3190" t="s">
        <v>4504</v>
      </c>
      <c r="S553" s="3190" t="s">
        <v>3818</v>
      </c>
      <c r="T553" s="3190">
        <v>8</v>
      </c>
      <c r="U553" s="3190">
        <v>-3</v>
      </c>
      <c r="V553" s="3190">
        <v>50.93</v>
      </c>
      <c r="W553" s="3190" t="s">
        <v>4593</v>
      </c>
      <c r="X553" s="3190" t="s">
        <v>4593</v>
      </c>
      <c r="Y553" s="3190">
        <v>3465</v>
      </c>
      <c r="Z553" s="3190">
        <v>17.649100000000001</v>
      </c>
    </row>
    <row r="554" spans="16:26">
      <c r="P554" s="3190">
        <v>373</v>
      </c>
      <c r="Q554" s="3190" t="s">
        <v>4545</v>
      </c>
      <c r="R554" s="3190" t="s">
        <v>4504</v>
      </c>
      <c r="S554" s="3190" t="s">
        <v>3819</v>
      </c>
      <c r="T554" s="3190">
        <v>8</v>
      </c>
      <c r="U554" s="3190">
        <v>-3</v>
      </c>
      <c r="V554" s="3190">
        <v>50.93</v>
      </c>
      <c r="W554" s="3190" t="s">
        <v>4593</v>
      </c>
      <c r="X554" s="3190" t="s">
        <v>4593</v>
      </c>
      <c r="Y554" s="3190">
        <v>3465</v>
      </c>
      <c r="Z554" s="3190">
        <v>17.649100000000001</v>
      </c>
    </row>
    <row r="555" spans="16:26">
      <c r="P555" s="3190">
        <v>374</v>
      </c>
      <c r="Q555" s="3190" t="s">
        <v>4545</v>
      </c>
      <c r="R555" s="3190" t="s">
        <v>4504</v>
      </c>
      <c r="S555" s="3190" t="s">
        <v>3820</v>
      </c>
      <c r="T555" s="3190">
        <v>8</v>
      </c>
      <c r="U555" s="3190">
        <v>-3</v>
      </c>
      <c r="V555" s="3190">
        <v>50.93</v>
      </c>
      <c r="W555" s="3190" t="s">
        <v>4593</v>
      </c>
      <c r="X555" s="3190" t="s">
        <v>4593</v>
      </c>
      <c r="Y555" s="3190">
        <v>3465</v>
      </c>
      <c r="Z555" s="3190">
        <v>17.649100000000001</v>
      </c>
    </row>
    <row r="556" spans="16:26">
      <c r="P556" s="3190">
        <v>375</v>
      </c>
      <c r="Q556" s="3190" t="s">
        <v>4545</v>
      </c>
      <c r="R556" s="3190" t="s">
        <v>4504</v>
      </c>
      <c r="S556" s="3190" t="s">
        <v>3821</v>
      </c>
      <c r="T556" s="3190">
        <v>8</v>
      </c>
      <c r="U556" s="3190">
        <v>-3</v>
      </c>
      <c r="V556" s="3190">
        <v>50.93</v>
      </c>
      <c r="W556" s="3190" t="s">
        <v>4593</v>
      </c>
      <c r="X556" s="3190" t="s">
        <v>4593</v>
      </c>
      <c r="Y556" s="3190">
        <v>3465</v>
      </c>
      <c r="Z556" s="3190">
        <v>17.649100000000001</v>
      </c>
    </row>
    <row r="557" spans="16:26">
      <c r="P557" s="3190">
        <v>376</v>
      </c>
      <c r="Q557" s="3190" t="s">
        <v>4545</v>
      </c>
      <c r="R557" s="3190" t="s">
        <v>4504</v>
      </c>
      <c r="S557" s="3190" t="s">
        <v>3822</v>
      </c>
      <c r="T557" s="3190">
        <v>8</v>
      </c>
      <c r="U557" s="3190">
        <v>-3</v>
      </c>
      <c r="V557" s="3190">
        <v>50.93</v>
      </c>
      <c r="W557" s="3190" t="s">
        <v>4593</v>
      </c>
      <c r="X557" s="3190" t="s">
        <v>4593</v>
      </c>
      <c r="Y557" s="3190">
        <v>3465</v>
      </c>
      <c r="Z557" s="3190">
        <v>17.649100000000001</v>
      </c>
    </row>
    <row r="558" spans="16:26">
      <c r="P558" s="3190">
        <v>377</v>
      </c>
      <c r="Q558" s="3190" t="s">
        <v>4545</v>
      </c>
      <c r="R558" s="3190" t="s">
        <v>4504</v>
      </c>
      <c r="S558" s="3190" t="s">
        <v>3823</v>
      </c>
      <c r="T558" s="3190">
        <v>8</v>
      </c>
      <c r="U558" s="3190">
        <v>-3</v>
      </c>
      <c r="V558" s="3190">
        <v>50.93</v>
      </c>
      <c r="W558" s="3190" t="s">
        <v>4593</v>
      </c>
      <c r="X558" s="3190" t="s">
        <v>4593</v>
      </c>
      <c r="Y558" s="3190">
        <v>3465</v>
      </c>
      <c r="Z558" s="3190">
        <v>17.649100000000001</v>
      </c>
    </row>
    <row r="559" spans="16:26">
      <c r="P559" s="3190">
        <v>378</v>
      </c>
      <c r="Q559" s="3190" t="s">
        <v>4545</v>
      </c>
      <c r="R559" s="3190" t="s">
        <v>4504</v>
      </c>
      <c r="S559" s="3190" t="s">
        <v>3824</v>
      </c>
      <c r="T559" s="3190">
        <v>8</v>
      </c>
      <c r="U559" s="3190">
        <v>-3</v>
      </c>
      <c r="V559" s="3190">
        <v>50.93</v>
      </c>
      <c r="W559" s="3190" t="s">
        <v>4593</v>
      </c>
      <c r="X559" s="3190" t="s">
        <v>4593</v>
      </c>
      <c r="Y559" s="3190">
        <v>3465</v>
      </c>
      <c r="Z559" s="3190">
        <v>17.649100000000001</v>
      </c>
    </row>
    <row r="560" spans="16:26">
      <c r="P560" s="3190">
        <v>379</v>
      </c>
      <c r="Q560" s="3190" t="s">
        <v>4545</v>
      </c>
      <c r="R560" s="3190" t="s">
        <v>4504</v>
      </c>
      <c r="S560" s="3190" t="s">
        <v>3825</v>
      </c>
      <c r="T560" s="3190">
        <v>8</v>
      </c>
      <c r="U560" s="3190">
        <v>-3</v>
      </c>
      <c r="V560" s="3190">
        <v>50.93</v>
      </c>
      <c r="W560" s="3190" t="s">
        <v>4593</v>
      </c>
      <c r="X560" s="3190" t="s">
        <v>4593</v>
      </c>
      <c r="Y560" s="3190">
        <v>3465</v>
      </c>
      <c r="Z560" s="3190">
        <v>17.649100000000001</v>
      </c>
    </row>
    <row r="561" spans="16:26">
      <c r="P561" s="3190">
        <v>380</v>
      </c>
      <c r="Q561" s="3190" t="s">
        <v>4545</v>
      </c>
      <c r="R561" s="3190" t="s">
        <v>4504</v>
      </c>
      <c r="S561" s="3190" t="s">
        <v>3826</v>
      </c>
      <c r="T561" s="3190">
        <v>8</v>
      </c>
      <c r="U561" s="3190">
        <v>-3</v>
      </c>
      <c r="V561" s="3190">
        <v>50.93</v>
      </c>
      <c r="W561" s="3190" t="s">
        <v>4593</v>
      </c>
      <c r="X561" s="3190" t="s">
        <v>4593</v>
      </c>
      <c r="Y561" s="3190">
        <v>3465</v>
      </c>
      <c r="Z561" s="3190">
        <v>17.649100000000001</v>
      </c>
    </row>
    <row r="562" spans="16:26">
      <c r="P562" s="3190">
        <v>381</v>
      </c>
      <c r="Q562" s="3190" t="s">
        <v>4545</v>
      </c>
      <c r="R562" s="3190" t="s">
        <v>4504</v>
      </c>
      <c r="S562" s="3190" t="s">
        <v>3827</v>
      </c>
      <c r="T562" s="3190">
        <v>8</v>
      </c>
      <c r="U562" s="3190">
        <v>-3</v>
      </c>
      <c r="V562" s="3190">
        <v>50.93</v>
      </c>
      <c r="W562" s="3190" t="s">
        <v>4593</v>
      </c>
      <c r="X562" s="3190" t="s">
        <v>4593</v>
      </c>
      <c r="Y562" s="3190">
        <v>3465</v>
      </c>
      <c r="Z562" s="3190">
        <v>17.649100000000001</v>
      </c>
    </row>
    <row r="563" spans="16:26">
      <c r="P563" s="3190">
        <v>382</v>
      </c>
      <c r="Q563" s="3190" t="s">
        <v>4545</v>
      </c>
      <c r="R563" s="3190" t="s">
        <v>4504</v>
      </c>
      <c r="S563" s="3190" t="s">
        <v>3828</v>
      </c>
      <c r="T563" s="3190">
        <v>8</v>
      </c>
      <c r="U563" s="3190">
        <v>-3</v>
      </c>
      <c r="V563" s="3190">
        <v>50.93</v>
      </c>
      <c r="W563" s="3190" t="s">
        <v>4593</v>
      </c>
      <c r="X563" s="3190" t="s">
        <v>4593</v>
      </c>
      <c r="Y563" s="3190">
        <v>3465</v>
      </c>
      <c r="Z563" s="3190">
        <v>17.649100000000001</v>
      </c>
    </row>
    <row r="564" spans="16:26">
      <c r="P564" s="3190">
        <v>383</v>
      </c>
      <c r="Q564" s="3190" t="s">
        <v>4545</v>
      </c>
      <c r="R564" s="3190" t="s">
        <v>4504</v>
      </c>
      <c r="S564" s="3190" t="s">
        <v>3829</v>
      </c>
      <c r="T564" s="3190">
        <v>8</v>
      </c>
      <c r="U564" s="3190">
        <v>-3</v>
      </c>
      <c r="V564" s="3190">
        <v>50.93</v>
      </c>
      <c r="W564" s="3190" t="s">
        <v>4593</v>
      </c>
      <c r="X564" s="3190" t="s">
        <v>4593</v>
      </c>
      <c r="Y564" s="3190">
        <v>3465</v>
      </c>
      <c r="Z564" s="3190">
        <v>17.649100000000001</v>
      </c>
    </row>
    <row r="565" spans="16:26">
      <c r="P565" s="3190">
        <v>384</v>
      </c>
      <c r="Q565" s="3190" t="s">
        <v>4545</v>
      </c>
      <c r="R565" s="3190" t="s">
        <v>4504</v>
      </c>
      <c r="S565" s="3190" t="s">
        <v>3830</v>
      </c>
      <c r="T565" s="3190">
        <v>8</v>
      </c>
      <c r="U565" s="3190">
        <v>-3</v>
      </c>
      <c r="V565" s="3190">
        <v>50.93</v>
      </c>
      <c r="W565" s="3190" t="s">
        <v>4593</v>
      </c>
      <c r="X565" s="3190" t="s">
        <v>4593</v>
      </c>
      <c r="Y565" s="3190">
        <v>3465</v>
      </c>
      <c r="Z565" s="3190">
        <v>17.649100000000001</v>
      </c>
    </row>
    <row r="566" spans="16:26">
      <c r="P566" s="3190">
        <v>385</v>
      </c>
      <c r="Q566" s="3190" t="s">
        <v>4545</v>
      </c>
      <c r="R566" s="3190" t="s">
        <v>4504</v>
      </c>
      <c r="S566" s="3190" t="s">
        <v>3831</v>
      </c>
      <c r="T566" s="3190">
        <v>8</v>
      </c>
      <c r="U566" s="3190">
        <v>-3</v>
      </c>
      <c r="V566" s="3190">
        <v>50.93</v>
      </c>
      <c r="W566" s="3190" t="s">
        <v>4593</v>
      </c>
      <c r="X566" s="3190" t="s">
        <v>4593</v>
      </c>
      <c r="Y566" s="3190">
        <v>3465</v>
      </c>
      <c r="Z566" s="3190">
        <v>17.649100000000001</v>
      </c>
    </row>
    <row r="567" spans="16:26">
      <c r="P567" s="3190">
        <v>386</v>
      </c>
      <c r="Q567" s="3190" t="s">
        <v>4545</v>
      </c>
      <c r="R567" s="3190" t="s">
        <v>4504</v>
      </c>
      <c r="S567" s="3190" t="s">
        <v>3832</v>
      </c>
      <c r="T567" s="3190">
        <v>8</v>
      </c>
      <c r="U567" s="3190">
        <v>-3</v>
      </c>
      <c r="V567" s="3190">
        <v>50.93</v>
      </c>
      <c r="W567" s="3190" t="s">
        <v>4593</v>
      </c>
      <c r="X567" s="3190" t="s">
        <v>4593</v>
      </c>
      <c r="Y567" s="3190">
        <v>3465</v>
      </c>
      <c r="Z567" s="3190">
        <v>17.649100000000001</v>
      </c>
    </row>
    <row r="568" spans="16:26">
      <c r="P568" s="3190">
        <v>387</v>
      </c>
      <c r="Q568" s="3190" t="s">
        <v>4545</v>
      </c>
      <c r="R568" s="3190" t="s">
        <v>4504</v>
      </c>
      <c r="S568" s="3190" t="s">
        <v>3833</v>
      </c>
      <c r="T568" s="3190">
        <v>8</v>
      </c>
      <c r="U568" s="3190">
        <v>-3</v>
      </c>
      <c r="V568" s="3190">
        <v>50.93</v>
      </c>
      <c r="W568" s="3190" t="s">
        <v>4593</v>
      </c>
      <c r="X568" s="3190" t="s">
        <v>4593</v>
      </c>
      <c r="Y568" s="3190">
        <v>3465</v>
      </c>
      <c r="Z568" s="3190">
        <v>17.649100000000001</v>
      </c>
    </row>
    <row r="569" spans="16:26">
      <c r="P569" s="3190">
        <v>388</v>
      </c>
      <c r="Q569" s="3190" t="s">
        <v>4545</v>
      </c>
      <c r="R569" s="3190" t="s">
        <v>4504</v>
      </c>
      <c r="S569" s="3190" t="s">
        <v>3834</v>
      </c>
      <c r="T569" s="3190">
        <v>8</v>
      </c>
      <c r="U569" s="3190">
        <v>-3</v>
      </c>
      <c r="V569" s="3190">
        <v>50.93</v>
      </c>
      <c r="W569" s="3190" t="s">
        <v>4593</v>
      </c>
      <c r="X569" s="3190" t="s">
        <v>4593</v>
      </c>
      <c r="Y569" s="3190">
        <v>3465</v>
      </c>
      <c r="Z569" s="3190">
        <v>17.649100000000001</v>
      </c>
    </row>
    <row r="570" spans="16:26">
      <c r="P570" s="3190">
        <v>389</v>
      </c>
      <c r="Q570" s="3190" t="s">
        <v>4545</v>
      </c>
      <c r="R570" s="3190" t="s">
        <v>4504</v>
      </c>
      <c r="S570" s="3190" t="s">
        <v>3835</v>
      </c>
      <c r="T570" s="3190">
        <v>8</v>
      </c>
      <c r="U570" s="3190">
        <v>-3</v>
      </c>
      <c r="V570" s="3190">
        <v>50.93</v>
      </c>
      <c r="W570" s="3190" t="s">
        <v>4593</v>
      </c>
      <c r="X570" s="3190" t="s">
        <v>4593</v>
      </c>
      <c r="Y570" s="3190">
        <v>3465</v>
      </c>
      <c r="Z570" s="3190">
        <v>17.649100000000001</v>
      </c>
    </row>
    <row r="571" spans="16:26">
      <c r="P571" s="3190">
        <v>390</v>
      </c>
      <c r="Q571" s="3190" t="s">
        <v>4545</v>
      </c>
      <c r="R571" s="3190" t="s">
        <v>4504</v>
      </c>
      <c r="S571" s="3190" t="s">
        <v>3836</v>
      </c>
      <c r="T571" s="3190">
        <v>8</v>
      </c>
      <c r="U571" s="3190">
        <v>-3</v>
      </c>
      <c r="V571" s="3190">
        <v>50.93</v>
      </c>
      <c r="W571" s="3190" t="s">
        <v>4593</v>
      </c>
      <c r="X571" s="3190" t="s">
        <v>4593</v>
      </c>
      <c r="Y571" s="3190">
        <v>3465</v>
      </c>
      <c r="Z571" s="3190">
        <v>17.649100000000001</v>
      </c>
    </row>
    <row r="572" spans="16:26">
      <c r="P572" s="3190">
        <v>391</v>
      </c>
      <c r="Q572" s="3190" t="s">
        <v>4545</v>
      </c>
      <c r="R572" s="3190" t="s">
        <v>4504</v>
      </c>
      <c r="S572" s="3190" t="s">
        <v>3837</v>
      </c>
      <c r="T572" s="3190">
        <v>8</v>
      </c>
      <c r="U572" s="3190">
        <v>-3</v>
      </c>
      <c r="V572" s="3190">
        <v>50.93</v>
      </c>
      <c r="W572" s="3190" t="s">
        <v>4593</v>
      </c>
      <c r="X572" s="3190" t="s">
        <v>4593</v>
      </c>
      <c r="Y572" s="3190">
        <v>3465</v>
      </c>
      <c r="Z572" s="3190">
        <v>17.649100000000001</v>
      </c>
    </row>
    <row r="573" spans="16:26">
      <c r="P573" s="3190">
        <v>392</v>
      </c>
      <c r="Q573" s="3190" t="s">
        <v>4545</v>
      </c>
      <c r="R573" s="3190" t="s">
        <v>4504</v>
      </c>
      <c r="S573" s="3190" t="s">
        <v>3838</v>
      </c>
      <c r="T573" s="3190">
        <v>8</v>
      </c>
      <c r="U573" s="3190">
        <v>-3</v>
      </c>
      <c r="V573" s="3190">
        <v>52.93</v>
      </c>
      <c r="W573" s="3190" t="s">
        <v>4593</v>
      </c>
      <c r="X573" s="3190" t="s">
        <v>4593</v>
      </c>
      <c r="Y573" s="3190">
        <v>3334</v>
      </c>
      <c r="Z573" s="3190">
        <v>17.649100000000001</v>
      </c>
    </row>
    <row r="574" spans="16:26">
      <c r="P574" s="3190">
        <v>393</v>
      </c>
      <c r="Q574" s="3190" t="s">
        <v>4545</v>
      </c>
      <c r="R574" s="3190" t="s">
        <v>4504</v>
      </c>
      <c r="S574" s="3190" t="s">
        <v>3839</v>
      </c>
      <c r="T574" s="3190">
        <v>8</v>
      </c>
      <c r="U574" s="3190">
        <v>-3</v>
      </c>
      <c r="V574" s="3190">
        <v>52.93</v>
      </c>
      <c r="W574" s="3190" t="s">
        <v>4593</v>
      </c>
      <c r="X574" s="3190" t="s">
        <v>4593</v>
      </c>
      <c r="Y574" s="3190">
        <v>3334</v>
      </c>
      <c r="Z574" s="3190">
        <v>17.649100000000001</v>
      </c>
    </row>
    <row r="575" spans="16:26">
      <c r="P575" s="3190">
        <v>394</v>
      </c>
      <c r="Q575" s="3190" t="s">
        <v>4545</v>
      </c>
      <c r="R575" s="3190" t="s">
        <v>4504</v>
      </c>
      <c r="S575" s="3190" t="s">
        <v>3840</v>
      </c>
      <c r="T575" s="3190">
        <v>8</v>
      </c>
      <c r="U575" s="3190">
        <v>-3</v>
      </c>
      <c r="V575" s="3190">
        <v>52.93</v>
      </c>
      <c r="W575" s="3190" t="s">
        <v>4593</v>
      </c>
      <c r="X575" s="3190" t="s">
        <v>4593</v>
      </c>
      <c r="Y575" s="3190">
        <v>3334</v>
      </c>
      <c r="Z575" s="3190">
        <v>17.649100000000001</v>
      </c>
    </row>
    <row r="576" spans="16:26">
      <c r="P576" s="3190">
        <v>395</v>
      </c>
      <c r="Q576" s="3190" t="s">
        <v>4545</v>
      </c>
      <c r="R576" s="3190" t="s">
        <v>4504</v>
      </c>
      <c r="S576" s="3190" t="s">
        <v>3841</v>
      </c>
      <c r="T576" s="3190">
        <v>8</v>
      </c>
      <c r="U576" s="3190">
        <v>-3</v>
      </c>
      <c r="V576" s="3190">
        <v>52.93</v>
      </c>
      <c r="W576" s="3190" t="s">
        <v>4593</v>
      </c>
      <c r="X576" s="3190" t="s">
        <v>4593</v>
      </c>
      <c r="Y576" s="3190">
        <v>3334</v>
      </c>
      <c r="Z576" s="3190">
        <v>17.649100000000001</v>
      </c>
    </row>
    <row r="577" spans="16:26">
      <c r="P577" s="3190">
        <v>396</v>
      </c>
      <c r="Q577" s="3190" t="s">
        <v>4545</v>
      </c>
      <c r="R577" s="3190" t="s">
        <v>4504</v>
      </c>
      <c r="S577" s="3190" t="s">
        <v>3842</v>
      </c>
      <c r="T577" s="3190">
        <v>8</v>
      </c>
      <c r="U577" s="3190">
        <v>-3</v>
      </c>
      <c r="V577" s="3190">
        <v>52.93</v>
      </c>
      <c r="W577" s="3190" t="s">
        <v>4593</v>
      </c>
      <c r="X577" s="3190" t="s">
        <v>4593</v>
      </c>
      <c r="Y577" s="3190">
        <v>3334</v>
      </c>
      <c r="Z577" s="3190">
        <v>17.649100000000001</v>
      </c>
    </row>
    <row r="578" spans="16:26">
      <c r="P578" s="3190">
        <v>397</v>
      </c>
      <c r="Q578" s="3190" t="s">
        <v>4545</v>
      </c>
      <c r="R578" s="3190" t="s">
        <v>4504</v>
      </c>
      <c r="S578" s="3190" t="s">
        <v>3843</v>
      </c>
      <c r="T578" s="3190">
        <v>8</v>
      </c>
      <c r="U578" s="3190">
        <v>-3</v>
      </c>
      <c r="V578" s="3190">
        <v>52.93</v>
      </c>
      <c r="W578" s="3190" t="s">
        <v>4593</v>
      </c>
      <c r="X578" s="3190" t="s">
        <v>4593</v>
      </c>
      <c r="Y578" s="3190">
        <v>3334</v>
      </c>
      <c r="Z578" s="3190">
        <v>17.649100000000001</v>
      </c>
    </row>
    <row r="579" spans="16:26">
      <c r="P579" s="3190">
        <v>398</v>
      </c>
      <c r="Q579" s="3190" t="s">
        <v>4545</v>
      </c>
      <c r="R579" s="3190" t="s">
        <v>4504</v>
      </c>
      <c r="S579" s="3190" t="s">
        <v>3844</v>
      </c>
      <c r="T579" s="3190">
        <v>8</v>
      </c>
      <c r="U579" s="3190">
        <v>-3</v>
      </c>
      <c r="V579" s="3190">
        <v>52.93</v>
      </c>
      <c r="W579" s="3190" t="s">
        <v>4593</v>
      </c>
      <c r="X579" s="3190" t="s">
        <v>4593</v>
      </c>
      <c r="Y579" s="3190">
        <v>3334</v>
      </c>
      <c r="Z579" s="3190">
        <v>17.649100000000001</v>
      </c>
    </row>
    <row r="580" spans="16:26">
      <c r="P580" s="3190">
        <v>399</v>
      </c>
      <c r="Q580" s="3190" t="s">
        <v>4545</v>
      </c>
      <c r="R580" s="3190" t="s">
        <v>4504</v>
      </c>
      <c r="S580" s="3190" t="s">
        <v>3845</v>
      </c>
      <c r="T580" s="3190">
        <v>8</v>
      </c>
      <c r="U580" s="3190">
        <v>-3</v>
      </c>
      <c r="V580" s="3190">
        <v>52.93</v>
      </c>
      <c r="W580" s="3190" t="s">
        <v>4593</v>
      </c>
      <c r="X580" s="3190" t="s">
        <v>4593</v>
      </c>
      <c r="Y580" s="3190">
        <v>3334</v>
      </c>
      <c r="Z580" s="3190">
        <v>17.649100000000001</v>
      </c>
    </row>
    <row r="581" spans="16:26">
      <c r="P581" s="3190">
        <v>400</v>
      </c>
      <c r="Q581" s="3190" t="s">
        <v>4545</v>
      </c>
      <c r="R581" s="3190" t="s">
        <v>4504</v>
      </c>
      <c r="S581" s="3190" t="s">
        <v>3846</v>
      </c>
      <c r="T581" s="3190">
        <v>8</v>
      </c>
      <c r="U581" s="3190">
        <v>-3</v>
      </c>
      <c r="V581" s="3190">
        <v>52.93</v>
      </c>
      <c r="W581" s="3190" t="s">
        <v>4593</v>
      </c>
      <c r="X581" s="3190" t="s">
        <v>4593</v>
      </c>
      <c r="Y581" s="3190">
        <v>3334</v>
      </c>
      <c r="Z581" s="3190">
        <v>17.649100000000001</v>
      </c>
    </row>
    <row r="582" spans="16:26">
      <c r="P582" s="3190">
        <v>401</v>
      </c>
      <c r="Q582" s="3190" t="s">
        <v>4545</v>
      </c>
      <c r="R582" s="3190" t="s">
        <v>4504</v>
      </c>
      <c r="S582" s="3190" t="s">
        <v>3847</v>
      </c>
      <c r="T582" s="3190">
        <v>8</v>
      </c>
      <c r="U582" s="3190">
        <v>-3</v>
      </c>
      <c r="V582" s="3190">
        <v>52.93</v>
      </c>
      <c r="W582" s="3190" t="s">
        <v>4593</v>
      </c>
      <c r="X582" s="3190" t="s">
        <v>4593</v>
      </c>
      <c r="Y582" s="3190">
        <v>3334</v>
      </c>
      <c r="Z582" s="3190">
        <v>17.649100000000001</v>
      </c>
    </row>
    <row r="583" spans="16:26">
      <c r="P583" s="3190">
        <v>402</v>
      </c>
      <c r="Q583" s="3190" t="s">
        <v>4545</v>
      </c>
      <c r="R583" s="3190" t="s">
        <v>4504</v>
      </c>
      <c r="S583" s="3190" t="s">
        <v>3848</v>
      </c>
      <c r="T583" s="3190">
        <v>8</v>
      </c>
      <c r="U583" s="3190">
        <v>-3</v>
      </c>
      <c r="V583" s="3190">
        <v>52.93</v>
      </c>
      <c r="W583" s="3190" t="s">
        <v>4593</v>
      </c>
      <c r="X583" s="3190" t="s">
        <v>4593</v>
      </c>
      <c r="Y583" s="3190">
        <v>3334</v>
      </c>
      <c r="Z583" s="3190">
        <v>17.649100000000001</v>
      </c>
    </row>
    <row r="584" spans="16:26">
      <c r="P584" s="3190">
        <v>403</v>
      </c>
      <c r="Q584" s="3190" t="s">
        <v>4545</v>
      </c>
      <c r="R584" s="3190" t="s">
        <v>4504</v>
      </c>
      <c r="S584" s="3190" t="s">
        <v>3849</v>
      </c>
      <c r="T584" s="3190">
        <v>8</v>
      </c>
      <c r="U584" s="3190">
        <v>-3</v>
      </c>
      <c r="V584" s="3190">
        <v>52.93</v>
      </c>
      <c r="W584" s="3190" t="s">
        <v>4593</v>
      </c>
      <c r="X584" s="3190" t="s">
        <v>4593</v>
      </c>
      <c r="Y584" s="3190">
        <v>3334</v>
      </c>
      <c r="Z584" s="3190">
        <v>17.649100000000001</v>
      </c>
    </row>
    <row r="585" spans="16:26">
      <c r="P585" s="3190">
        <v>404</v>
      </c>
      <c r="Q585" s="3190" t="s">
        <v>4545</v>
      </c>
      <c r="R585" s="3190" t="s">
        <v>4504</v>
      </c>
      <c r="S585" s="3190" t="s">
        <v>3850</v>
      </c>
      <c r="T585" s="3190">
        <v>8</v>
      </c>
      <c r="U585" s="3190">
        <v>-3</v>
      </c>
      <c r="V585" s="3190">
        <v>52.93</v>
      </c>
      <c r="W585" s="3190" t="s">
        <v>4593</v>
      </c>
      <c r="X585" s="3190" t="s">
        <v>4593</v>
      </c>
      <c r="Y585" s="3190">
        <v>3334</v>
      </c>
      <c r="Z585" s="3190">
        <v>17.649100000000001</v>
      </c>
    </row>
    <row r="586" spans="16:26">
      <c r="P586" s="3190">
        <v>405</v>
      </c>
      <c r="Q586" s="3190" t="s">
        <v>4545</v>
      </c>
      <c r="R586" s="3190" t="s">
        <v>4504</v>
      </c>
      <c r="S586" s="3190" t="s">
        <v>3851</v>
      </c>
      <c r="T586" s="3190">
        <v>8</v>
      </c>
      <c r="U586" s="3190">
        <v>-3</v>
      </c>
      <c r="V586" s="3190">
        <v>52.93</v>
      </c>
      <c r="W586" s="3190" t="s">
        <v>4593</v>
      </c>
      <c r="X586" s="3190" t="s">
        <v>4593</v>
      </c>
      <c r="Y586" s="3190">
        <v>3334</v>
      </c>
      <c r="Z586" s="3190">
        <v>17.649100000000001</v>
      </c>
    </row>
    <row r="587" spans="16:26">
      <c r="P587" s="3190">
        <v>406</v>
      </c>
      <c r="Q587" s="3190" t="s">
        <v>4545</v>
      </c>
      <c r="R587" s="3190" t="s">
        <v>4504</v>
      </c>
      <c r="S587" s="3190" t="s">
        <v>3852</v>
      </c>
      <c r="T587" s="3190">
        <v>8</v>
      </c>
      <c r="U587" s="3190">
        <v>-3</v>
      </c>
      <c r="V587" s="3190">
        <v>59.92</v>
      </c>
      <c r="W587" s="3190" t="s">
        <v>4593</v>
      </c>
      <c r="X587" s="3190" t="s">
        <v>4593</v>
      </c>
      <c r="Y587" s="3190">
        <v>2945</v>
      </c>
      <c r="Z587" s="3190">
        <v>17.649100000000001</v>
      </c>
    </row>
    <row r="588" spans="16:26">
      <c r="P588" s="3190">
        <v>407</v>
      </c>
      <c r="Q588" s="3190" t="s">
        <v>4545</v>
      </c>
      <c r="R588" s="3190" t="s">
        <v>4504</v>
      </c>
      <c r="S588" s="3190" t="s">
        <v>3853</v>
      </c>
      <c r="T588" s="3190">
        <v>8</v>
      </c>
      <c r="U588" s="3190">
        <v>-3</v>
      </c>
      <c r="V588" s="3190">
        <v>52.93</v>
      </c>
      <c r="W588" s="3190" t="s">
        <v>4593</v>
      </c>
      <c r="X588" s="3190" t="s">
        <v>4593</v>
      </c>
      <c r="Y588" s="3190">
        <v>3334</v>
      </c>
      <c r="Z588" s="3190">
        <v>17.649100000000001</v>
      </c>
    </row>
    <row r="589" spans="16:26">
      <c r="P589" s="3190">
        <v>408</v>
      </c>
      <c r="Q589" s="3190" t="s">
        <v>4545</v>
      </c>
      <c r="R589" s="3190" t="s">
        <v>4504</v>
      </c>
      <c r="S589" s="3190" t="s">
        <v>3854</v>
      </c>
      <c r="T589" s="3190">
        <v>8</v>
      </c>
      <c r="U589" s="3190">
        <v>-3</v>
      </c>
      <c r="V589" s="3190">
        <v>52.93</v>
      </c>
      <c r="W589" s="3190" t="s">
        <v>4593</v>
      </c>
      <c r="X589" s="3190" t="s">
        <v>4593</v>
      </c>
      <c r="Y589" s="3190">
        <v>3334</v>
      </c>
      <c r="Z589" s="3190">
        <v>17.649100000000001</v>
      </c>
    </row>
    <row r="590" spans="16:26">
      <c r="P590" s="3190">
        <v>409</v>
      </c>
      <c r="Q590" s="3190" t="s">
        <v>4545</v>
      </c>
      <c r="R590" s="3190" t="s">
        <v>4504</v>
      </c>
      <c r="S590" s="3190" t="s">
        <v>3855</v>
      </c>
      <c r="T590" s="3190">
        <v>8</v>
      </c>
      <c r="U590" s="3190">
        <v>-3</v>
      </c>
      <c r="V590" s="3190">
        <v>52.93</v>
      </c>
      <c r="W590" s="3190" t="s">
        <v>4593</v>
      </c>
      <c r="X590" s="3190" t="s">
        <v>4593</v>
      </c>
      <c r="Y590" s="3190">
        <v>3334</v>
      </c>
      <c r="Z590" s="3190">
        <v>17.649100000000001</v>
      </c>
    </row>
    <row r="591" spans="16:26">
      <c r="P591" s="3190">
        <v>410</v>
      </c>
      <c r="Q591" s="3190" t="s">
        <v>4545</v>
      </c>
      <c r="R591" s="3190" t="s">
        <v>4504</v>
      </c>
      <c r="S591" s="3190" t="s">
        <v>3856</v>
      </c>
      <c r="T591" s="3190">
        <v>8</v>
      </c>
      <c r="U591" s="3190">
        <v>-3</v>
      </c>
      <c r="V591" s="3190">
        <v>52.93</v>
      </c>
      <c r="W591" s="3190" t="s">
        <v>4593</v>
      </c>
      <c r="X591" s="3190" t="s">
        <v>4593</v>
      </c>
      <c r="Y591" s="3190">
        <v>3334</v>
      </c>
      <c r="Z591" s="3190">
        <v>17.649100000000001</v>
      </c>
    </row>
    <row r="592" spans="16:26">
      <c r="P592" s="3190">
        <v>411</v>
      </c>
      <c r="Q592" s="3190" t="s">
        <v>4545</v>
      </c>
      <c r="R592" s="3190" t="s">
        <v>4504</v>
      </c>
      <c r="S592" s="3190" t="s">
        <v>3857</v>
      </c>
      <c r="T592" s="3190">
        <v>8</v>
      </c>
      <c r="U592" s="3190">
        <v>-3</v>
      </c>
      <c r="V592" s="3190">
        <v>52.93</v>
      </c>
      <c r="W592" s="3190" t="s">
        <v>4593</v>
      </c>
      <c r="X592" s="3190" t="s">
        <v>4593</v>
      </c>
      <c r="Y592" s="3190">
        <v>3334</v>
      </c>
      <c r="Z592" s="3190">
        <v>17.649100000000001</v>
      </c>
    </row>
    <row r="593" spans="16:26">
      <c r="P593" s="3190">
        <v>412</v>
      </c>
      <c r="Q593" s="3190" t="s">
        <v>4545</v>
      </c>
      <c r="R593" s="3190" t="s">
        <v>4504</v>
      </c>
      <c r="S593" s="3190" t="s">
        <v>3858</v>
      </c>
      <c r="T593" s="3190">
        <v>8</v>
      </c>
      <c r="U593" s="3190">
        <v>-3</v>
      </c>
      <c r="V593" s="3190">
        <v>52.93</v>
      </c>
      <c r="W593" s="3190" t="s">
        <v>4593</v>
      </c>
      <c r="X593" s="3190" t="s">
        <v>4593</v>
      </c>
      <c r="Y593" s="3190">
        <v>3334</v>
      </c>
      <c r="Z593" s="3190">
        <v>17.649100000000001</v>
      </c>
    </row>
    <row r="594" spans="16:26">
      <c r="P594" s="3190">
        <v>413</v>
      </c>
      <c r="Q594" s="3190" t="s">
        <v>4545</v>
      </c>
      <c r="R594" s="3190" t="s">
        <v>4504</v>
      </c>
      <c r="S594" s="3190" t="s">
        <v>3859</v>
      </c>
      <c r="T594" s="3190">
        <v>8</v>
      </c>
      <c r="U594" s="3190">
        <v>-3</v>
      </c>
      <c r="V594" s="3190">
        <v>52.93</v>
      </c>
      <c r="W594" s="3190" t="s">
        <v>4593</v>
      </c>
      <c r="X594" s="3190" t="s">
        <v>4593</v>
      </c>
      <c r="Y594" s="3190">
        <v>3334</v>
      </c>
      <c r="Z594" s="3190">
        <v>17.649100000000001</v>
      </c>
    </row>
    <row r="595" spans="16:26">
      <c r="P595" s="3190">
        <v>414</v>
      </c>
      <c r="Q595" s="3190" t="s">
        <v>4545</v>
      </c>
      <c r="R595" s="3190" t="s">
        <v>4504</v>
      </c>
      <c r="S595" s="3190" t="s">
        <v>3860</v>
      </c>
      <c r="T595" s="3190">
        <v>8</v>
      </c>
      <c r="U595" s="3190">
        <v>-3</v>
      </c>
      <c r="V595" s="3190">
        <v>59.92</v>
      </c>
      <c r="W595" s="3190" t="s">
        <v>4593</v>
      </c>
      <c r="X595" s="3190" t="s">
        <v>4593</v>
      </c>
      <c r="Y595" s="3190">
        <v>2945</v>
      </c>
      <c r="Z595" s="3190">
        <v>17.649100000000001</v>
      </c>
    </row>
    <row r="596" spans="16:26">
      <c r="P596" s="3190">
        <v>415</v>
      </c>
      <c r="Q596" s="3190" t="s">
        <v>4545</v>
      </c>
      <c r="R596" s="3190" t="s">
        <v>4504</v>
      </c>
      <c r="S596" s="3190" t="s">
        <v>3861</v>
      </c>
      <c r="T596" s="3190">
        <v>8</v>
      </c>
      <c r="U596" s="3190">
        <v>-3</v>
      </c>
      <c r="V596" s="3190">
        <v>59.92</v>
      </c>
      <c r="W596" s="3190" t="s">
        <v>4593</v>
      </c>
      <c r="X596" s="3190" t="s">
        <v>4593</v>
      </c>
      <c r="Y596" s="3190">
        <v>2945</v>
      </c>
      <c r="Z596" s="3190">
        <v>17.649100000000001</v>
      </c>
    </row>
    <row r="597" spans="16:26">
      <c r="P597" s="3190">
        <v>416</v>
      </c>
      <c r="Q597" s="3190" t="s">
        <v>4545</v>
      </c>
      <c r="R597" s="3190" t="s">
        <v>4504</v>
      </c>
      <c r="S597" s="3190" t="s">
        <v>3862</v>
      </c>
      <c r="T597" s="3190">
        <v>8</v>
      </c>
      <c r="U597" s="3190">
        <v>-3</v>
      </c>
      <c r="V597" s="3190">
        <v>59.92</v>
      </c>
      <c r="W597" s="3190" t="s">
        <v>4593</v>
      </c>
      <c r="X597" s="3190" t="s">
        <v>4593</v>
      </c>
      <c r="Y597" s="3190">
        <v>2945</v>
      </c>
      <c r="Z597" s="3190">
        <v>17.649100000000001</v>
      </c>
    </row>
    <row r="598" spans="16:26">
      <c r="P598" s="3190">
        <v>417</v>
      </c>
      <c r="Q598" s="3190" t="s">
        <v>4545</v>
      </c>
      <c r="R598" s="3190" t="s">
        <v>4504</v>
      </c>
      <c r="S598" s="3190" t="s">
        <v>3863</v>
      </c>
      <c r="T598" s="3190">
        <v>8</v>
      </c>
      <c r="U598" s="3190">
        <v>-3</v>
      </c>
      <c r="V598" s="3190">
        <v>59.92</v>
      </c>
      <c r="W598" s="3190" t="s">
        <v>4593</v>
      </c>
      <c r="X598" s="3190" t="s">
        <v>4593</v>
      </c>
      <c r="Y598" s="3190">
        <v>2945</v>
      </c>
      <c r="Z598" s="3190">
        <v>17.649100000000001</v>
      </c>
    </row>
    <row r="599" spans="16:26">
      <c r="P599" s="3190">
        <v>418</v>
      </c>
      <c r="Q599" s="3190" t="s">
        <v>4545</v>
      </c>
      <c r="R599" s="3190" t="s">
        <v>4504</v>
      </c>
      <c r="S599" s="3190" t="s">
        <v>3864</v>
      </c>
      <c r="T599" s="3190">
        <v>8</v>
      </c>
      <c r="U599" s="3190">
        <v>-3</v>
      </c>
      <c r="V599" s="3190">
        <v>59.92</v>
      </c>
      <c r="W599" s="3190" t="s">
        <v>4593</v>
      </c>
      <c r="X599" s="3190" t="s">
        <v>4593</v>
      </c>
      <c r="Y599" s="3190">
        <v>2945</v>
      </c>
      <c r="Z599" s="3190">
        <v>17.649100000000001</v>
      </c>
    </row>
    <row r="600" spans="16:26">
      <c r="P600" s="3190">
        <v>419</v>
      </c>
      <c r="Q600" s="3190" t="s">
        <v>4545</v>
      </c>
      <c r="R600" s="3190" t="s">
        <v>4504</v>
      </c>
      <c r="S600" s="3190" t="s">
        <v>3865</v>
      </c>
      <c r="T600" s="3190">
        <v>8</v>
      </c>
      <c r="U600" s="3190">
        <v>-3</v>
      </c>
      <c r="V600" s="3190">
        <v>59.92</v>
      </c>
      <c r="W600" s="3190" t="s">
        <v>4593</v>
      </c>
      <c r="X600" s="3190" t="s">
        <v>4593</v>
      </c>
      <c r="Y600" s="3190">
        <v>2945</v>
      </c>
      <c r="Z600" s="3190">
        <v>17.649100000000001</v>
      </c>
    </row>
    <row r="601" spans="16:26">
      <c r="P601" s="3190">
        <v>420</v>
      </c>
      <c r="Q601" s="3190" t="s">
        <v>4545</v>
      </c>
      <c r="R601" s="3190" t="s">
        <v>4504</v>
      </c>
      <c r="S601" s="3190" t="s">
        <v>3866</v>
      </c>
      <c r="T601" s="3190">
        <v>8</v>
      </c>
      <c r="U601" s="3190">
        <v>-3</v>
      </c>
      <c r="V601" s="3190">
        <v>59.92</v>
      </c>
      <c r="W601" s="3190" t="s">
        <v>4593</v>
      </c>
      <c r="X601" s="3190" t="s">
        <v>4593</v>
      </c>
      <c r="Y601" s="3190">
        <v>2945</v>
      </c>
      <c r="Z601" s="3190">
        <v>17.649100000000001</v>
      </c>
    </row>
    <row r="602" spans="16:26">
      <c r="P602" s="3190">
        <v>421</v>
      </c>
      <c r="Q602" s="3190" t="s">
        <v>4545</v>
      </c>
      <c r="R602" s="3190" t="s">
        <v>4504</v>
      </c>
      <c r="S602" s="3190" t="s">
        <v>3867</v>
      </c>
      <c r="T602" s="3190">
        <v>8</v>
      </c>
      <c r="U602" s="3190">
        <v>-3</v>
      </c>
      <c r="V602" s="3190">
        <v>59.92</v>
      </c>
      <c r="W602" s="3190" t="s">
        <v>4593</v>
      </c>
      <c r="X602" s="3190" t="s">
        <v>4593</v>
      </c>
      <c r="Y602" s="3190">
        <v>2945</v>
      </c>
      <c r="Z602" s="3190">
        <v>17.649100000000001</v>
      </c>
    </row>
    <row r="603" spans="16:26">
      <c r="P603" s="3190">
        <v>422</v>
      </c>
      <c r="Q603" s="3190" t="s">
        <v>4545</v>
      </c>
      <c r="R603" s="3190" t="s">
        <v>4504</v>
      </c>
      <c r="S603" s="3190" t="s">
        <v>3868</v>
      </c>
      <c r="T603" s="3190">
        <v>8</v>
      </c>
      <c r="U603" s="3190">
        <v>-3</v>
      </c>
      <c r="V603" s="3190">
        <v>59.92</v>
      </c>
      <c r="W603" s="3190" t="s">
        <v>4593</v>
      </c>
      <c r="X603" s="3190" t="s">
        <v>4593</v>
      </c>
      <c r="Y603" s="3190">
        <v>2945</v>
      </c>
      <c r="Z603" s="3190">
        <v>17.649100000000001</v>
      </c>
    </row>
    <row r="604" spans="16:26">
      <c r="P604" s="3190">
        <v>423</v>
      </c>
      <c r="Q604" s="3190" t="s">
        <v>4545</v>
      </c>
      <c r="R604" s="3190" t="s">
        <v>4504</v>
      </c>
      <c r="S604" s="3190" t="s">
        <v>3869</v>
      </c>
      <c r="T604" s="3190">
        <v>8</v>
      </c>
      <c r="U604" s="3190">
        <v>-3</v>
      </c>
      <c r="V604" s="3190">
        <v>59.92</v>
      </c>
      <c r="W604" s="3190" t="s">
        <v>4593</v>
      </c>
      <c r="X604" s="3190" t="s">
        <v>4593</v>
      </c>
      <c r="Y604" s="3190">
        <v>2945</v>
      </c>
      <c r="Z604" s="3190">
        <v>17.649100000000001</v>
      </c>
    </row>
    <row r="605" spans="16:26">
      <c r="P605" s="3190">
        <v>424</v>
      </c>
      <c r="Q605" s="3190" t="s">
        <v>4545</v>
      </c>
      <c r="R605" s="3190" t="s">
        <v>4504</v>
      </c>
      <c r="S605" s="3190" t="s">
        <v>3870</v>
      </c>
      <c r="T605" s="3190">
        <v>8</v>
      </c>
      <c r="U605" s="3190">
        <v>-3</v>
      </c>
      <c r="V605" s="3190">
        <v>52.93</v>
      </c>
      <c r="W605" s="3190" t="s">
        <v>4593</v>
      </c>
      <c r="X605" s="3190" t="s">
        <v>4593</v>
      </c>
      <c r="Y605" s="3190">
        <v>3334</v>
      </c>
      <c r="Z605" s="3190">
        <v>17.649100000000001</v>
      </c>
    </row>
    <row r="606" spans="16:26">
      <c r="P606" s="3190">
        <v>425</v>
      </c>
      <c r="Q606" s="3190" t="s">
        <v>4545</v>
      </c>
      <c r="R606" s="3190" t="s">
        <v>4504</v>
      </c>
      <c r="S606" s="3190" t="s">
        <v>3871</v>
      </c>
      <c r="T606" s="3190">
        <v>8</v>
      </c>
      <c r="U606" s="3190">
        <v>-3</v>
      </c>
      <c r="V606" s="3190">
        <v>52.93</v>
      </c>
      <c r="W606" s="3190" t="s">
        <v>4593</v>
      </c>
      <c r="X606" s="3190" t="s">
        <v>4593</v>
      </c>
      <c r="Y606" s="3190">
        <v>3334</v>
      </c>
      <c r="Z606" s="3190">
        <v>17.649100000000001</v>
      </c>
    </row>
    <row r="607" spans="16:26">
      <c r="P607" s="3190">
        <v>426</v>
      </c>
      <c r="Q607" s="3190" t="s">
        <v>4545</v>
      </c>
      <c r="R607" s="3190" t="s">
        <v>4504</v>
      </c>
      <c r="S607" s="3190" t="s">
        <v>3872</v>
      </c>
      <c r="T607" s="3190">
        <v>8</v>
      </c>
      <c r="U607" s="3190">
        <v>-3</v>
      </c>
      <c r="V607" s="3190">
        <v>50.93</v>
      </c>
      <c r="W607" s="3190" t="s">
        <v>4593</v>
      </c>
      <c r="X607" s="3190" t="s">
        <v>4593</v>
      </c>
      <c r="Y607" s="3190">
        <v>3465</v>
      </c>
      <c r="Z607" s="3190">
        <v>17.649100000000001</v>
      </c>
    </row>
    <row r="608" spans="16:26">
      <c r="P608" s="3190">
        <v>427</v>
      </c>
      <c r="Q608" s="3190" t="s">
        <v>4545</v>
      </c>
      <c r="R608" s="3190" t="s">
        <v>4504</v>
      </c>
      <c r="S608" s="3190" t="s">
        <v>3873</v>
      </c>
      <c r="T608" s="3190">
        <v>8</v>
      </c>
      <c r="U608" s="3190">
        <v>-3</v>
      </c>
      <c r="V608" s="3190">
        <v>89.38</v>
      </c>
      <c r="W608" s="3190" t="s">
        <v>4593</v>
      </c>
      <c r="X608" s="3190" t="s">
        <v>4593</v>
      </c>
      <c r="Y608" s="3190">
        <v>2567</v>
      </c>
      <c r="Z608" s="3190">
        <v>22.9438</v>
      </c>
    </row>
    <row r="609" spans="16:26">
      <c r="P609" s="3190">
        <v>428</v>
      </c>
      <c r="Q609" s="3190" t="s">
        <v>4545</v>
      </c>
      <c r="R609" s="3190" t="s">
        <v>4504</v>
      </c>
      <c r="S609" s="3190" t="s">
        <v>3874</v>
      </c>
      <c r="T609" s="3190">
        <v>8</v>
      </c>
      <c r="U609" s="3190">
        <v>-3</v>
      </c>
      <c r="V609" s="3190">
        <v>50.93</v>
      </c>
      <c r="W609" s="3190" t="s">
        <v>4593</v>
      </c>
      <c r="X609" s="3190" t="s">
        <v>4593</v>
      </c>
      <c r="Y609" s="3190">
        <v>3465</v>
      </c>
      <c r="Z609" s="3190">
        <v>17.649100000000001</v>
      </c>
    </row>
    <row r="610" spans="16:26">
      <c r="P610" s="3190">
        <v>429</v>
      </c>
      <c r="Q610" s="3190" t="s">
        <v>4545</v>
      </c>
      <c r="R610" s="3190" t="s">
        <v>4504</v>
      </c>
      <c r="S610" s="3190" t="s">
        <v>3875</v>
      </c>
      <c r="T610" s="3190">
        <v>8</v>
      </c>
      <c r="U610" s="3190">
        <v>-3</v>
      </c>
      <c r="V610" s="3190">
        <v>50.93</v>
      </c>
      <c r="W610" s="3190" t="s">
        <v>4593</v>
      </c>
      <c r="X610" s="3190" t="s">
        <v>4593</v>
      </c>
      <c r="Y610" s="3190">
        <v>3465</v>
      </c>
      <c r="Z610" s="3190">
        <v>17.649100000000001</v>
      </c>
    </row>
    <row r="611" spans="16:26">
      <c r="P611" s="3190">
        <v>430</v>
      </c>
      <c r="Q611" s="3190" t="s">
        <v>4545</v>
      </c>
      <c r="R611" s="3190" t="s">
        <v>4504</v>
      </c>
      <c r="S611" s="3190" t="s">
        <v>3876</v>
      </c>
      <c r="T611" s="3190">
        <v>8</v>
      </c>
      <c r="U611" s="3190">
        <v>-3</v>
      </c>
      <c r="V611" s="3190">
        <v>89.38</v>
      </c>
      <c r="W611" s="3190" t="s">
        <v>4593</v>
      </c>
      <c r="X611" s="3190" t="s">
        <v>4593</v>
      </c>
      <c r="Y611" s="3190">
        <v>2567</v>
      </c>
      <c r="Z611" s="3190">
        <v>22.9438</v>
      </c>
    </row>
    <row r="612" spans="16:26">
      <c r="P612" s="3190">
        <v>431</v>
      </c>
      <c r="Q612" s="3190" t="s">
        <v>4545</v>
      </c>
      <c r="R612" s="3190" t="s">
        <v>4504</v>
      </c>
      <c r="S612" s="3190" t="s">
        <v>3877</v>
      </c>
      <c r="T612" s="3190">
        <v>8</v>
      </c>
      <c r="U612" s="3190">
        <v>-3</v>
      </c>
      <c r="V612" s="3190">
        <v>89.38</v>
      </c>
      <c r="W612" s="3190" t="s">
        <v>4593</v>
      </c>
      <c r="X612" s="3190" t="s">
        <v>4593</v>
      </c>
      <c r="Y612" s="3190">
        <v>2567</v>
      </c>
      <c r="Z612" s="3190">
        <v>22.9438</v>
      </c>
    </row>
    <row r="613" spans="16:26">
      <c r="P613" s="3190">
        <v>432</v>
      </c>
      <c r="Q613" s="3190" t="s">
        <v>4545</v>
      </c>
      <c r="R613" s="3190" t="s">
        <v>4504</v>
      </c>
      <c r="S613" s="3190" t="s">
        <v>3878</v>
      </c>
      <c r="T613" s="3190">
        <v>8</v>
      </c>
      <c r="U613" s="3190">
        <v>-3</v>
      </c>
      <c r="V613" s="3190">
        <v>52.93</v>
      </c>
      <c r="W613" s="3190" t="s">
        <v>4593</v>
      </c>
      <c r="X613" s="3190" t="s">
        <v>4593</v>
      </c>
      <c r="Y613" s="3190">
        <v>3334</v>
      </c>
      <c r="Z613" s="3190">
        <v>17.649100000000001</v>
      </c>
    </row>
    <row r="614" spans="16:26">
      <c r="P614" s="3190">
        <v>433</v>
      </c>
      <c r="Q614" s="3190" t="s">
        <v>4545</v>
      </c>
      <c r="R614" s="3190" t="s">
        <v>4504</v>
      </c>
      <c r="S614" s="3190" t="s">
        <v>3879</v>
      </c>
      <c r="T614" s="3190">
        <v>8</v>
      </c>
      <c r="U614" s="3190">
        <v>-3</v>
      </c>
      <c r="V614" s="3190">
        <v>50.93</v>
      </c>
      <c r="W614" s="3190" t="s">
        <v>4593</v>
      </c>
      <c r="X614" s="3190" t="s">
        <v>4593</v>
      </c>
      <c r="Y614" s="3190">
        <v>3465</v>
      </c>
      <c r="Z614" s="3190">
        <v>17.649100000000001</v>
      </c>
    </row>
    <row r="615" spans="16:26">
      <c r="P615" s="3190">
        <v>434</v>
      </c>
      <c r="Q615" s="3190" t="s">
        <v>4545</v>
      </c>
      <c r="R615" s="3190" t="s">
        <v>4504</v>
      </c>
      <c r="S615" s="3190" t="s">
        <v>3880</v>
      </c>
      <c r="T615" s="3190">
        <v>8</v>
      </c>
      <c r="U615" s="3190">
        <v>-3</v>
      </c>
      <c r="V615" s="3190">
        <v>50.93</v>
      </c>
      <c r="W615" s="3190" t="s">
        <v>4593</v>
      </c>
      <c r="X615" s="3190" t="s">
        <v>4593</v>
      </c>
      <c r="Y615" s="3190">
        <v>3465</v>
      </c>
      <c r="Z615" s="3190">
        <v>17.649100000000001</v>
      </c>
    </row>
    <row r="616" spans="16:26">
      <c r="P616" s="3190">
        <v>435</v>
      </c>
      <c r="Q616" s="3190" t="s">
        <v>4545</v>
      </c>
      <c r="R616" s="3190" t="s">
        <v>4504</v>
      </c>
      <c r="S616" s="3190" t="s">
        <v>3881</v>
      </c>
      <c r="T616" s="3190">
        <v>8</v>
      </c>
      <c r="U616" s="3190">
        <v>-3</v>
      </c>
      <c r="V616" s="3190">
        <v>50.93</v>
      </c>
      <c r="W616" s="3190" t="s">
        <v>4593</v>
      </c>
      <c r="X616" s="3190" t="s">
        <v>4593</v>
      </c>
      <c r="Y616" s="3190">
        <v>3465</v>
      </c>
      <c r="Z616" s="3190">
        <v>17.649100000000001</v>
      </c>
    </row>
    <row r="617" spans="16:26">
      <c r="P617" s="3190">
        <v>436</v>
      </c>
      <c r="Q617" s="3190" t="s">
        <v>4545</v>
      </c>
      <c r="R617" s="3190" t="s">
        <v>4504</v>
      </c>
      <c r="S617" s="3190" t="s">
        <v>3882</v>
      </c>
      <c r="T617" s="3190">
        <v>8</v>
      </c>
      <c r="U617" s="3190">
        <v>-3</v>
      </c>
      <c r="V617" s="3190">
        <v>50.93</v>
      </c>
      <c r="W617" s="3190" t="s">
        <v>4593</v>
      </c>
      <c r="X617" s="3190" t="s">
        <v>4593</v>
      </c>
      <c r="Y617" s="3190">
        <v>3465</v>
      </c>
      <c r="Z617" s="3190">
        <v>17.649100000000001</v>
      </c>
    </row>
    <row r="618" spans="16:26">
      <c r="P618" s="3190">
        <v>437</v>
      </c>
      <c r="Q618" s="3190" t="s">
        <v>4545</v>
      </c>
      <c r="R618" s="3190" t="s">
        <v>4504</v>
      </c>
      <c r="S618" s="3190" t="s">
        <v>3883</v>
      </c>
      <c r="T618" s="3190">
        <v>8</v>
      </c>
      <c r="U618" s="3190">
        <v>-3</v>
      </c>
      <c r="V618" s="3190">
        <v>50.93</v>
      </c>
      <c r="W618" s="3190" t="s">
        <v>4593</v>
      </c>
      <c r="X618" s="3190" t="s">
        <v>4593</v>
      </c>
      <c r="Y618" s="3190">
        <v>3465</v>
      </c>
      <c r="Z618" s="3190">
        <v>17.649100000000001</v>
      </c>
    </row>
    <row r="619" spans="16:26">
      <c r="P619" s="3190">
        <v>438</v>
      </c>
      <c r="Q619" s="3190" t="s">
        <v>4545</v>
      </c>
      <c r="R619" s="3190" t="s">
        <v>4504</v>
      </c>
      <c r="S619" s="3190" t="s">
        <v>3884</v>
      </c>
      <c r="T619" s="3190">
        <v>8</v>
      </c>
      <c r="U619" s="3190">
        <v>-3</v>
      </c>
      <c r="V619" s="3190">
        <v>50.93</v>
      </c>
      <c r="W619" s="3190" t="s">
        <v>4593</v>
      </c>
      <c r="X619" s="3190" t="s">
        <v>4593</v>
      </c>
      <c r="Y619" s="3190">
        <v>3465</v>
      </c>
      <c r="Z619" s="3190">
        <v>17.649100000000001</v>
      </c>
    </row>
    <row r="620" spans="16:26">
      <c r="P620" s="3190">
        <v>439</v>
      </c>
      <c r="Q620" s="3190" t="s">
        <v>4545</v>
      </c>
      <c r="R620" s="3190" t="s">
        <v>4504</v>
      </c>
      <c r="S620" s="3190" t="s">
        <v>3885</v>
      </c>
      <c r="T620" s="3190">
        <v>8</v>
      </c>
      <c r="U620" s="3190">
        <v>-3</v>
      </c>
      <c r="V620" s="3190">
        <v>50.93</v>
      </c>
      <c r="W620" s="3190" t="s">
        <v>4593</v>
      </c>
      <c r="X620" s="3190" t="s">
        <v>4593</v>
      </c>
      <c r="Y620" s="3190">
        <v>3465</v>
      </c>
      <c r="Z620" s="3190">
        <v>17.649100000000001</v>
      </c>
    </row>
    <row r="621" spans="16:26">
      <c r="P621" s="3190">
        <v>440</v>
      </c>
      <c r="Q621" s="3190" t="s">
        <v>4545</v>
      </c>
      <c r="R621" s="3190" t="s">
        <v>4504</v>
      </c>
      <c r="S621" s="3190" t="s">
        <v>3886</v>
      </c>
      <c r="T621" s="3190">
        <v>8</v>
      </c>
      <c r="U621" s="3190">
        <v>-3</v>
      </c>
      <c r="V621" s="3190">
        <v>50.93</v>
      </c>
      <c r="W621" s="3190" t="s">
        <v>4593</v>
      </c>
      <c r="X621" s="3190" t="s">
        <v>4593</v>
      </c>
      <c r="Y621" s="3190">
        <v>3465</v>
      </c>
      <c r="Z621" s="3190">
        <v>17.649100000000001</v>
      </c>
    </row>
    <row r="622" spans="16:26">
      <c r="P622" s="3190">
        <v>441</v>
      </c>
      <c r="Q622" s="3190" t="s">
        <v>4545</v>
      </c>
      <c r="R622" s="3190" t="s">
        <v>4504</v>
      </c>
      <c r="S622" s="3190" t="s">
        <v>3887</v>
      </c>
      <c r="T622" s="3190">
        <v>8</v>
      </c>
      <c r="U622" s="3190">
        <v>-3</v>
      </c>
      <c r="V622" s="3190">
        <v>50.93</v>
      </c>
      <c r="W622" s="3190" t="s">
        <v>4593</v>
      </c>
      <c r="X622" s="3190" t="s">
        <v>4593</v>
      </c>
      <c r="Y622" s="3190">
        <v>3465</v>
      </c>
      <c r="Z622" s="3190">
        <v>17.649100000000001</v>
      </c>
    </row>
    <row r="623" spans="16:26">
      <c r="P623" s="3190">
        <v>442</v>
      </c>
      <c r="Q623" s="3190" t="s">
        <v>4545</v>
      </c>
      <c r="R623" s="3190" t="s">
        <v>4504</v>
      </c>
      <c r="S623" s="3190" t="s">
        <v>3888</v>
      </c>
      <c r="T623" s="3190">
        <v>8</v>
      </c>
      <c r="U623" s="3190">
        <v>-3</v>
      </c>
      <c r="V623" s="3190">
        <v>50.93</v>
      </c>
      <c r="W623" s="3190" t="s">
        <v>4593</v>
      </c>
      <c r="X623" s="3190" t="s">
        <v>4593</v>
      </c>
      <c r="Y623" s="3190">
        <v>3465</v>
      </c>
      <c r="Z623" s="3190">
        <v>17.649100000000001</v>
      </c>
    </row>
    <row r="624" spans="16:26">
      <c r="P624" s="3190">
        <v>443</v>
      </c>
      <c r="Q624" s="3190" t="s">
        <v>4545</v>
      </c>
      <c r="R624" s="3190" t="s">
        <v>4504</v>
      </c>
      <c r="S624" s="3190" t="s">
        <v>3889</v>
      </c>
      <c r="T624" s="3190">
        <v>8</v>
      </c>
      <c r="U624" s="3190">
        <v>-3</v>
      </c>
      <c r="V624" s="3190">
        <v>50.93</v>
      </c>
      <c r="W624" s="3190" t="s">
        <v>4593</v>
      </c>
      <c r="X624" s="3190" t="s">
        <v>4593</v>
      </c>
      <c r="Y624" s="3190">
        <v>3465</v>
      </c>
      <c r="Z624" s="3190">
        <v>17.649100000000001</v>
      </c>
    </row>
    <row r="625" spans="16:26">
      <c r="P625" s="3190">
        <v>444</v>
      </c>
      <c r="Q625" s="3190" t="s">
        <v>4545</v>
      </c>
      <c r="R625" s="3190" t="s">
        <v>4504</v>
      </c>
      <c r="S625" s="3190" t="s">
        <v>3890</v>
      </c>
      <c r="T625" s="3190">
        <v>8</v>
      </c>
      <c r="U625" s="3190">
        <v>-3</v>
      </c>
      <c r="V625" s="3190">
        <v>50.93</v>
      </c>
      <c r="W625" s="3190" t="s">
        <v>4593</v>
      </c>
      <c r="X625" s="3190" t="s">
        <v>4593</v>
      </c>
      <c r="Y625" s="3190">
        <v>3465</v>
      </c>
      <c r="Z625" s="3190">
        <v>17.649100000000001</v>
      </c>
    </row>
    <row r="626" spans="16:26">
      <c r="P626" s="3190">
        <v>445</v>
      </c>
      <c r="Q626" s="3190" t="s">
        <v>4545</v>
      </c>
      <c r="R626" s="3190" t="s">
        <v>4504</v>
      </c>
      <c r="S626" s="3190" t="s">
        <v>3891</v>
      </c>
      <c r="T626" s="3190">
        <v>8</v>
      </c>
      <c r="U626" s="3190">
        <v>-3</v>
      </c>
      <c r="V626" s="3190">
        <v>50.93</v>
      </c>
      <c r="W626" s="3190" t="s">
        <v>4593</v>
      </c>
      <c r="X626" s="3190" t="s">
        <v>4593</v>
      </c>
      <c r="Y626" s="3190">
        <v>3465</v>
      </c>
      <c r="Z626" s="3190">
        <v>17.649100000000001</v>
      </c>
    </row>
    <row r="627" spans="16:26">
      <c r="P627" s="3190">
        <v>446</v>
      </c>
      <c r="Q627" s="3190" t="s">
        <v>4545</v>
      </c>
      <c r="R627" s="3190" t="s">
        <v>4504</v>
      </c>
      <c r="S627" s="3190" t="s">
        <v>3892</v>
      </c>
      <c r="T627" s="3190">
        <v>8</v>
      </c>
      <c r="U627" s="3190">
        <v>-3</v>
      </c>
      <c r="V627" s="3190">
        <v>50.93</v>
      </c>
      <c r="W627" s="3190" t="s">
        <v>4593</v>
      </c>
      <c r="X627" s="3190" t="s">
        <v>4593</v>
      </c>
      <c r="Y627" s="3190">
        <v>3465</v>
      </c>
      <c r="Z627" s="3190">
        <v>17.649100000000001</v>
      </c>
    </row>
    <row r="628" spans="16:26">
      <c r="P628" s="3190">
        <v>447</v>
      </c>
      <c r="Q628" s="3190" t="s">
        <v>4545</v>
      </c>
      <c r="R628" s="3190" t="s">
        <v>4504</v>
      </c>
      <c r="S628" s="3190" t="s">
        <v>3893</v>
      </c>
      <c r="T628" s="3190">
        <v>8</v>
      </c>
      <c r="U628" s="3190">
        <v>-3</v>
      </c>
      <c r="V628" s="3190">
        <v>50.93</v>
      </c>
      <c r="W628" s="3190" t="s">
        <v>4593</v>
      </c>
      <c r="X628" s="3190" t="s">
        <v>4593</v>
      </c>
      <c r="Y628" s="3190">
        <v>3465</v>
      </c>
      <c r="Z628" s="3190">
        <v>17.649100000000001</v>
      </c>
    </row>
    <row r="629" spans="16:26">
      <c r="P629" s="3190">
        <v>448</v>
      </c>
      <c r="Q629" s="3190" t="s">
        <v>4545</v>
      </c>
      <c r="R629" s="3190" t="s">
        <v>4504</v>
      </c>
      <c r="S629" s="3190" t="s">
        <v>3894</v>
      </c>
      <c r="T629" s="3190">
        <v>8</v>
      </c>
      <c r="U629" s="3190">
        <v>-3</v>
      </c>
      <c r="V629" s="3190">
        <v>50.93</v>
      </c>
      <c r="W629" s="3190" t="s">
        <v>4593</v>
      </c>
      <c r="X629" s="3190" t="s">
        <v>4593</v>
      </c>
      <c r="Y629" s="3190">
        <v>3465</v>
      </c>
      <c r="Z629" s="3190">
        <v>17.649100000000001</v>
      </c>
    </row>
    <row r="630" spans="16:26">
      <c r="P630" s="3190">
        <v>449</v>
      </c>
      <c r="Q630" s="3190" t="s">
        <v>4545</v>
      </c>
      <c r="R630" s="3190" t="s">
        <v>4504</v>
      </c>
      <c r="S630" s="3190" t="s">
        <v>3895</v>
      </c>
      <c r="T630" s="3190">
        <v>8</v>
      </c>
      <c r="U630" s="3190">
        <v>-3</v>
      </c>
      <c r="V630" s="3190">
        <v>50.93</v>
      </c>
      <c r="W630" s="3190" t="s">
        <v>4593</v>
      </c>
      <c r="X630" s="3190" t="s">
        <v>4593</v>
      </c>
      <c r="Y630" s="3190">
        <v>3465</v>
      </c>
      <c r="Z630" s="3190">
        <v>17.649100000000001</v>
      </c>
    </row>
    <row r="631" spans="16:26">
      <c r="P631" s="3190">
        <v>450</v>
      </c>
      <c r="Q631" s="3190" t="s">
        <v>4545</v>
      </c>
      <c r="R631" s="3190" t="s">
        <v>4504</v>
      </c>
      <c r="S631" s="3190" t="s">
        <v>3896</v>
      </c>
      <c r="T631" s="3190">
        <v>8</v>
      </c>
      <c r="U631" s="3190">
        <v>-3</v>
      </c>
      <c r="V631" s="3190">
        <v>50.93</v>
      </c>
      <c r="W631" s="3190" t="s">
        <v>4593</v>
      </c>
      <c r="X631" s="3190" t="s">
        <v>4593</v>
      </c>
      <c r="Y631" s="3190">
        <v>3465</v>
      </c>
      <c r="Z631" s="3190">
        <v>17.649100000000001</v>
      </c>
    </row>
    <row r="632" spans="16:26">
      <c r="P632" s="3190">
        <v>451</v>
      </c>
      <c r="Q632" s="3190" t="s">
        <v>4545</v>
      </c>
      <c r="R632" s="3190" t="s">
        <v>4504</v>
      </c>
      <c r="S632" s="3190" t="s">
        <v>3897</v>
      </c>
      <c r="T632" s="3190">
        <v>8</v>
      </c>
      <c r="U632" s="3190">
        <v>-3</v>
      </c>
      <c r="V632" s="3190">
        <v>50.93</v>
      </c>
      <c r="W632" s="3190" t="s">
        <v>4593</v>
      </c>
      <c r="X632" s="3190" t="s">
        <v>4593</v>
      </c>
      <c r="Y632" s="3190">
        <v>3465</v>
      </c>
      <c r="Z632" s="3190">
        <v>17.649100000000001</v>
      </c>
    </row>
    <row r="633" spans="16:26">
      <c r="P633" s="3190">
        <v>452</v>
      </c>
      <c r="Q633" s="3190" t="s">
        <v>4545</v>
      </c>
      <c r="R633" s="3190" t="s">
        <v>4504</v>
      </c>
      <c r="S633" s="3190" t="s">
        <v>3898</v>
      </c>
      <c r="T633" s="3190">
        <v>8</v>
      </c>
      <c r="U633" s="3190">
        <v>-3</v>
      </c>
      <c r="V633" s="3190">
        <v>50.93</v>
      </c>
      <c r="W633" s="3190" t="s">
        <v>4593</v>
      </c>
      <c r="X633" s="3190" t="s">
        <v>4593</v>
      </c>
      <c r="Y633" s="3190">
        <v>3465</v>
      </c>
      <c r="Z633" s="3190">
        <v>17.649100000000001</v>
      </c>
    </row>
    <row r="634" spans="16:26">
      <c r="P634" s="3190">
        <v>453</v>
      </c>
      <c r="Q634" s="3190" t="s">
        <v>4545</v>
      </c>
      <c r="R634" s="3190" t="s">
        <v>4504</v>
      </c>
      <c r="S634" s="3190" t="s">
        <v>3899</v>
      </c>
      <c r="T634" s="3190">
        <v>8</v>
      </c>
      <c r="U634" s="3190">
        <v>-3</v>
      </c>
      <c r="V634" s="3190">
        <v>50.93</v>
      </c>
      <c r="W634" s="3190" t="s">
        <v>4593</v>
      </c>
      <c r="X634" s="3190" t="s">
        <v>4593</v>
      </c>
      <c r="Y634" s="3190">
        <v>3465</v>
      </c>
      <c r="Z634" s="3190">
        <v>17.649100000000001</v>
      </c>
    </row>
    <row r="635" spans="16:26">
      <c r="P635" s="3190">
        <v>454</v>
      </c>
      <c r="Q635" s="3190" t="s">
        <v>4545</v>
      </c>
      <c r="R635" s="3190" t="s">
        <v>4504</v>
      </c>
      <c r="S635" s="3190" t="s">
        <v>3900</v>
      </c>
      <c r="T635" s="3190">
        <v>8</v>
      </c>
      <c r="U635" s="3190">
        <v>-3</v>
      </c>
      <c r="V635" s="3190">
        <v>50.93</v>
      </c>
      <c r="W635" s="3190" t="s">
        <v>4593</v>
      </c>
      <c r="X635" s="3190" t="s">
        <v>4593</v>
      </c>
      <c r="Y635" s="3190">
        <v>3465</v>
      </c>
      <c r="Z635" s="3190">
        <v>17.649100000000001</v>
      </c>
    </row>
    <row r="636" spans="16:26">
      <c r="P636" s="3190">
        <v>455</v>
      </c>
      <c r="Q636" s="3190" t="s">
        <v>4545</v>
      </c>
      <c r="R636" s="3190" t="s">
        <v>4504</v>
      </c>
      <c r="S636" s="3190" t="s">
        <v>3901</v>
      </c>
      <c r="T636" s="3190">
        <v>8</v>
      </c>
      <c r="U636" s="3190">
        <v>-3</v>
      </c>
      <c r="V636" s="3190">
        <v>50.93</v>
      </c>
      <c r="W636" s="3190" t="s">
        <v>4593</v>
      </c>
      <c r="X636" s="3190" t="s">
        <v>4593</v>
      </c>
      <c r="Y636" s="3190">
        <v>3465</v>
      </c>
      <c r="Z636" s="3190">
        <v>17.649100000000001</v>
      </c>
    </row>
    <row r="637" spans="16:26">
      <c r="P637" s="3190">
        <v>456</v>
      </c>
      <c r="Q637" s="3190" t="s">
        <v>4545</v>
      </c>
      <c r="R637" s="3190" t="s">
        <v>4504</v>
      </c>
      <c r="S637" s="3190" t="s">
        <v>3902</v>
      </c>
      <c r="T637" s="3190">
        <v>8</v>
      </c>
      <c r="U637" s="3190">
        <v>-3</v>
      </c>
      <c r="V637" s="3190">
        <v>50.93</v>
      </c>
      <c r="W637" s="3190" t="s">
        <v>4593</v>
      </c>
      <c r="X637" s="3190" t="s">
        <v>4593</v>
      </c>
      <c r="Y637" s="3190">
        <v>3465</v>
      </c>
      <c r="Z637" s="3190">
        <v>17.649100000000001</v>
      </c>
    </row>
    <row r="638" spans="16:26">
      <c r="P638" s="3190">
        <v>457</v>
      </c>
      <c r="Q638" s="3190" t="s">
        <v>4545</v>
      </c>
      <c r="R638" s="3190" t="s">
        <v>4504</v>
      </c>
      <c r="S638" s="3190" t="s">
        <v>3903</v>
      </c>
      <c r="T638" s="3190">
        <v>8</v>
      </c>
      <c r="U638" s="3190">
        <v>-3</v>
      </c>
      <c r="V638" s="3190">
        <v>50.93</v>
      </c>
      <c r="W638" s="3190" t="s">
        <v>4593</v>
      </c>
      <c r="X638" s="3190" t="s">
        <v>4593</v>
      </c>
      <c r="Y638" s="3190">
        <v>3465</v>
      </c>
      <c r="Z638" s="3190">
        <v>17.649100000000001</v>
      </c>
    </row>
    <row r="639" spans="16:26">
      <c r="P639" s="3190">
        <v>458</v>
      </c>
      <c r="Q639" s="3190" t="s">
        <v>4545</v>
      </c>
      <c r="R639" s="3190" t="s">
        <v>4504</v>
      </c>
      <c r="S639" s="3190" t="s">
        <v>3904</v>
      </c>
      <c r="T639" s="3190">
        <v>8</v>
      </c>
      <c r="U639" s="3190">
        <v>-3</v>
      </c>
      <c r="V639" s="3190">
        <v>50.93</v>
      </c>
      <c r="W639" s="3190" t="s">
        <v>4593</v>
      </c>
      <c r="X639" s="3190" t="s">
        <v>4593</v>
      </c>
      <c r="Y639" s="3190">
        <v>3465</v>
      </c>
      <c r="Z639" s="3190">
        <v>17.649100000000001</v>
      </c>
    </row>
    <row r="640" spans="16:26">
      <c r="P640" s="3190">
        <v>459</v>
      </c>
      <c r="Q640" s="3190" t="s">
        <v>4545</v>
      </c>
      <c r="R640" s="3190" t="s">
        <v>4504</v>
      </c>
      <c r="S640" s="3190" t="s">
        <v>3905</v>
      </c>
      <c r="T640" s="3190">
        <v>8</v>
      </c>
      <c r="U640" s="3190">
        <v>-3</v>
      </c>
      <c r="V640" s="3190">
        <v>50.93</v>
      </c>
      <c r="W640" s="3190" t="s">
        <v>4593</v>
      </c>
      <c r="X640" s="3190" t="s">
        <v>4593</v>
      </c>
      <c r="Y640" s="3190">
        <v>3465</v>
      </c>
      <c r="Z640" s="3190">
        <v>17.649100000000001</v>
      </c>
    </row>
    <row r="641" spans="16:26">
      <c r="P641" s="3190">
        <v>460</v>
      </c>
      <c r="Q641" s="3190" t="s">
        <v>4545</v>
      </c>
      <c r="R641" s="3190" t="s">
        <v>4504</v>
      </c>
      <c r="S641" s="3190" t="s">
        <v>3906</v>
      </c>
      <c r="T641" s="3190">
        <v>8</v>
      </c>
      <c r="U641" s="3190">
        <v>-3</v>
      </c>
      <c r="V641" s="3190">
        <v>50.93</v>
      </c>
      <c r="W641" s="3190" t="s">
        <v>4593</v>
      </c>
      <c r="X641" s="3190" t="s">
        <v>4593</v>
      </c>
      <c r="Y641" s="3190">
        <v>3465</v>
      </c>
      <c r="Z641" s="3190">
        <v>17.649100000000001</v>
      </c>
    </row>
    <row r="642" spans="16:26">
      <c r="P642" s="3190">
        <v>461</v>
      </c>
      <c r="Q642" s="3190" t="s">
        <v>4545</v>
      </c>
      <c r="R642" s="3190" t="s">
        <v>4504</v>
      </c>
      <c r="S642" s="3190" t="s">
        <v>3907</v>
      </c>
      <c r="T642" s="3190">
        <v>8</v>
      </c>
      <c r="U642" s="3190">
        <v>-3</v>
      </c>
      <c r="V642" s="3190">
        <v>50.93</v>
      </c>
      <c r="W642" s="3190" t="s">
        <v>4593</v>
      </c>
      <c r="X642" s="3190" t="s">
        <v>4593</v>
      </c>
      <c r="Y642" s="3190">
        <v>3465</v>
      </c>
      <c r="Z642" s="3190">
        <v>17.649100000000001</v>
      </c>
    </row>
    <row r="643" spans="16:26">
      <c r="P643" s="3190">
        <v>462</v>
      </c>
      <c r="Q643" s="3190" t="s">
        <v>4545</v>
      </c>
      <c r="R643" s="3190" t="s">
        <v>4504</v>
      </c>
      <c r="S643" s="3190" t="s">
        <v>3908</v>
      </c>
      <c r="T643" s="3190">
        <v>8</v>
      </c>
      <c r="U643" s="3190">
        <v>-3</v>
      </c>
      <c r="V643" s="3190">
        <v>52.93</v>
      </c>
      <c r="W643" s="3190" t="s">
        <v>4593</v>
      </c>
      <c r="X643" s="3190" t="s">
        <v>4593</v>
      </c>
      <c r="Y643" s="3190">
        <v>3334</v>
      </c>
      <c r="Z643" s="3190">
        <v>17.649100000000001</v>
      </c>
    </row>
    <row r="644" spans="16:26">
      <c r="P644" s="3190">
        <v>463</v>
      </c>
      <c r="Q644" s="3190" t="s">
        <v>4545</v>
      </c>
      <c r="R644" s="3190" t="s">
        <v>4504</v>
      </c>
      <c r="S644" s="3190" t="s">
        <v>3909</v>
      </c>
      <c r="T644" s="3190">
        <v>8</v>
      </c>
      <c r="U644" s="3190">
        <v>-3</v>
      </c>
      <c r="V644" s="3190">
        <v>52.93</v>
      </c>
      <c r="W644" s="3190" t="s">
        <v>4593</v>
      </c>
      <c r="X644" s="3190" t="s">
        <v>4593</v>
      </c>
      <c r="Y644" s="3190">
        <v>3334</v>
      </c>
      <c r="Z644" s="3190">
        <v>17.649100000000001</v>
      </c>
    </row>
    <row r="645" spans="16:26">
      <c r="P645" s="3190">
        <v>464</v>
      </c>
      <c r="Q645" s="3190" t="s">
        <v>4545</v>
      </c>
      <c r="R645" s="3190" t="s">
        <v>4504</v>
      </c>
      <c r="S645" s="3190" t="s">
        <v>3910</v>
      </c>
      <c r="T645" s="3190">
        <v>8</v>
      </c>
      <c r="U645" s="3190">
        <v>-3</v>
      </c>
      <c r="V645" s="3190">
        <v>52.93</v>
      </c>
      <c r="W645" s="3190" t="s">
        <v>4593</v>
      </c>
      <c r="X645" s="3190" t="s">
        <v>4593</v>
      </c>
      <c r="Y645" s="3190">
        <v>3334</v>
      </c>
      <c r="Z645" s="3190">
        <v>17.649100000000001</v>
      </c>
    </row>
    <row r="646" spans="16:26">
      <c r="P646" s="3190">
        <v>465</v>
      </c>
      <c r="Q646" s="3190" t="s">
        <v>4545</v>
      </c>
      <c r="R646" s="3190" t="s">
        <v>4504</v>
      </c>
      <c r="S646" s="3190" t="s">
        <v>3911</v>
      </c>
      <c r="T646" s="3190">
        <v>8</v>
      </c>
      <c r="U646" s="3190">
        <v>-3</v>
      </c>
      <c r="V646" s="3190">
        <v>52.93</v>
      </c>
      <c r="W646" s="3190" t="s">
        <v>4593</v>
      </c>
      <c r="X646" s="3190" t="s">
        <v>4593</v>
      </c>
      <c r="Y646" s="3190">
        <v>3334</v>
      </c>
      <c r="Z646" s="3190">
        <v>17.649100000000001</v>
      </c>
    </row>
    <row r="647" spans="16:26">
      <c r="P647" s="3190">
        <v>466</v>
      </c>
      <c r="Q647" s="3190" t="s">
        <v>4545</v>
      </c>
      <c r="R647" s="3190" t="s">
        <v>4504</v>
      </c>
      <c r="S647" s="3190" t="s">
        <v>3912</v>
      </c>
      <c r="T647" s="3190">
        <v>8</v>
      </c>
      <c r="U647" s="3190">
        <v>-3</v>
      </c>
      <c r="V647" s="3190">
        <v>52.93</v>
      </c>
      <c r="W647" s="3190" t="s">
        <v>4593</v>
      </c>
      <c r="X647" s="3190" t="s">
        <v>4593</v>
      </c>
      <c r="Y647" s="3190">
        <v>3334</v>
      </c>
      <c r="Z647" s="3190">
        <v>17.649100000000001</v>
      </c>
    </row>
    <row r="648" spans="16:26">
      <c r="P648" s="3190">
        <v>467</v>
      </c>
      <c r="Q648" s="3190" t="s">
        <v>4545</v>
      </c>
      <c r="R648" s="3190" t="s">
        <v>4504</v>
      </c>
      <c r="S648" s="3190" t="s">
        <v>3913</v>
      </c>
      <c r="T648" s="3190">
        <v>8</v>
      </c>
      <c r="U648" s="3190">
        <v>-3</v>
      </c>
      <c r="V648" s="3190">
        <v>52.93</v>
      </c>
      <c r="W648" s="3190" t="s">
        <v>4593</v>
      </c>
      <c r="X648" s="3190" t="s">
        <v>4593</v>
      </c>
      <c r="Y648" s="3190">
        <v>3334</v>
      </c>
      <c r="Z648" s="3190">
        <v>17.649100000000001</v>
      </c>
    </row>
    <row r="649" spans="16:26">
      <c r="P649" s="3190">
        <v>468</v>
      </c>
      <c r="Q649" s="3190" t="s">
        <v>4545</v>
      </c>
      <c r="R649" s="3190" t="s">
        <v>4504</v>
      </c>
      <c r="S649" s="3190" t="s">
        <v>3914</v>
      </c>
      <c r="T649" s="3190">
        <v>8</v>
      </c>
      <c r="U649" s="3190">
        <v>-3</v>
      </c>
      <c r="V649" s="3190">
        <v>52.93</v>
      </c>
      <c r="W649" s="3190" t="s">
        <v>4593</v>
      </c>
      <c r="X649" s="3190" t="s">
        <v>4593</v>
      </c>
      <c r="Y649" s="3190">
        <v>3334</v>
      </c>
      <c r="Z649" s="3190">
        <v>17.649100000000001</v>
      </c>
    </row>
    <row r="650" spans="16:26">
      <c r="P650" s="3190">
        <v>469</v>
      </c>
      <c r="Q650" s="3190" t="s">
        <v>4545</v>
      </c>
      <c r="R650" s="3190" t="s">
        <v>4504</v>
      </c>
      <c r="S650" s="3190" t="s">
        <v>3915</v>
      </c>
      <c r="T650" s="3190">
        <v>8</v>
      </c>
      <c r="U650" s="3190">
        <v>-3</v>
      </c>
      <c r="V650" s="3190">
        <v>52.93</v>
      </c>
      <c r="W650" s="3190" t="s">
        <v>4593</v>
      </c>
      <c r="X650" s="3190" t="s">
        <v>4593</v>
      </c>
      <c r="Y650" s="3190">
        <v>3334</v>
      </c>
      <c r="Z650" s="3190">
        <v>17.649100000000001</v>
      </c>
    </row>
    <row r="651" spans="16:26">
      <c r="P651" s="3190">
        <v>470</v>
      </c>
      <c r="Q651" s="3190" t="s">
        <v>4545</v>
      </c>
      <c r="R651" s="3190" t="s">
        <v>4504</v>
      </c>
      <c r="S651" s="3190" t="s">
        <v>3916</v>
      </c>
      <c r="T651" s="3190">
        <v>8</v>
      </c>
      <c r="U651" s="3190">
        <v>-3</v>
      </c>
      <c r="V651" s="3190">
        <v>52.93</v>
      </c>
      <c r="W651" s="3190" t="s">
        <v>4593</v>
      </c>
      <c r="X651" s="3190" t="s">
        <v>4593</v>
      </c>
      <c r="Y651" s="3190">
        <v>3334</v>
      </c>
      <c r="Z651" s="3190">
        <v>17.649100000000001</v>
      </c>
    </row>
    <row r="652" spans="16:26">
      <c r="P652" s="3190">
        <v>471</v>
      </c>
      <c r="Q652" s="3190" t="s">
        <v>4545</v>
      </c>
      <c r="R652" s="3190" t="s">
        <v>4504</v>
      </c>
      <c r="S652" s="3190" t="s">
        <v>3917</v>
      </c>
      <c r="T652" s="3190">
        <v>8</v>
      </c>
      <c r="U652" s="3190">
        <v>-3</v>
      </c>
      <c r="V652" s="3190">
        <v>52.93</v>
      </c>
      <c r="W652" s="3190" t="s">
        <v>4593</v>
      </c>
      <c r="X652" s="3190" t="s">
        <v>4593</v>
      </c>
      <c r="Y652" s="3190">
        <v>3334</v>
      </c>
      <c r="Z652" s="3190">
        <v>17.649100000000001</v>
      </c>
    </row>
    <row r="653" spans="16:26">
      <c r="P653" s="3190">
        <v>472</v>
      </c>
      <c r="Q653" s="3190" t="s">
        <v>4545</v>
      </c>
      <c r="R653" s="3190" t="s">
        <v>4504</v>
      </c>
      <c r="S653" s="3190" t="s">
        <v>3918</v>
      </c>
      <c r="T653" s="3190">
        <v>8</v>
      </c>
      <c r="U653" s="3190">
        <v>-3</v>
      </c>
      <c r="V653" s="3190">
        <v>52.93</v>
      </c>
      <c r="W653" s="3190" t="s">
        <v>4593</v>
      </c>
      <c r="X653" s="3190" t="s">
        <v>4593</v>
      </c>
      <c r="Y653" s="3190">
        <v>3334</v>
      </c>
      <c r="Z653" s="3190">
        <v>17.649100000000001</v>
      </c>
    </row>
    <row r="654" spans="16:26">
      <c r="P654" s="3190">
        <v>473</v>
      </c>
      <c r="Q654" s="3190" t="s">
        <v>4545</v>
      </c>
      <c r="R654" s="3190" t="s">
        <v>4504</v>
      </c>
      <c r="S654" s="3190" t="s">
        <v>3919</v>
      </c>
      <c r="T654" s="3190">
        <v>8</v>
      </c>
      <c r="U654" s="3190">
        <v>-3</v>
      </c>
      <c r="V654" s="3190">
        <v>52.93</v>
      </c>
      <c r="W654" s="3190" t="s">
        <v>4593</v>
      </c>
      <c r="X654" s="3190" t="s">
        <v>4593</v>
      </c>
      <c r="Y654" s="3190">
        <v>3334</v>
      </c>
      <c r="Z654" s="3190">
        <v>17.649100000000001</v>
      </c>
    </row>
    <row r="655" spans="16:26">
      <c r="P655" s="3190">
        <v>474</v>
      </c>
      <c r="Q655" s="3190" t="s">
        <v>4545</v>
      </c>
      <c r="R655" s="3190" t="s">
        <v>4504</v>
      </c>
      <c r="S655" s="3190" t="s">
        <v>3920</v>
      </c>
      <c r="T655" s="3190">
        <v>8</v>
      </c>
      <c r="U655" s="3190">
        <v>-3</v>
      </c>
      <c r="V655" s="3190">
        <v>52.93</v>
      </c>
      <c r="W655" s="3190" t="s">
        <v>4593</v>
      </c>
      <c r="X655" s="3190" t="s">
        <v>4593</v>
      </c>
      <c r="Y655" s="3190">
        <v>3334</v>
      </c>
      <c r="Z655" s="3190">
        <v>17.649100000000001</v>
      </c>
    </row>
    <row r="656" spans="16:26">
      <c r="P656" s="3190">
        <v>475</v>
      </c>
      <c r="Q656" s="3190" t="s">
        <v>4545</v>
      </c>
      <c r="R656" s="3190" t="s">
        <v>4504</v>
      </c>
      <c r="S656" s="3190" t="s">
        <v>3921</v>
      </c>
      <c r="T656" s="3190">
        <v>8</v>
      </c>
      <c r="U656" s="3190">
        <v>-3</v>
      </c>
      <c r="V656" s="3190">
        <v>52.93</v>
      </c>
      <c r="W656" s="3190" t="s">
        <v>4593</v>
      </c>
      <c r="X656" s="3190" t="s">
        <v>4593</v>
      </c>
      <c r="Y656" s="3190">
        <v>3334</v>
      </c>
      <c r="Z656" s="3190">
        <v>17.649100000000001</v>
      </c>
    </row>
    <row r="657" spans="16:26">
      <c r="P657" s="3190">
        <v>476</v>
      </c>
      <c r="Q657" s="3190" t="s">
        <v>4545</v>
      </c>
      <c r="R657" s="3190" t="s">
        <v>4504</v>
      </c>
      <c r="S657" s="3190" t="s">
        <v>3922</v>
      </c>
      <c r="T657" s="3190">
        <v>8</v>
      </c>
      <c r="U657" s="3190">
        <v>-3</v>
      </c>
      <c r="V657" s="3190">
        <v>52.93</v>
      </c>
      <c r="W657" s="3190" t="s">
        <v>4593</v>
      </c>
      <c r="X657" s="3190" t="s">
        <v>4593</v>
      </c>
      <c r="Y657" s="3190">
        <v>3334</v>
      </c>
      <c r="Z657" s="3190">
        <v>17.649100000000001</v>
      </c>
    </row>
    <row r="658" spans="16:26">
      <c r="P658" s="3190">
        <v>477</v>
      </c>
      <c r="Q658" s="3190" t="s">
        <v>4545</v>
      </c>
      <c r="R658" s="3190" t="s">
        <v>4504</v>
      </c>
      <c r="S658" s="3190" t="s">
        <v>3923</v>
      </c>
      <c r="T658" s="3190">
        <v>8</v>
      </c>
      <c r="U658" s="3190">
        <v>-3</v>
      </c>
      <c r="V658" s="3190">
        <v>52.93</v>
      </c>
      <c r="W658" s="3190" t="s">
        <v>4593</v>
      </c>
      <c r="X658" s="3190" t="s">
        <v>4593</v>
      </c>
      <c r="Y658" s="3190">
        <v>3334</v>
      </c>
      <c r="Z658" s="3190">
        <v>17.649100000000001</v>
      </c>
    </row>
    <row r="659" spans="16:26">
      <c r="P659" s="3190">
        <v>478</v>
      </c>
      <c r="Q659" s="3190" t="s">
        <v>4545</v>
      </c>
      <c r="R659" s="3190" t="s">
        <v>4504</v>
      </c>
      <c r="S659" s="3190" t="s">
        <v>3924</v>
      </c>
      <c r="T659" s="3190">
        <v>8</v>
      </c>
      <c r="U659" s="3190">
        <v>-3</v>
      </c>
      <c r="V659" s="3190">
        <v>52.93</v>
      </c>
      <c r="W659" s="3190" t="s">
        <v>4593</v>
      </c>
      <c r="X659" s="3190" t="s">
        <v>4593</v>
      </c>
      <c r="Y659" s="3190">
        <v>3334</v>
      </c>
      <c r="Z659" s="3190">
        <v>17.649100000000001</v>
      </c>
    </row>
    <row r="660" spans="16:26">
      <c r="P660" s="3190">
        <v>479</v>
      </c>
      <c r="Q660" s="3190" t="s">
        <v>4545</v>
      </c>
      <c r="R660" s="3190" t="s">
        <v>4504</v>
      </c>
      <c r="S660" s="3190" t="s">
        <v>3925</v>
      </c>
      <c r="T660" s="3190">
        <v>8</v>
      </c>
      <c r="U660" s="3190">
        <v>-3</v>
      </c>
      <c r="V660" s="3190">
        <v>52.93</v>
      </c>
      <c r="W660" s="3190" t="s">
        <v>4593</v>
      </c>
      <c r="X660" s="3190" t="s">
        <v>4593</v>
      </c>
      <c r="Y660" s="3190">
        <v>3334</v>
      </c>
      <c r="Z660" s="3190">
        <v>17.649100000000001</v>
      </c>
    </row>
    <row r="661" spans="16:26">
      <c r="P661" s="3190">
        <v>480</v>
      </c>
      <c r="Q661" s="3190" t="s">
        <v>4545</v>
      </c>
      <c r="R661" s="3190" t="s">
        <v>4504</v>
      </c>
      <c r="S661" s="3190" t="s">
        <v>3926</v>
      </c>
      <c r="T661" s="3190">
        <v>8</v>
      </c>
      <c r="U661" s="3190">
        <v>-3</v>
      </c>
      <c r="V661" s="3190">
        <v>52.93</v>
      </c>
      <c r="W661" s="3190" t="s">
        <v>4593</v>
      </c>
      <c r="X661" s="3190" t="s">
        <v>4593</v>
      </c>
      <c r="Y661" s="3190">
        <v>3334</v>
      </c>
      <c r="Z661" s="3190">
        <v>17.649100000000001</v>
      </c>
    </row>
    <row r="662" spans="16:26">
      <c r="P662" s="3190">
        <v>481</v>
      </c>
      <c r="Q662" s="3190" t="s">
        <v>4545</v>
      </c>
      <c r="R662" s="3190" t="s">
        <v>4504</v>
      </c>
      <c r="S662" s="3190" t="s">
        <v>3927</v>
      </c>
      <c r="T662" s="3190">
        <v>8</v>
      </c>
      <c r="U662" s="3190">
        <v>-3</v>
      </c>
      <c r="V662" s="3190">
        <v>52.93</v>
      </c>
      <c r="W662" s="3190" t="s">
        <v>4593</v>
      </c>
      <c r="X662" s="3190" t="s">
        <v>4593</v>
      </c>
      <c r="Y662" s="3190">
        <v>3334</v>
      </c>
      <c r="Z662" s="3190">
        <v>17.649100000000001</v>
      </c>
    </row>
    <row r="663" spans="16:26">
      <c r="P663" s="3190">
        <v>482</v>
      </c>
      <c r="Q663" s="3190" t="s">
        <v>4545</v>
      </c>
      <c r="R663" s="3190" t="s">
        <v>4504</v>
      </c>
      <c r="S663" s="3190" t="s">
        <v>3928</v>
      </c>
      <c r="T663" s="3190">
        <v>8</v>
      </c>
      <c r="U663" s="3190">
        <v>-3</v>
      </c>
      <c r="V663" s="3190">
        <v>52.93</v>
      </c>
      <c r="W663" s="3190" t="s">
        <v>4593</v>
      </c>
      <c r="X663" s="3190" t="s">
        <v>4593</v>
      </c>
      <c r="Y663" s="3190">
        <v>3334</v>
      </c>
      <c r="Z663" s="3190">
        <v>17.649100000000001</v>
      </c>
    </row>
    <row r="664" spans="16:26">
      <c r="P664" s="3190">
        <v>483</v>
      </c>
      <c r="Q664" s="3190" t="s">
        <v>4545</v>
      </c>
      <c r="R664" s="3190" t="s">
        <v>4504</v>
      </c>
      <c r="S664" s="3190" t="s">
        <v>3929</v>
      </c>
      <c r="T664" s="3190">
        <v>8</v>
      </c>
      <c r="U664" s="3190">
        <v>-3</v>
      </c>
      <c r="V664" s="3190">
        <v>52.93</v>
      </c>
      <c r="W664" s="3190" t="s">
        <v>4593</v>
      </c>
      <c r="X664" s="3190" t="s">
        <v>4593</v>
      </c>
      <c r="Y664" s="3190">
        <v>3334</v>
      </c>
      <c r="Z664" s="3190">
        <v>17.649100000000001</v>
      </c>
    </row>
    <row r="665" spans="16:26">
      <c r="P665" s="3190">
        <v>484</v>
      </c>
      <c r="Q665" s="3190" t="s">
        <v>4545</v>
      </c>
      <c r="R665" s="3190" t="s">
        <v>4504</v>
      </c>
      <c r="S665" s="3190" t="s">
        <v>3930</v>
      </c>
      <c r="T665" s="3190">
        <v>8</v>
      </c>
      <c r="U665" s="3190">
        <v>-3</v>
      </c>
      <c r="V665" s="3190">
        <v>52.93</v>
      </c>
      <c r="W665" s="3190" t="s">
        <v>4593</v>
      </c>
      <c r="X665" s="3190" t="s">
        <v>4593</v>
      </c>
      <c r="Y665" s="3190">
        <v>3334</v>
      </c>
      <c r="Z665" s="3190">
        <v>17.649100000000001</v>
      </c>
    </row>
    <row r="666" spans="16:26">
      <c r="P666" s="3190">
        <v>485</v>
      </c>
      <c r="Q666" s="3190" t="s">
        <v>4545</v>
      </c>
      <c r="R666" s="3190" t="s">
        <v>4504</v>
      </c>
      <c r="S666" s="3190" t="s">
        <v>3931</v>
      </c>
      <c r="T666" s="3190">
        <v>8</v>
      </c>
      <c r="U666" s="3190">
        <v>-3</v>
      </c>
      <c r="V666" s="3190">
        <v>52.93</v>
      </c>
      <c r="W666" s="3190" t="s">
        <v>4593</v>
      </c>
      <c r="X666" s="3190" t="s">
        <v>4593</v>
      </c>
      <c r="Y666" s="3190">
        <v>3334</v>
      </c>
      <c r="Z666" s="3190">
        <v>17.649100000000001</v>
      </c>
    </row>
    <row r="667" spans="16:26">
      <c r="P667" s="3190">
        <v>486</v>
      </c>
      <c r="Q667" s="3190" t="s">
        <v>4545</v>
      </c>
      <c r="R667" s="3190" t="s">
        <v>4504</v>
      </c>
      <c r="S667" s="3190" t="s">
        <v>3932</v>
      </c>
      <c r="T667" s="3190">
        <v>8</v>
      </c>
      <c r="U667" s="3190">
        <v>-3</v>
      </c>
      <c r="V667" s="3190">
        <v>52.93</v>
      </c>
      <c r="W667" s="3190" t="s">
        <v>4593</v>
      </c>
      <c r="X667" s="3190" t="s">
        <v>4593</v>
      </c>
      <c r="Y667" s="3190">
        <v>3334</v>
      </c>
      <c r="Z667" s="3190">
        <v>17.649100000000001</v>
      </c>
    </row>
    <row r="668" spans="16:26">
      <c r="P668" s="3190">
        <v>487</v>
      </c>
      <c r="Q668" s="3190" t="s">
        <v>4545</v>
      </c>
      <c r="R668" s="3190" t="s">
        <v>4504</v>
      </c>
      <c r="S668" s="3190" t="s">
        <v>3933</v>
      </c>
      <c r="T668" s="3190">
        <v>8</v>
      </c>
      <c r="U668" s="3190">
        <v>-3</v>
      </c>
      <c r="V668" s="3190">
        <v>52.93</v>
      </c>
      <c r="W668" s="3190" t="s">
        <v>4593</v>
      </c>
      <c r="X668" s="3190" t="s">
        <v>4593</v>
      </c>
      <c r="Y668" s="3190">
        <v>3334</v>
      </c>
      <c r="Z668" s="3190">
        <v>17.649100000000001</v>
      </c>
    </row>
    <row r="669" spans="16:26">
      <c r="P669" s="3190">
        <v>488</v>
      </c>
      <c r="Q669" s="3190" t="s">
        <v>4545</v>
      </c>
      <c r="R669" s="3190" t="s">
        <v>4504</v>
      </c>
      <c r="S669" s="3190" t="s">
        <v>3934</v>
      </c>
      <c r="T669" s="3190">
        <v>8</v>
      </c>
      <c r="U669" s="3190">
        <v>-3</v>
      </c>
      <c r="V669" s="3190">
        <v>52.93</v>
      </c>
      <c r="W669" s="3190" t="s">
        <v>4593</v>
      </c>
      <c r="X669" s="3190" t="s">
        <v>4593</v>
      </c>
      <c r="Y669" s="3190">
        <v>3334</v>
      </c>
      <c r="Z669" s="3190">
        <v>17.649100000000001</v>
      </c>
    </row>
    <row r="670" spans="16:26">
      <c r="P670" s="3190">
        <v>489</v>
      </c>
      <c r="Q670" s="3190" t="s">
        <v>4545</v>
      </c>
      <c r="R670" s="3190" t="s">
        <v>4504</v>
      </c>
      <c r="S670" s="3190" t="s">
        <v>3935</v>
      </c>
      <c r="T670" s="3190">
        <v>8</v>
      </c>
      <c r="U670" s="3190">
        <v>-3</v>
      </c>
      <c r="V670" s="3190">
        <v>52.93</v>
      </c>
      <c r="W670" s="3190" t="s">
        <v>4593</v>
      </c>
      <c r="X670" s="3190" t="s">
        <v>4593</v>
      </c>
      <c r="Y670" s="3190">
        <v>3334</v>
      </c>
      <c r="Z670" s="3190">
        <v>17.649100000000001</v>
      </c>
    </row>
    <row r="671" spans="16:26">
      <c r="P671" s="3190">
        <v>490</v>
      </c>
      <c r="Q671" s="3190" t="s">
        <v>4545</v>
      </c>
      <c r="R671" s="3190" t="s">
        <v>4504</v>
      </c>
      <c r="S671" s="3190" t="s">
        <v>3936</v>
      </c>
      <c r="T671" s="3190">
        <v>8</v>
      </c>
      <c r="U671" s="3190">
        <v>-3</v>
      </c>
      <c r="V671" s="3190">
        <v>52.93</v>
      </c>
      <c r="W671" s="3190" t="s">
        <v>4593</v>
      </c>
      <c r="X671" s="3190" t="s">
        <v>4593</v>
      </c>
      <c r="Y671" s="3190">
        <v>3334</v>
      </c>
      <c r="Z671" s="3190">
        <v>17.649100000000001</v>
      </c>
    </row>
    <row r="672" spans="16:26">
      <c r="P672" s="3190">
        <v>491</v>
      </c>
      <c r="Q672" s="3190" t="s">
        <v>4545</v>
      </c>
      <c r="R672" s="3190" t="s">
        <v>4504</v>
      </c>
      <c r="S672" s="3190" t="s">
        <v>3937</v>
      </c>
      <c r="T672" s="3190">
        <v>8</v>
      </c>
      <c r="U672" s="3190">
        <v>-3</v>
      </c>
      <c r="V672" s="3190">
        <v>52.93</v>
      </c>
      <c r="W672" s="3190" t="s">
        <v>4593</v>
      </c>
      <c r="X672" s="3190" t="s">
        <v>4593</v>
      </c>
      <c r="Y672" s="3190">
        <v>3334</v>
      </c>
      <c r="Z672" s="3190">
        <v>17.649100000000001</v>
      </c>
    </row>
    <row r="673" spans="16:26">
      <c r="P673" s="3190">
        <v>492</v>
      </c>
      <c r="Q673" s="3190" t="s">
        <v>4545</v>
      </c>
      <c r="R673" s="3190" t="s">
        <v>4504</v>
      </c>
      <c r="S673" s="3190" t="s">
        <v>3938</v>
      </c>
      <c r="T673" s="3190">
        <v>8</v>
      </c>
      <c r="U673" s="3190">
        <v>-3</v>
      </c>
      <c r="V673" s="3190">
        <v>52.93</v>
      </c>
      <c r="W673" s="3190" t="s">
        <v>4593</v>
      </c>
      <c r="X673" s="3190" t="s">
        <v>4593</v>
      </c>
      <c r="Y673" s="3190">
        <v>3334</v>
      </c>
      <c r="Z673" s="3190">
        <v>17.649100000000001</v>
      </c>
    </row>
    <row r="674" spans="16:26">
      <c r="P674" s="3190">
        <v>493</v>
      </c>
      <c r="Q674" s="3190" t="s">
        <v>4545</v>
      </c>
      <c r="R674" s="3190" t="s">
        <v>4504</v>
      </c>
      <c r="S674" s="3190" t="s">
        <v>3939</v>
      </c>
      <c r="T674" s="3190">
        <v>8</v>
      </c>
      <c r="U674" s="3190">
        <v>-3</v>
      </c>
      <c r="V674" s="3190">
        <v>52.93</v>
      </c>
      <c r="W674" s="3190" t="s">
        <v>4593</v>
      </c>
      <c r="X674" s="3190" t="s">
        <v>4593</v>
      </c>
      <c r="Y674" s="3190">
        <v>3334</v>
      </c>
      <c r="Z674" s="3190">
        <v>17.649100000000001</v>
      </c>
    </row>
    <row r="675" spans="16:26">
      <c r="P675" s="3190">
        <v>494</v>
      </c>
      <c r="Q675" s="3190" t="s">
        <v>4545</v>
      </c>
      <c r="R675" s="3190" t="s">
        <v>4504</v>
      </c>
      <c r="S675" s="3190" t="s">
        <v>3940</v>
      </c>
      <c r="T675" s="3190">
        <v>8</v>
      </c>
      <c r="U675" s="3190">
        <v>-3</v>
      </c>
      <c r="V675" s="3190">
        <v>52.93</v>
      </c>
      <c r="W675" s="3190" t="s">
        <v>4593</v>
      </c>
      <c r="X675" s="3190" t="s">
        <v>4593</v>
      </c>
      <c r="Y675" s="3190">
        <v>3334</v>
      </c>
      <c r="Z675" s="3190">
        <v>17.649100000000001</v>
      </c>
    </row>
    <row r="676" spans="16:26">
      <c r="P676" s="3190">
        <v>495</v>
      </c>
      <c r="Q676" s="3190" t="s">
        <v>4545</v>
      </c>
      <c r="R676" s="3190" t="s">
        <v>4504</v>
      </c>
      <c r="S676" s="3190" t="s">
        <v>3941</v>
      </c>
      <c r="T676" s="3190">
        <v>8</v>
      </c>
      <c r="U676" s="3190">
        <v>-3</v>
      </c>
      <c r="V676" s="3190">
        <v>52.93</v>
      </c>
      <c r="W676" s="3190" t="s">
        <v>4593</v>
      </c>
      <c r="X676" s="3190" t="s">
        <v>4593</v>
      </c>
      <c r="Y676" s="3190">
        <v>3334</v>
      </c>
      <c r="Z676" s="3190">
        <v>17.649100000000001</v>
      </c>
    </row>
    <row r="677" spans="16:26">
      <c r="P677" s="3190">
        <v>496</v>
      </c>
      <c r="Q677" s="3190" t="s">
        <v>4545</v>
      </c>
      <c r="R677" s="3190" t="s">
        <v>4504</v>
      </c>
      <c r="S677" s="3190" t="s">
        <v>3942</v>
      </c>
      <c r="T677" s="3190">
        <v>8</v>
      </c>
      <c r="U677" s="3190">
        <v>-3</v>
      </c>
      <c r="V677" s="3190">
        <v>52.93</v>
      </c>
      <c r="W677" s="3190" t="s">
        <v>4593</v>
      </c>
      <c r="X677" s="3190" t="s">
        <v>4593</v>
      </c>
      <c r="Y677" s="3190">
        <v>3334</v>
      </c>
      <c r="Z677" s="3190">
        <v>17.649100000000001</v>
      </c>
    </row>
    <row r="678" spans="16:26">
      <c r="P678" s="3190">
        <v>497</v>
      </c>
      <c r="Q678" s="3190" t="s">
        <v>4545</v>
      </c>
      <c r="R678" s="3190" t="s">
        <v>4504</v>
      </c>
      <c r="S678" s="3190" t="s">
        <v>3943</v>
      </c>
      <c r="T678" s="3190">
        <v>8</v>
      </c>
      <c r="U678" s="3190">
        <v>-3</v>
      </c>
      <c r="V678" s="3190">
        <v>52.93</v>
      </c>
      <c r="W678" s="3190" t="s">
        <v>4593</v>
      </c>
      <c r="X678" s="3190" t="s">
        <v>4593</v>
      </c>
      <c r="Y678" s="3190">
        <v>3334</v>
      </c>
      <c r="Z678" s="3190">
        <v>17.649100000000001</v>
      </c>
    </row>
    <row r="679" spans="16:26">
      <c r="P679" s="3190">
        <v>498</v>
      </c>
      <c r="Q679" s="3190" t="s">
        <v>4545</v>
      </c>
      <c r="R679" s="3190" t="s">
        <v>4504</v>
      </c>
      <c r="S679" s="3190" t="s">
        <v>3944</v>
      </c>
      <c r="T679" s="3190">
        <v>8</v>
      </c>
      <c r="U679" s="3190">
        <v>-3</v>
      </c>
      <c r="V679" s="3190">
        <v>52.93</v>
      </c>
      <c r="W679" s="3190" t="s">
        <v>4593</v>
      </c>
      <c r="X679" s="3190" t="s">
        <v>4593</v>
      </c>
      <c r="Y679" s="3190">
        <v>3334</v>
      </c>
      <c r="Z679" s="3190">
        <v>17.649100000000001</v>
      </c>
    </row>
    <row r="680" spans="16:26">
      <c r="P680" s="3190">
        <v>499</v>
      </c>
      <c r="Q680" s="3190" t="s">
        <v>4545</v>
      </c>
      <c r="R680" s="3190" t="s">
        <v>4504</v>
      </c>
      <c r="S680" s="3190" t="s">
        <v>3945</v>
      </c>
      <c r="T680" s="3190">
        <v>8</v>
      </c>
      <c r="U680" s="3190">
        <v>-3</v>
      </c>
      <c r="V680" s="3190">
        <v>52.93</v>
      </c>
      <c r="W680" s="3190" t="s">
        <v>4593</v>
      </c>
      <c r="X680" s="3190" t="s">
        <v>4593</v>
      </c>
      <c r="Y680" s="3190">
        <v>3334</v>
      </c>
      <c r="Z680" s="3190">
        <v>17.649100000000001</v>
      </c>
    </row>
    <row r="681" spans="16:26">
      <c r="P681" s="3190">
        <v>500</v>
      </c>
      <c r="Q681" s="3190" t="s">
        <v>4545</v>
      </c>
      <c r="R681" s="3190" t="s">
        <v>4504</v>
      </c>
      <c r="S681" s="3190" t="s">
        <v>3946</v>
      </c>
      <c r="T681" s="3190">
        <v>8</v>
      </c>
      <c r="U681" s="3190">
        <v>-3</v>
      </c>
      <c r="V681" s="3190">
        <v>52.93</v>
      </c>
      <c r="W681" s="3190" t="s">
        <v>4593</v>
      </c>
      <c r="X681" s="3190" t="s">
        <v>4593</v>
      </c>
      <c r="Y681" s="3190">
        <v>3334</v>
      </c>
      <c r="Z681" s="3190">
        <v>17.649100000000001</v>
      </c>
    </row>
    <row r="682" spans="16:26">
      <c r="P682" s="3190">
        <v>501</v>
      </c>
      <c r="Q682" s="3190" t="s">
        <v>4545</v>
      </c>
      <c r="R682" s="3190" t="s">
        <v>4504</v>
      </c>
      <c r="S682" s="3190" t="s">
        <v>3947</v>
      </c>
      <c r="T682" s="3190">
        <v>8</v>
      </c>
      <c r="U682" s="3190">
        <v>-3</v>
      </c>
      <c r="V682" s="3190">
        <v>52.93</v>
      </c>
      <c r="W682" s="3190" t="s">
        <v>4593</v>
      </c>
      <c r="X682" s="3190" t="s">
        <v>4593</v>
      </c>
      <c r="Y682" s="3190">
        <v>3334</v>
      </c>
      <c r="Z682" s="3190">
        <v>17.649100000000001</v>
      </c>
    </row>
    <row r="683" spans="16:26">
      <c r="P683" s="3190">
        <v>502</v>
      </c>
      <c r="Q683" s="3190" t="s">
        <v>4545</v>
      </c>
      <c r="R683" s="3190" t="s">
        <v>4504</v>
      </c>
      <c r="S683" s="3190" t="s">
        <v>3948</v>
      </c>
      <c r="T683" s="3190">
        <v>8</v>
      </c>
      <c r="U683" s="3190">
        <v>-3</v>
      </c>
      <c r="V683" s="3190">
        <v>52.93</v>
      </c>
      <c r="W683" s="3190" t="s">
        <v>4593</v>
      </c>
      <c r="X683" s="3190" t="s">
        <v>4593</v>
      </c>
      <c r="Y683" s="3190">
        <v>3334</v>
      </c>
      <c r="Z683" s="3190">
        <v>17.649100000000001</v>
      </c>
    </row>
    <row r="684" spans="16:26">
      <c r="P684" s="3190">
        <v>503</v>
      </c>
      <c r="Q684" s="3190" t="s">
        <v>4545</v>
      </c>
      <c r="R684" s="3190" t="s">
        <v>4504</v>
      </c>
      <c r="S684" s="3190" t="s">
        <v>3949</v>
      </c>
      <c r="T684" s="3190">
        <v>8</v>
      </c>
      <c r="U684" s="3190">
        <v>-3</v>
      </c>
      <c r="V684" s="3190">
        <v>52.93</v>
      </c>
      <c r="W684" s="3190" t="s">
        <v>4593</v>
      </c>
      <c r="X684" s="3190" t="s">
        <v>4593</v>
      </c>
      <c r="Y684" s="3190">
        <v>3334</v>
      </c>
      <c r="Z684" s="3190">
        <v>17.649100000000001</v>
      </c>
    </row>
    <row r="685" spans="16:26">
      <c r="P685" s="3190">
        <v>504</v>
      </c>
      <c r="Q685" s="3190" t="s">
        <v>4545</v>
      </c>
      <c r="R685" s="3190" t="s">
        <v>4504</v>
      </c>
      <c r="S685" s="3190" t="s">
        <v>3950</v>
      </c>
      <c r="T685" s="3190">
        <v>8</v>
      </c>
      <c r="U685" s="3190">
        <v>-3</v>
      </c>
      <c r="V685" s="3190">
        <v>50.93</v>
      </c>
      <c r="W685" s="3190" t="s">
        <v>4593</v>
      </c>
      <c r="X685" s="3190" t="s">
        <v>4593</v>
      </c>
      <c r="Y685" s="3190">
        <v>3465</v>
      </c>
      <c r="Z685" s="3190">
        <v>17.649100000000001</v>
      </c>
    </row>
    <row r="686" spans="16:26">
      <c r="P686" s="3190">
        <v>505</v>
      </c>
      <c r="Q686" s="3190" t="s">
        <v>4545</v>
      </c>
      <c r="R686" s="3190" t="s">
        <v>4504</v>
      </c>
      <c r="S686" s="3190" t="s">
        <v>3951</v>
      </c>
      <c r="T686" s="3190">
        <v>8</v>
      </c>
      <c r="U686" s="3190">
        <v>-3</v>
      </c>
      <c r="V686" s="3190">
        <v>50.93</v>
      </c>
      <c r="W686" s="3190" t="s">
        <v>4593</v>
      </c>
      <c r="X686" s="3190" t="s">
        <v>4593</v>
      </c>
      <c r="Y686" s="3190">
        <v>3465</v>
      </c>
      <c r="Z686" s="3190">
        <v>17.649100000000001</v>
      </c>
    </row>
    <row r="687" spans="16:26">
      <c r="P687" s="3190">
        <v>506</v>
      </c>
      <c r="Q687" s="3190" t="s">
        <v>4545</v>
      </c>
      <c r="R687" s="3190" t="s">
        <v>4504</v>
      </c>
      <c r="S687" s="3190" t="s">
        <v>3952</v>
      </c>
      <c r="T687" s="3190">
        <v>8</v>
      </c>
      <c r="U687" s="3190">
        <v>-3</v>
      </c>
      <c r="V687" s="3190">
        <v>50.93</v>
      </c>
      <c r="W687" s="3190" t="s">
        <v>4593</v>
      </c>
      <c r="X687" s="3190" t="s">
        <v>4593</v>
      </c>
      <c r="Y687" s="3190">
        <v>3465</v>
      </c>
      <c r="Z687" s="3190">
        <v>17.649100000000001</v>
      </c>
    </row>
    <row r="688" spans="16:26">
      <c r="P688" s="3190">
        <v>507</v>
      </c>
      <c r="Q688" s="3190" t="s">
        <v>4545</v>
      </c>
      <c r="R688" s="3190" t="s">
        <v>4504</v>
      </c>
      <c r="S688" s="3190" t="s">
        <v>3953</v>
      </c>
      <c r="T688" s="3190">
        <v>8</v>
      </c>
      <c r="U688" s="3190">
        <v>-3</v>
      </c>
      <c r="V688" s="3190">
        <v>50.93</v>
      </c>
      <c r="W688" s="3190" t="s">
        <v>4593</v>
      </c>
      <c r="X688" s="3190" t="s">
        <v>4593</v>
      </c>
      <c r="Y688" s="3190">
        <v>3465</v>
      </c>
      <c r="Z688" s="3190">
        <v>17.649100000000001</v>
      </c>
    </row>
    <row r="689" spans="16:26">
      <c r="P689" s="3190">
        <v>508</v>
      </c>
      <c r="Q689" s="3190" t="s">
        <v>4545</v>
      </c>
      <c r="R689" s="3190" t="s">
        <v>4504</v>
      </c>
      <c r="S689" s="3190" t="s">
        <v>3954</v>
      </c>
      <c r="T689" s="3190">
        <v>8</v>
      </c>
      <c r="U689" s="3190">
        <v>-3</v>
      </c>
      <c r="V689" s="3190">
        <v>52.93</v>
      </c>
      <c r="W689" s="3190" t="s">
        <v>4593</v>
      </c>
      <c r="X689" s="3190" t="s">
        <v>4593</v>
      </c>
      <c r="Y689" s="3190">
        <v>3334</v>
      </c>
      <c r="Z689" s="3190">
        <v>17.649100000000001</v>
      </c>
    </row>
    <row r="690" spans="16:26">
      <c r="P690" s="3190">
        <v>509</v>
      </c>
      <c r="Q690" s="3190" t="s">
        <v>4545</v>
      </c>
      <c r="R690" s="3190" t="s">
        <v>4504</v>
      </c>
      <c r="S690" s="3190" t="s">
        <v>3955</v>
      </c>
      <c r="T690" s="3190">
        <v>8</v>
      </c>
      <c r="U690" s="3190">
        <v>-3</v>
      </c>
      <c r="V690" s="3190">
        <v>89.38</v>
      </c>
      <c r="W690" s="3190" t="s">
        <v>4593</v>
      </c>
      <c r="X690" s="3190" t="s">
        <v>4593</v>
      </c>
      <c r="Y690" s="3190">
        <v>2567</v>
      </c>
      <c r="Z690" s="3190">
        <v>22.9438</v>
      </c>
    </row>
    <row r="691" spans="16:26">
      <c r="P691" s="3190">
        <v>510</v>
      </c>
      <c r="Q691" s="3190" t="s">
        <v>4545</v>
      </c>
      <c r="R691" s="3190" t="s">
        <v>4504</v>
      </c>
      <c r="S691" s="3190" t="s">
        <v>4595</v>
      </c>
      <c r="T691" s="3190">
        <v>8</v>
      </c>
      <c r="U691" s="3190">
        <v>-4</v>
      </c>
      <c r="V691" s="3190">
        <v>59.92</v>
      </c>
      <c r="W691" s="3190" t="s">
        <v>4593</v>
      </c>
      <c r="X691" s="3190" t="s">
        <v>4593</v>
      </c>
      <c r="Y691" s="3190">
        <v>2790</v>
      </c>
      <c r="Z691" s="3190">
        <v>16.720199999999998</v>
      </c>
    </row>
    <row r="692" spans="16:26">
      <c r="P692" s="3190">
        <v>511</v>
      </c>
      <c r="Q692" s="3190" t="s">
        <v>4545</v>
      </c>
      <c r="R692" s="3190" t="s">
        <v>4504</v>
      </c>
      <c r="S692" s="3190" t="s">
        <v>4596</v>
      </c>
      <c r="T692" s="3190">
        <v>8</v>
      </c>
      <c r="U692" s="3190">
        <v>-4</v>
      </c>
      <c r="V692" s="3190">
        <v>59.92</v>
      </c>
      <c r="W692" s="3190" t="s">
        <v>4593</v>
      </c>
      <c r="X692" s="3190" t="s">
        <v>4593</v>
      </c>
      <c r="Y692" s="3190">
        <v>2790</v>
      </c>
      <c r="Z692" s="3190">
        <v>16.720199999999998</v>
      </c>
    </row>
    <row r="693" spans="16:26">
      <c r="P693" s="3190">
        <v>512</v>
      </c>
      <c r="Q693" s="3190" t="s">
        <v>4545</v>
      </c>
      <c r="R693" s="3190" t="s">
        <v>4504</v>
      </c>
      <c r="S693" s="3190" t="s">
        <v>4597</v>
      </c>
      <c r="T693" s="3190">
        <v>8</v>
      </c>
      <c r="U693" s="3190">
        <v>-4</v>
      </c>
      <c r="V693" s="3190">
        <v>59.92</v>
      </c>
      <c r="W693" s="3190" t="s">
        <v>4593</v>
      </c>
      <c r="X693" s="3190" t="s">
        <v>4593</v>
      </c>
      <c r="Y693" s="3190">
        <v>2790</v>
      </c>
      <c r="Z693" s="3190">
        <v>16.720199999999998</v>
      </c>
    </row>
    <row r="694" spans="16:26">
      <c r="P694" s="3190">
        <v>513</v>
      </c>
      <c r="Q694" s="3190" t="s">
        <v>4545</v>
      </c>
      <c r="R694" s="3190" t="s">
        <v>4504</v>
      </c>
      <c r="S694" s="3190" t="s">
        <v>4598</v>
      </c>
      <c r="T694" s="3190">
        <v>8</v>
      </c>
      <c r="U694" s="3190">
        <v>-4</v>
      </c>
      <c r="V694" s="3190">
        <v>59.92</v>
      </c>
      <c r="W694" s="3190" t="s">
        <v>4593</v>
      </c>
      <c r="X694" s="3190" t="s">
        <v>4593</v>
      </c>
      <c r="Y694" s="3190">
        <v>2790</v>
      </c>
      <c r="Z694" s="3190">
        <v>16.720199999999998</v>
      </c>
    </row>
    <row r="695" spans="16:26">
      <c r="P695" s="3190">
        <v>514</v>
      </c>
      <c r="Q695" s="3190" t="s">
        <v>4545</v>
      </c>
      <c r="R695" s="3190" t="s">
        <v>4504</v>
      </c>
      <c r="S695" s="3190" t="s">
        <v>4599</v>
      </c>
      <c r="T695" s="3190">
        <v>8</v>
      </c>
      <c r="U695" s="3190">
        <v>-4</v>
      </c>
      <c r="V695" s="3190">
        <v>52.93</v>
      </c>
      <c r="W695" s="3190" t="s">
        <v>4593</v>
      </c>
      <c r="X695" s="3190" t="s">
        <v>4593</v>
      </c>
      <c r="Y695" s="3190">
        <v>3159</v>
      </c>
      <c r="Z695" s="3190">
        <v>16.720199999999998</v>
      </c>
    </row>
    <row r="696" spans="16:26">
      <c r="P696" s="3190">
        <v>515</v>
      </c>
      <c r="Q696" s="3190" t="s">
        <v>4545</v>
      </c>
      <c r="R696" s="3190" t="s">
        <v>4504</v>
      </c>
      <c r="S696" s="3190" t="s">
        <v>4600</v>
      </c>
      <c r="T696" s="3190">
        <v>8</v>
      </c>
      <c r="U696" s="3190">
        <v>-4</v>
      </c>
      <c r="V696" s="3190">
        <v>52.93</v>
      </c>
      <c r="W696" s="3190" t="s">
        <v>4593</v>
      </c>
      <c r="X696" s="3190" t="s">
        <v>4593</v>
      </c>
      <c r="Y696" s="3190">
        <v>3159</v>
      </c>
      <c r="Z696" s="3190">
        <v>16.720199999999998</v>
      </c>
    </row>
    <row r="697" spans="16:26">
      <c r="P697" s="3190">
        <v>516</v>
      </c>
      <c r="Q697" s="3190" t="s">
        <v>4545</v>
      </c>
      <c r="R697" s="3190" t="s">
        <v>4504</v>
      </c>
      <c r="S697" s="3190" t="s">
        <v>4601</v>
      </c>
      <c r="T697" s="3190">
        <v>8</v>
      </c>
      <c r="U697" s="3190">
        <v>-4</v>
      </c>
      <c r="V697" s="3190">
        <v>52.93</v>
      </c>
      <c r="W697" s="3190" t="s">
        <v>4593</v>
      </c>
      <c r="X697" s="3190" t="s">
        <v>4593</v>
      </c>
      <c r="Y697" s="3190">
        <v>3159</v>
      </c>
      <c r="Z697" s="3190">
        <v>16.720199999999998</v>
      </c>
    </row>
    <row r="698" spans="16:26">
      <c r="P698" s="3190">
        <v>517</v>
      </c>
      <c r="Q698" s="3190" t="s">
        <v>4545</v>
      </c>
      <c r="R698" s="3190" t="s">
        <v>4504</v>
      </c>
      <c r="S698" s="3190" t="s">
        <v>4602</v>
      </c>
      <c r="T698" s="3190">
        <v>8</v>
      </c>
      <c r="U698" s="3190">
        <v>-4</v>
      </c>
      <c r="V698" s="3190">
        <v>52.93</v>
      </c>
      <c r="W698" s="3190" t="s">
        <v>4593</v>
      </c>
      <c r="X698" s="3190" t="s">
        <v>4593</v>
      </c>
      <c r="Y698" s="3190">
        <v>3159</v>
      </c>
      <c r="Z698" s="3190">
        <v>16.720199999999998</v>
      </c>
    </row>
    <row r="699" spans="16:26">
      <c r="P699" s="3190">
        <v>518</v>
      </c>
      <c r="Q699" s="3190" t="s">
        <v>4545</v>
      </c>
      <c r="R699" s="3190" t="s">
        <v>4504</v>
      </c>
      <c r="S699" s="3190" t="s">
        <v>4603</v>
      </c>
      <c r="T699" s="3190">
        <v>8</v>
      </c>
      <c r="U699" s="3190">
        <v>-4</v>
      </c>
      <c r="V699" s="3190">
        <v>52.93</v>
      </c>
      <c r="W699" s="3190" t="s">
        <v>4593</v>
      </c>
      <c r="X699" s="3190" t="s">
        <v>4593</v>
      </c>
      <c r="Y699" s="3190">
        <v>3159</v>
      </c>
      <c r="Z699" s="3190">
        <v>16.720199999999998</v>
      </c>
    </row>
    <row r="700" spans="16:26">
      <c r="P700" s="3190">
        <v>519</v>
      </c>
      <c r="Q700" s="3190" t="s">
        <v>4545</v>
      </c>
      <c r="R700" s="3190" t="s">
        <v>4504</v>
      </c>
      <c r="S700" s="3190" t="s">
        <v>4604</v>
      </c>
      <c r="T700" s="3190">
        <v>8</v>
      </c>
      <c r="U700" s="3190">
        <v>-4</v>
      </c>
      <c r="V700" s="3190">
        <v>52.93</v>
      </c>
      <c r="W700" s="3190" t="s">
        <v>4593</v>
      </c>
      <c r="X700" s="3190" t="s">
        <v>4593</v>
      </c>
      <c r="Y700" s="3190">
        <v>3159</v>
      </c>
      <c r="Z700" s="3190">
        <v>16.720199999999998</v>
      </c>
    </row>
    <row r="701" spans="16:26">
      <c r="P701" s="3190">
        <v>520</v>
      </c>
      <c r="Q701" s="3190" t="s">
        <v>4545</v>
      </c>
      <c r="R701" s="3190" t="s">
        <v>4504</v>
      </c>
      <c r="S701" s="3190" t="s">
        <v>4605</v>
      </c>
      <c r="T701" s="3190">
        <v>8</v>
      </c>
      <c r="U701" s="3190">
        <v>-4</v>
      </c>
      <c r="V701" s="3190">
        <v>52.93</v>
      </c>
      <c r="W701" s="3190" t="s">
        <v>4593</v>
      </c>
      <c r="X701" s="3190" t="s">
        <v>4593</v>
      </c>
      <c r="Y701" s="3190">
        <v>3159</v>
      </c>
      <c r="Z701" s="3190">
        <v>16.720199999999998</v>
      </c>
    </row>
    <row r="702" spans="16:26">
      <c r="P702" s="3190">
        <v>521</v>
      </c>
      <c r="Q702" s="3190" t="s">
        <v>4545</v>
      </c>
      <c r="R702" s="3190" t="s">
        <v>4504</v>
      </c>
      <c r="S702" s="3190" t="s">
        <v>4606</v>
      </c>
      <c r="T702" s="3190">
        <v>8</v>
      </c>
      <c r="U702" s="3190">
        <v>-4</v>
      </c>
      <c r="V702" s="3190">
        <v>52.93</v>
      </c>
      <c r="W702" s="3190" t="s">
        <v>4593</v>
      </c>
      <c r="X702" s="3190" t="s">
        <v>4593</v>
      </c>
      <c r="Y702" s="3190">
        <v>3159</v>
      </c>
      <c r="Z702" s="3190">
        <v>16.720199999999998</v>
      </c>
    </row>
    <row r="703" spans="16:26">
      <c r="P703" s="3190">
        <v>522</v>
      </c>
      <c r="Q703" s="3190" t="s">
        <v>4545</v>
      </c>
      <c r="R703" s="3190" t="s">
        <v>4504</v>
      </c>
      <c r="S703" s="3190" t="s">
        <v>4607</v>
      </c>
      <c r="T703" s="3190">
        <v>8</v>
      </c>
      <c r="U703" s="3190">
        <v>-4</v>
      </c>
      <c r="V703" s="3190">
        <v>52.93</v>
      </c>
      <c r="W703" s="3190" t="s">
        <v>4593</v>
      </c>
      <c r="X703" s="3190" t="s">
        <v>4593</v>
      </c>
      <c r="Y703" s="3190">
        <v>3159</v>
      </c>
      <c r="Z703" s="3190">
        <v>16.720199999999998</v>
      </c>
    </row>
    <row r="704" spans="16:26">
      <c r="P704" s="3190">
        <v>523</v>
      </c>
      <c r="Q704" s="3190" t="s">
        <v>4545</v>
      </c>
      <c r="R704" s="3190" t="s">
        <v>4504</v>
      </c>
      <c r="S704" s="3190" t="s">
        <v>4608</v>
      </c>
      <c r="T704" s="3190">
        <v>8</v>
      </c>
      <c r="U704" s="3190">
        <v>-4</v>
      </c>
      <c r="V704" s="3190">
        <v>52.93</v>
      </c>
      <c r="W704" s="3190" t="s">
        <v>4593</v>
      </c>
      <c r="X704" s="3190" t="s">
        <v>4593</v>
      </c>
      <c r="Y704" s="3190">
        <v>3159</v>
      </c>
      <c r="Z704" s="3190">
        <v>16.720199999999998</v>
      </c>
    </row>
    <row r="705" spans="16:26">
      <c r="P705" s="3190">
        <v>524</v>
      </c>
      <c r="Q705" s="3190" t="s">
        <v>4545</v>
      </c>
      <c r="R705" s="3190" t="s">
        <v>4504</v>
      </c>
      <c r="S705" s="3190" t="s">
        <v>4609</v>
      </c>
      <c r="T705" s="3190">
        <v>8</v>
      </c>
      <c r="U705" s="3190">
        <v>-4</v>
      </c>
      <c r="V705" s="3190">
        <v>52.93</v>
      </c>
      <c r="W705" s="3190" t="s">
        <v>4593</v>
      </c>
      <c r="X705" s="3190" t="s">
        <v>4593</v>
      </c>
      <c r="Y705" s="3190">
        <v>3159</v>
      </c>
      <c r="Z705" s="3190">
        <v>16.720199999999998</v>
      </c>
    </row>
    <row r="706" spans="16:26">
      <c r="P706" s="3190">
        <v>525</v>
      </c>
      <c r="Q706" s="3190" t="s">
        <v>4545</v>
      </c>
      <c r="R706" s="3190" t="s">
        <v>4504</v>
      </c>
      <c r="S706" s="3190" t="s">
        <v>4610</v>
      </c>
      <c r="T706" s="3190">
        <v>8</v>
      </c>
      <c r="U706" s="3190">
        <v>-4</v>
      </c>
      <c r="V706" s="3190">
        <v>52.93</v>
      </c>
      <c r="W706" s="3190" t="s">
        <v>4593</v>
      </c>
      <c r="X706" s="3190" t="s">
        <v>4593</v>
      </c>
      <c r="Y706" s="3190">
        <v>3159</v>
      </c>
      <c r="Z706" s="3190">
        <v>16.720199999999998</v>
      </c>
    </row>
    <row r="707" spans="16:26">
      <c r="P707" s="3190">
        <v>526</v>
      </c>
      <c r="Q707" s="3190" t="s">
        <v>4545</v>
      </c>
      <c r="R707" s="3190" t="s">
        <v>4504</v>
      </c>
      <c r="S707" s="3190" t="s">
        <v>4611</v>
      </c>
      <c r="T707" s="3190">
        <v>8</v>
      </c>
      <c r="U707" s="3190">
        <v>-4</v>
      </c>
      <c r="V707" s="3190">
        <v>52.93</v>
      </c>
      <c r="W707" s="3190" t="s">
        <v>4593</v>
      </c>
      <c r="X707" s="3190" t="s">
        <v>4593</v>
      </c>
      <c r="Y707" s="3190">
        <v>3159</v>
      </c>
      <c r="Z707" s="3190">
        <v>16.720199999999998</v>
      </c>
    </row>
    <row r="708" spans="16:26">
      <c r="P708" s="3190">
        <v>527</v>
      </c>
      <c r="Q708" s="3190" t="s">
        <v>4545</v>
      </c>
      <c r="R708" s="3190" t="s">
        <v>4504</v>
      </c>
      <c r="S708" s="3190" t="s">
        <v>4612</v>
      </c>
      <c r="T708" s="3190">
        <v>8</v>
      </c>
      <c r="U708" s="3190">
        <v>-4</v>
      </c>
      <c r="V708" s="3190">
        <v>52.93</v>
      </c>
      <c r="W708" s="3190" t="s">
        <v>4593</v>
      </c>
      <c r="X708" s="3190" t="s">
        <v>4593</v>
      </c>
      <c r="Y708" s="3190">
        <v>3159</v>
      </c>
      <c r="Z708" s="3190">
        <v>16.720199999999998</v>
      </c>
    </row>
    <row r="709" spans="16:26">
      <c r="P709" s="3190">
        <v>528</v>
      </c>
      <c r="Q709" s="3190" t="s">
        <v>4545</v>
      </c>
      <c r="R709" s="3190" t="s">
        <v>4504</v>
      </c>
      <c r="S709" s="3190" t="s">
        <v>4613</v>
      </c>
      <c r="T709" s="3190">
        <v>8</v>
      </c>
      <c r="U709" s="3190">
        <v>-4</v>
      </c>
      <c r="V709" s="3190">
        <v>52.93</v>
      </c>
      <c r="W709" s="3190" t="s">
        <v>4593</v>
      </c>
      <c r="X709" s="3190" t="s">
        <v>4593</v>
      </c>
      <c r="Y709" s="3190">
        <v>3159</v>
      </c>
      <c r="Z709" s="3190">
        <v>16.720199999999998</v>
      </c>
    </row>
    <row r="710" spans="16:26">
      <c r="P710" s="3190">
        <v>529</v>
      </c>
      <c r="Q710" s="3190" t="s">
        <v>4545</v>
      </c>
      <c r="R710" s="3190" t="s">
        <v>4504</v>
      </c>
      <c r="S710" s="3190" t="s">
        <v>4614</v>
      </c>
      <c r="T710" s="3190">
        <v>8</v>
      </c>
      <c r="U710" s="3190">
        <v>-4</v>
      </c>
      <c r="V710" s="3190">
        <v>52.93</v>
      </c>
      <c r="W710" s="3190" t="s">
        <v>4593</v>
      </c>
      <c r="X710" s="3190" t="s">
        <v>4593</v>
      </c>
      <c r="Y710" s="3190">
        <v>3159</v>
      </c>
      <c r="Z710" s="3190">
        <v>16.720199999999998</v>
      </c>
    </row>
    <row r="711" spans="16:26">
      <c r="P711" s="3190">
        <v>530</v>
      </c>
      <c r="Q711" s="3190" t="s">
        <v>4545</v>
      </c>
      <c r="R711" s="3190" t="s">
        <v>4504</v>
      </c>
      <c r="S711" s="3190" t="s">
        <v>4615</v>
      </c>
      <c r="T711" s="3190">
        <v>8</v>
      </c>
      <c r="U711" s="3190">
        <v>-4</v>
      </c>
      <c r="V711" s="3190">
        <v>52.93</v>
      </c>
      <c r="W711" s="3190" t="s">
        <v>4593</v>
      </c>
      <c r="X711" s="3190" t="s">
        <v>4593</v>
      </c>
      <c r="Y711" s="3190">
        <v>3159</v>
      </c>
      <c r="Z711" s="3190">
        <v>16.720199999999998</v>
      </c>
    </row>
    <row r="712" spans="16:26">
      <c r="P712" s="3190">
        <v>531</v>
      </c>
      <c r="Q712" s="3190" t="s">
        <v>4545</v>
      </c>
      <c r="R712" s="3190" t="s">
        <v>4504</v>
      </c>
      <c r="S712" s="3190" t="s">
        <v>4616</v>
      </c>
      <c r="T712" s="3190">
        <v>8</v>
      </c>
      <c r="U712" s="3190">
        <v>-4</v>
      </c>
      <c r="V712" s="3190">
        <v>52.93</v>
      </c>
      <c r="W712" s="3190" t="s">
        <v>4593</v>
      </c>
      <c r="X712" s="3190" t="s">
        <v>4593</v>
      </c>
      <c r="Y712" s="3190">
        <v>3159</v>
      </c>
      <c r="Z712" s="3190">
        <v>16.720199999999998</v>
      </c>
    </row>
    <row r="713" spans="16:26">
      <c r="P713" s="3190">
        <v>532</v>
      </c>
      <c r="Q713" s="3190" t="s">
        <v>4545</v>
      </c>
      <c r="R713" s="3190" t="s">
        <v>4504</v>
      </c>
      <c r="S713" s="3190" t="s">
        <v>4617</v>
      </c>
      <c r="T713" s="3190">
        <v>8</v>
      </c>
      <c r="U713" s="3190">
        <v>-4</v>
      </c>
      <c r="V713" s="3190">
        <v>52.93</v>
      </c>
      <c r="W713" s="3190" t="s">
        <v>4593</v>
      </c>
      <c r="X713" s="3190" t="s">
        <v>4593</v>
      </c>
      <c r="Y713" s="3190">
        <v>3159</v>
      </c>
      <c r="Z713" s="3190">
        <v>16.720199999999998</v>
      </c>
    </row>
    <row r="714" spans="16:26">
      <c r="P714" s="3190">
        <v>533</v>
      </c>
      <c r="Q714" s="3190" t="s">
        <v>4545</v>
      </c>
      <c r="R714" s="3190" t="s">
        <v>4504</v>
      </c>
      <c r="S714" s="3190" t="s">
        <v>4618</v>
      </c>
      <c r="T714" s="3190">
        <v>8</v>
      </c>
      <c r="U714" s="3190">
        <v>-4</v>
      </c>
      <c r="V714" s="3190">
        <v>52.93</v>
      </c>
      <c r="W714" s="3190" t="s">
        <v>4593</v>
      </c>
      <c r="X714" s="3190" t="s">
        <v>4593</v>
      </c>
      <c r="Y714" s="3190">
        <v>3159</v>
      </c>
      <c r="Z714" s="3190">
        <v>16.720199999999998</v>
      </c>
    </row>
    <row r="715" spans="16:26">
      <c r="P715" s="3190">
        <v>534</v>
      </c>
      <c r="Q715" s="3190" t="s">
        <v>4545</v>
      </c>
      <c r="R715" s="3190" t="s">
        <v>4504</v>
      </c>
      <c r="S715" s="3190" t="s">
        <v>4619</v>
      </c>
      <c r="T715" s="3190">
        <v>8</v>
      </c>
      <c r="U715" s="3190">
        <v>-4</v>
      </c>
      <c r="V715" s="3190">
        <v>52.93</v>
      </c>
      <c r="W715" s="3190" t="s">
        <v>4593</v>
      </c>
      <c r="X715" s="3190" t="s">
        <v>4593</v>
      </c>
      <c r="Y715" s="3190">
        <v>3159</v>
      </c>
      <c r="Z715" s="3190">
        <v>16.720199999999998</v>
      </c>
    </row>
    <row r="716" spans="16:26">
      <c r="P716" s="3190">
        <v>535</v>
      </c>
      <c r="Q716" s="3190" t="s">
        <v>4545</v>
      </c>
      <c r="R716" s="3190" t="s">
        <v>4504</v>
      </c>
      <c r="S716" s="3190" t="s">
        <v>4620</v>
      </c>
      <c r="T716" s="3190">
        <v>8</v>
      </c>
      <c r="U716" s="3190">
        <v>-4</v>
      </c>
      <c r="V716" s="3190">
        <v>59.92</v>
      </c>
      <c r="W716" s="3190" t="s">
        <v>4593</v>
      </c>
      <c r="X716" s="3190" t="s">
        <v>4593</v>
      </c>
      <c r="Y716" s="3190">
        <v>2790</v>
      </c>
      <c r="Z716" s="3190">
        <v>16.720199999999998</v>
      </c>
    </row>
    <row r="717" spans="16:26">
      <c r="P717" s="3190">
        <v>536</v>
      </c>
      <c r="Q717" s="3190" t="s">
        <v>4545</v>
      </c>
      <c r="R717" s="3190" t="s">
        <v>4504</v>
      </c>
      <c r="S717" s="3190" t="s">
        <v>4621</v>
      </c>
      <c r="T717" s="3190">
        <v>8</v>
      </c>
      <c r="U717" s="3190">
        <v>-4</v>
      </c>
      <c r="V717" s="3190">
        <v>59.92</v>
      </c>
      <c r="W717" s="3190" t="s">
        <v>4593</v>
      </c>
      <c r="X717" s="3190" t="s">
        <v>4593</v>
      </c>
      <c r="Y717" s="3190">
        <v>2790</v>
      </c>
      <c r="Z717" s="3190">
        <v>16.720199999999998</v>
      </c>
    </row>
    <row r="718" spans="16:26">
      <c r="P718" s="3190">
        <v>537</v>
      </c>
      <c r="Q718" s="3190" t="s">
        <v>4545</v>
      </c>
      <c r="R718" s="3190" t="s">
        <v>4504</v>
      </c>
      <c r="S718" s="3190" t="s">
        <v>4622</v>
      </c>
      <c r="T718" s="3190">
        <v>8</v>
      </c>
      <c r="U718" s="3190">
        <v>-4</v>
      </c>
      <c r="V718" s="3190">
        <v>59.92</v>
      </c>
      <c r="W718" s="3190" t="s">
        <v>4593</v>
      </c>
      <c r="X718" s="3190" t="s">
        <v>4593</v>
      </c>
      <c r="Y718" s="3190">
        <v>2790</v>
      </c>
      <c r="Z718" s="3190">
        <v>16.720199999999998</v>
      </c>
    </row>
    <row r="719" spans="16:26">
      <c r="P719" s="3190">
        <v>538</v>
      </c>
      <c r="Q719" s="3190" t="s">
        <v>4545</v>
      </c>
      <c r="R719" s="3190" t="s">
        <v>4504</v>
      </c>
      <c r="S719" s="3190" t="s">
        <v>4623</v>
      </c>
      <c r="T719" s="3190">
        <v>8</v>
      </c>
      <c r="U719" s="3190">
        <v>-4</v>
      </c>
      <c r="V719" s="3190">
        <v>59.92</v>
      </c>
      <c r="W719" s="3190" t="s">
        <v>4593</v>
      </c>
      <c r="X719" s="3190" t="s">
        <v>4593</v>
      </c>
      <c r="Y719" s="3190">
        <v>2790</v>
      </c>
      <c r="Z719" s="3190">
        <v>16.720199999999998</v>
      </c>
    </row>
    <row r="720" spans="16:26">
      <c r="P720" s="3190">
        <v>539</v>
      </c>
      <c r="Q720" s="3190" t="s">
        <v>4545</v>
      </c>
      <c r="R720" s="3190" t="s">
        <v>4504</v>
      </c>
      <c r="S720" s="3190" t="s">
        <v>4624</v>
      </c>
      <c r="T720" s="3190">
        <v>8</v>
      </c>
      <c r="U720" s="3190">
        <v>-4</v>
      </c>
      <c r="V720" s="3190">
        <v>59.92</v>
      </c>
      <c r="W720" s="3190" t="s">
        <v>4593</v>
      </c>
      <c r="X720" s="3190" t="s">
        <v>4593</v>
      </c>
      <c r="Y720" s="3190">
        <v>2790</v>
      </c>
      <c r="Z720" s="3190">
        <v>16.720199999999998</v>
      </c>
    </row>
    <row r="721" spans="16:26">
      <c r="P721" s="3190">
        <v>540</v>
      </c>
      <c r="Q721" s="3190" t="s">
        <v>4545</v>
      </c>
      <c r="R721" s="3190" t="s">
        <v>4504</v>
      </c>
      <c r="S721" s="3190" t="s">
        <v>4625</v>
      </c>
      <c r="T721" s="3190">
        <v>8</v>
      </c>
      <c r="U721" s="3190">
        <v>-4</v>
      </c>
      <c r="V721" s="3190">
        <v>52.93</v>
      </c>
      <c r="W721" s="3190" t="s">
        <v>4593</v>
      </c>
      <c r="X721" s="3190" t="s">
        <v>4593</v>
      </c>
      <c r="Y721" s="3190">
        <v>3159</v>
      </c>
      <c r="Z721" s="3190">
        <v>16.720199999999998</v>
      </c>
    </row>
    <row r="722" spans="16:26">
      <c r="P722" s="3190">
        <v>541</v>
      </c>
      <c r="Q722" s="3190" t="s">
        <v>4545</v>
      </c>
      <c r="R722" s="3190" t="s">
        <v>4504</v>
      </c>
      <c r="S722" s="3190" t="s">
        <v>4626</v>
      </c>
      <c r="T722" s="3190">
        <v>8</v>
      </c>
      <c r="U722" s="3190">
        <v>-4</v>
      </c>
      <c r="V722" s="3190">
        <v>52.93</v>
      </c>
      <c r="W722" s="3190" t="s">
        <v>4593</v>
      </c>
      <c r="X722" s="3190" t="s">
        <v>4593</v>
      </c>
      <c r="Y722" s="3190">
        <v>3159</v>
      </c>
      <c r="Z722" s="3190">
        <v>16.720199999999998</v>
      </c>
    </row>
    <row r="723" spans="16:26">
      <c r="P723" s="3190">
        <v>542</v>
      </c>
      <c r="Q723" s="3190" t="s">
        <v>4545</v>
      </c>
      <c r="R723" s="3190" t="s">
        <v>4504</v>
      </c>
      <c r="S723" s="3190" t="s">
        <v>4627</v>
      </c>
      <c r="T723" s="3190">
        <v>8</v>
      </c>
      <c r="U723" s="3190">
        <v>-4</v>
      </c>
      <c r="V723" s="3190">
        <v>52.93</v>
      </c>
      <c r="W723" s="3190" t="s">
        <v>4593</v>
      </c>
      <c r="X723" s="3190" t="s">
        <v>4593</v>
      </c>
      <c r="Y723" s="3190">
        <v>3159</v>
      </c>
      <c r="Z723" s="3190">
        <v>16.720199999999998</v>
      </c>
    </row>
    <row r="724" spans="16:26">
      <c r="P724" s="3190">
        <v>543</v>
      </c>
      <c r="Q724" s="3190" t="s">
        <v>4545</v>
      </c>
      <c r="R724" s="3190" t="s">
        <v>4504</v>
      </c>
      <c r="S724" s="3190" t="s">
        <v>4628</v>
      </c>
      <c r="T724" s="3190">
        <v>8</v>
      </c>
      <c r="U724" s="3190">
        <v>-4</v>
      </c>
      <c r="V724" s="3190">
        <v>52.93</v>
      </c>
      <c r="W724" s="3190" t="s">
        <v>4593</v>
      </c>
      <c r="X724" s="3190" t="s">
        <v>4593</v>
      </c>
      <c r="Y724" s="3190">
        <v>3159</v>
      </c>
      <c r="Z724" s="3190">
        <v>16.720199999999998</v>
      </c>
    </row>
    <row r="725" spans="16:26">
      <c r="P725" s="3190">
        <v>544</v>
      </c>
      <c r="Q725" s="3190" t="s">
        <v>4545</v>
      </c>
      <c r="R725" s="3190" t="s">
        <v>4504</v>
      </c>
      <c r="S725" s="3190" t="s">
        <v>4629</v>
      </c>
      <c r="T725" s="3190">
        <v>8</v>
      </c>
      <c r="U725" s="3190">
        <v>-4</v>
      </c>
      <c r="V725" s="3190">
        <v>52.93</v>
      </c>
      <c r="W725" s="3190" t="s">
        <v>4593</v>
      </c>
      <c r="X725" s="3190" t="s">
        <v>4593</v>
      </c>
      <c r="Y725" s="3190">
        <v>3159</v>
      </c>
      <c r="Z725" s="3190">
        <v>16.720199999999998</v>
      </c>
    </row>
    <row r="726" spans="16:26">
      <c r="P726" s="3190">
        <v>545</v>
      </c>
      <c r="Q726" s="3190" t="s">
        <v>4545</v>
      </c>
      <c r="R726" s="3190" t="s">
        <v>4504</v>
      </c>
      <c r="S726" s="3190" t="s">
        <v>4630</v>
      </c>
      <c r="T726" s="3190">
        <v>8</v>
      </c>
      <c r="U726" s="3190">
        <v>-4</v>
      </c>
      <c r="V726" s="3190">
        <v>52.93</v>
      </c>
      <c r="W726" s="3190" t="s">
        <v>4593</v>
      </c>
      <c r="X726" s="3190" t="s">
        <v>4593</v>
      </c>
      <c r="Y726" s="3190">
        <v>3159</v>
      </c>
      <c r="Z726" s="3190">
        <v>16.720199999999998</v>
      </c>
    </row>
    <row r="727" spans="16:26">
      <c r="P727" s="3190">
        <v>546</v>
      </c>
      <c r="Q727" s="3190" t="s">
        <v>4545</v>
      </c>
      <c r="R727" s="3190" t="s">
        <v>4504</v>
      </c>
      <c r="S727" s="3190" t="s">
        <v>4631</v>
      </c>
      <c r="T727" s="3190">
        <v>8</v>
      </c>
      <c r="U727" s="3190">
        <v>-4</v>
      </c>
      <c r="V727" s="3190">
        <v>52.93</v>
      </c>
      <c r="W727" s="3190" t="s">
        <v>4593</v>
      </c>
      <c r="X727" s="3190" t="s">
        <v>4593</v>
      </c>
      <c r="Y727" s="3190">
        <v>3159</v>
      </c>
      <c r="Z727" s="3190">
        <v>16.720199999999998</v>
      </c>
    </row>
    <row r="728" spans="16:26">
      <c r="P728" s="3190">
        <v>547</v>
      </c>
      <c r="Q728" s="3190" t="s">
        <v>4545</v>
      </c>
      <c r="R728" s="3190" t="s">
        <v>4504</v>
      </c>
      <c r="S728" s="3190" t="s">
        <v>4632</v>
      </c>
      <c r="T728" s="3190">
        <v>8</v>
      </c>
      <c r="U728" s="3190">
        <v>-4</v>
      </c>
      <c r="V728" s="3190">
        <v>52.93</v>
      </c>
      <c r="W728" s="3190" t="s">
        <v>4593</v>
      </c>
      <c r="X728" s="3190" t="s">
        <v>4593</v>
      </c>
      <c r="Y728" s="3190">
        <v>3159</v>
      </c>
      <c r="Z728" s="3190">
        <v>16.720199999999998</v>
      </c>
    </row>
    <row r="729" spans="16:26">
      <c r="P729" s="3190">
        <v>548</v>
      </c>
      <c r="Q729" s="3190" t="s">
        <v>4545</v>
      </c>
      <c r="R729" s="3190" t="s">
        <v>4504</v>
      </c>
      <c r="S729" s="3190" t="s">
        <v>4633</v>
      </c>
      <c r="T729" s="3190">
        <v>8</v>
      </c>
      <c r="U729" s="3190">
        <v>-4</v>
      </c>
      <c r="V729" s="3190">
        <v>52.93</v>
      </c>
      <c r="W729" s="3190" t="s">
        <v>4593</v>
      </c>
      <c r="X729" s="3190" t="s">
        <v>4593</v>
      </c>
      <c r="Y729" s="3190">
        <v>3159</v>
      </c>
      <c r="Z729" s="3190">
        <v>16.720199999999998</v>
      </c>
    </row>
    <row r="730" spans="16:26">
      <c r="P730" s="3190">
        <v>549</v>
      </c>
      <c r="Q730" s="3190" t="s">
        <v>4545</v>
      </c>
      <c r="R730" s="3190" t="s">
        <v>4504</v>
      </c>
      <c r="S730" s="3190" t="s">
        <v>4634</v>
      </c>
      <c r="T730" s="3190">
        <v>8</v>
      </c>
      <c r="U730" s="3190">
        <v>-4</v>
      </c>
      <c r="V730" s="3190">
        <v>52.93</v>
      </c>
      <c r="W730" s="3190" t="s">
        <v>4593</v>
      </c>
      <c r="X730" s="3190" t="s">
        <v>4593</v>
      </c>
      <c r="Y730" s="3190">
        <v>3159</v>
      </c>
      <c r="Z730" s="3190">
        <v>16.720199999999998</v>
      </c>
    </row>
    <row r="731" spans="16:26">
      <c r="P731" s="3190">
        <v>550</v>
      </c>
      <c r="Q731" s="3190" t="s">
        <v>4545</v>
      </c>
      <c r="R731" s="3190" t="s">
        <v>4504</v>
      </c>
      <c r="S731" s="3190" t="s">
        <v>4635</v>
      </c>
      <c r="T731" s="3190">
        <v>8</v>
      </c>
      <c r="U731" s="3190">
        <v>-4</v>
      </c>
      <c r="V731" s="3190">
        <v>52.93</v>
      </c>
      <c r="W731" s="3190" t="s">
        <v>4593</v>
      </c>
      <c r="X731" s="3190" t="s">
        <v>4593</v>
      </c>
      <c r="Y731" s="3190">
        <v>3159</v>
      </c>
      <c r="Z731" s="3190">
        <v>16.720199999999998</v>
      </c>
    </row>
    <row r="732" spans="16:26">
      <c r="P732" s="3190">
        <v>551</v>
      </c>
      <c r="Q732" s="3190" t="s">
        <v>4545</v>
      </c>
      <c r="R732" s="3190" t="s">
        <v>4504</v>
      </c>
      <c r="S732" s="3190" t="s">
        <v>4636</v>
      </c>
      <c r="T732" s="3190">
        <v>8</v>
      </c>
      <c r="U732" s="3190">
        <v>-4</v>
      </c>
      <c r="V732" s="3190">
        <v>52.93</v>
      </c>
      <c r="W732" s="3190" t="s">
        <v>4593</v>
      </c>
      <c r="X732" s="3190" t="s">
        <v>4593</v>
      </c>
      <c r="Y732" s="3190">
        <v>3159</v>
      </c>
      <c r="Z732" s="3190">
        <v>16.720199999999998</v>
      </c>
    </row>
    <row r="733" spans="16:26">
      <c r="P733" s="3190">
        <v>552</v>
      </c>
      <c r="Q733" s="3190" t="s">
        <v>4545</v>
      </c>
      <c r="R733" s="3190" t="s">
        <v>4504</v>
      </c>
      <c r="S733" s="3190" t="s">
        <v>4637</v>
      </c>
      <c r="T733" s="3190">
        <v>8</v>
      </c>
      <c r="U733" s="3190">
        <v>-4</v>
      </c>
      <c r="V733" s="3190">
        <v>52.93</v>
      </c>
      <c r="W733" s="3190" t="s">
        <v>4593</v>
      </c>
      <c r="X733" s="3190" t="s">
        <v>4593</v>
      </c>
      <c r="Y733" s="3190">
        <v>3159</v>
      </c>
      <c r="Z733" s="3190">
        <v>16.720199999999998</v>
      </c>
    </row>
    <row r="734" spans="16:26">
      <c r="P734" s="3190">
        <v>553</v>
      </c>
      <c r="Q734" s="3190" t="s">
        <v>4545</v>
      </c>
      <c r="R734" s="3190" t="s">
        <v>4504</v>
      </c>
      <c r="S734" s="3190" t="s">
        <v>4638</v>
      </c>
      <c r="T734" s="3190">
        <v>8</v>
      </c>
      <c r="U734" s="3190">
        <v>-4</v>
      </c>
      <c r="V734" s="3190">
        <v>52.93</v>
      </c>
      <c r="W734" s="3190" t="s">
        <v>4593</v>
      </c>
      <c r="X734" s="3190" t="s">
        <v>4593</v>
      </c>
      <c r="Y734" s="3190">
        <v>3159</v>
      </c>
      <c r="Z734" s="3190">
        <v>16.720199999999998</v>
      </c>
    </row>
    <row r="735" spans="16:26">
      <c r="P735" s="3190">
        <v>554</v>
      </c>
      <c r="Q735" s="3190" t="s">
        <v>4545</v>
      </c>
      <c r="R735" s="3190" t="s">
        <v>4504</v>
      </c>
      <c r="S735" s="3190" t="s">
        <v>4639</v>
      </c>
      <c r="T735" s="3190">
        <v>8</v>
      </c>
      <c r="U735" s="3190">
        <v>-4</v>
      </c>
      <c r="V735" s="3190">
        <v>52.93</v>
      </c>
      <c r="W735" s="3190" t="s">
        <v>4593</v>
      </c>
      <c r="X735" s="3190" t="s">
        <v>4593</v>
      </c>
      <c r="Y735" s="3190">
        <v>3159</v>
      </c>
      <c r="Z735" s="3190">
        <v>16.720199999999998</v>
      </c>
    </row>
    <row r="736" spans="16:26">
      <c r="P736" s="3190">
        <v>555</v>
      </c>
      <c r="Q736" s="3190" t="s">
        <v>4545</v>
      </c>
      <c r="R736" s="3190" t="s">
        <v>4504</v>
      </c>
      <c r="S736" s="3190" t="s">
        <v>4640</v>
      </c>
      <c r="T736" s="3190">
        <v>8</v>
      </c>
      <c r="U736" s="3190">
        <v>-4</v>
      </c>
      <c r="V736" s="3190">
        <v>52.93</v>
      </c>
      <c r="W736" s="3190" t="s">
        <v>4593</v>
      </c>
      <c r="X736" s="3190" t="s">
        <v>4593</v>
      </c>
      <c r="Y736" s="3190">
        <v>3159</v>
      </c>
      <c r="Z736" s="3190">
        <v>16.720199999999998</v>
      </c>
    </row>
    <row r="737" spans="16:26">
      <c r="P737" s="3190">
        <v>556</v>
      </c>
      <c r="Q737" s="3190" t="s">
        <v>4545</v>
      </c>
      <c r="R737" s="3190" t="s">
        <v>4504</v>
      </c>
      <c r="S737" s="3190" t="s">
        <v>4641</v>
      </c>
      <c r="T737" s="3190">
        <v>8</v>
      </c>
      <c r="U737" s="3190">
        <v>-4</v>
      </c>
      <c r="V737" s="3190">
        <v>52.93</v>
      </c>
      <c r="W737" s="3190" t="s">
        <v>4593</v>
      </c>
      <c r="X737" s="3190" t="s">
        <v>4593</v>
      </c>
      <c r="Y737" s="3190">
        <v>3159</v>
      </c>
      <c r="Z737" s="3190">
        <v>16.720199999999998</v>
      </c>
    </row>
    <row r="738" spans="16:26">
      <c r="P738" s="3190">
        <v>557</v>
      </c>
      <c r="Q738" s="3190" t="s">
        <v>4545</v>
      </c>
      <c r="R738" s="3190" t="s">
        <v>4504</v>
      </c>
      <c r="S738" s="3190" t="s">
        <v>4642</v>
      </c>
      <c r="T738" s="3190">
        <v>8</v>
      </c>
      <c r="U738" s="3190">
        <v>-4</v>
      </c>
      <c r="V738" s="3190">
        <v>52.93</v>
      </c>
      <c r="W738" s="3190" t="s">
        <v>4593</v>
      </c>
      <c r="X738" s="3190" t="s">
        <v>4593</v>
      </c>
      <c r="Y738" s="3190">
        <v>3159</v>
      </c>
      <c r="Z738" s="3190">
        <v>16.720199999999998</v>
      </c>
    </row>
    <row r="739" spans="16:26">
      <c r="P739" s="3190">
        <v>558</v>
      </c>
      <c r="Q739" s="3190" t="s">
        <v>4545</v>
      </c>
      <c r="R739" s="3190" t="s">
        <v>4504</v>
      </c>
      <c r="S739" s="3190" t="s">
        <v>4643</v>
      </c>
      <c r="T739" s="3190">
        <v>8</v>
      </c>
      <c r="U739" s="3190">
        <v>-4</v>
      </c>
      <c r="V739" s="3190">
        <v>52.93</v>
      </c>
      <c r="W739" s="3190" t="s">
        <v>4593</v>
      </c>
      <c r="X739" s="3190" t="s">
        <v>4593</v>
      </c>
      <c r="Y739" s="3190">
        <v>3159</v>
      </c>
      <c r="Z739" s="3190">
        <v>16.720199999999998</v>
      </c>
    </row>
    <row r="740" spans="16:26">
      <c r="P740" s="3190">
        <v>559</v>
      </c>
      <c r="Q740" s="3190" t="s">
        <v>4545</v>
      </c>
      <c r="R740" s="3190" t="s">
        <v>4504</v>
      </c>
      <c r="S740" s="3190" t="s">
        <v>4644</v>
      </c>
      <c r="T740" s="3190">
        <v>8</v>
      </c>
      <c r="U740" s="3190">
        <v>-4</v>
      </c>
      <c r="V740" s="3190">
        <v>52.93</v>
      </c>
      <c r="W740" s="3190" t="s">
        <v>4593</v>
      </c>
      <c r="X740" s="3190" t="s">
        <v>4593</v>
      </c>
      <c r="Y740" s="3190">
        <v>3159</v>
      </c>
      <c r="Z740" s="3190">
        <v>16.720199999999998</v>
      </c>
    </row>
    <row r="741" spans="16:26">
      <c r="P741" s="3190">
        <v>560</v>
      </c>
      <c r="Q741" s="3190" t="s">
        <v>4545</v>
      </c>
      <c r="R741" s="3190" t="s">
        <v>4504</v>
      </c>
      <c r="S741" s="3190" t="s">
        <v>4645</v>
      </c>
      <c r="T741" s="3190">
        <v>8</v>
      </c>
      <c r="U741" s="3190">
        <v>-4</v>
      </c>
      <c r="V741" s="3190">
        <v>89.38</v>
      </c>
      <c r="W741" s="3190" t="s">
        <v>4593</v>
      </c>
      <c r="X741" s="3190" t="s">
        <v>4593</v>
      </c>
      <c r="Y741" s="3190">
        <v>2432</v>
      </c>
      <c r="Z741" s="3190">
        <v>21.7363</v>
      </c>
    </row>
    <row r="742" spans="16:26">
      <c r="P742" s="3190">
        <v>561</v>
      </c>
      <c r="Q742" s="3190" t="s">
        <v>4545</v>
      </c>
      <c r="R742" s="3190" t="s">
        <v>4504</v>
      </c>
      <c r="S742" s="3190" t="s">
        <v>4646</v>
      </c>
      <c r="T742" s="3190">
        <v>8</v>
      </c>
      <c r="U742" s="3190">
        <v>-4</v>
      </c>
      <c r="V742" s="3190">
        <v>59.92</v>
      </c>
      <c r="W742" s="3190" t="s">
        <v>4593</v>
      </c>
      <c r="X742" s="3190" t="s">
        <v>4593</v>
      </c>
      <c r="Y742" s="3190">
        <v>2790</v>
      </c>
      <c r="Z742" s="3190">
        <v>16.720199999999998</v>
      </c>
    </row>
    <row r="743" spans="16:26">
      <c r="P743" s="3190">
        <v>562</v>
      </c>
      <c r="Q743" s="3190" t="s">
        <v>4545</v>
      </c>
      <c r="R743" s="3190" t="s">
        <v>4504</v>
      </c>
      <c r="S743" s="3190" t="s">
        <v>4647</v>
      </c>
      <c r="T743" s="3190">
        <v>8</v>
      </c>
      <c r="U743" s="3190">
        <v>-4</v>
      </c>
      <c r="V743" s="3190">
        <v>59.92</v>
      </c>
      <c r="W743" s="3190" t="s">
        <v>4593</v>
      </c>
      <c r="X743" s="3190" t="s">
        <v>4593</v>
      </c>
      <c r="Y743" s="3190">
        <v>2790</v>
      </c>
      <c r="Z743" s="3190">
        <v>16.720199999999998</v>
      </c>
    </row>
    <row r="744" spans="16:26">
      <c r="P744" s="3190">
        <v>563</v>
      </c>
      <c r="Q744" s="3190" t="s">
        <v>4545</v>
      </c>
      <c r="R744" s="3190" t="s">
        <v>4504</v>
      </c>
      <c r="S744" s="3190" t="s">
        <v>4648</v>
      </c>
      <c r="T744" s="3190">
        <v>8</v>
      </c>
      <c r="U744" s="3190">
        <v>-4</v>
      </c>
      <c r="V744" s="3190">
        <v>52.93</v>
      </c>
      <c r="W744" s="3190" t="s">
        <v>4593</v>
      </c>
      <c r="X744" s="3190" t="s">
        <v>4593</v>
      </c>
      <c r="Y744" s="3190">
        <v>3159</v>
      </c>
      <c r="Z744" s="3190">
        <v>16.720199999999998</v>
      </c>
    </row>
    <row r="745" spans="16:26">
      <c r="P745" s="3190">
        <v>564</v>
      </c>
      <c r="Q745" s="3190" t="s">
        <v>4545</v>
      </c>
      <c r="R745" s="3190" t="s">
        <v>4504</v>
      </c>
      <c r="S745" s="3190" t="s">
        <v>4649</v>
      </c>
      <c r="T745" s="3190">
        <v>8</v>
      </c>
      <c r="U745" s="3190">
        <v>-4</v>
      </c>
      <c r="V745" s="3190">
        <v>52.93</v>
      </c>
      <c r="W745" s="3190" t="s">
        <v>4593</v>
      </c>
      <c r="X745" s="3190" t="s">
        <v>4593</v>
      </c>
      <c r="Y745" s="3190">
        <v>3159</v>
      </c>
      <c r="Z745" s="3190">
        <v>16.720199999999998</v>
      </c>
    </row>
    <row r="746" spans="16:26">
      <c r="P746" s="3190">
        <v>565</v>
      </c>
      <c r="Q746" s="3190" t="s">
        <v>4545</v>
      </c>
      <c r="R746" s="3190" t="s">
        <v>4504</v>
      </c>
      <c r="S746" s="3190" t="s">
        <v>4650</v>
      </c>
      <c r="T746" s="3190">
        <v>8</v>
      </c>
      <c r="U746" s="3190">
        <v>-4</v>
      </c>
      <c r="V746" s="3190">
        <v>52.93</v>
      </c>
      <c r="W746" s="3190" t="s">
        <v>4593</v>
      </c>
      <c r="X746" s="3190" t="s">
        <v>4593</v>
      </c>
      <c r="Y746" s="3190">
        <v>3159</v>
      </c>
      <c r="Z746" s="3190">
        <v>16.720199999999998</v>
      </c>
    </row>
    <row r="747" spans="16:26">
      <c r="P747" s="3190">
        <v>566</v>
      </c>
      <c r="Q747" s="3190" t="s">
        <v>4545</v>
      </c>
      <c r="R747" s="3190" t="s">
        <v>4504</v>
      </c>
      <c r="S747" s="3190" t="s">
        <v>4651</v>
      </c>
      <c r="T747" s="3190">
        <v>8</v>
      </c>
      <c r="U747" s="3190">
        <v>-4</v>
      </c>
      <c r="V747" s="3190">
        <v>52.93</v>
      </c>
      <c r="W747" s="3190" t="s">
        <v>4593</v>
      </c>
      <c r="X747" s="3190" t="s">
        <v>4593</v>
      </c>
      <c r="Y747" s="3190">
        <v>3159</v>
      </c>
      <c r="Z747" s="3190">
        <v>16.720199999999998</v>
      </c>
    </row>
    <row r="748" spans="16:26">
      <c r="P748" s="3190">
        <v>567</v>
      </c>
      <c r="Q748" s="3190" t="s">
        <v>4545</v>
      </c>
      <c r="R748" s="3190" t="s">
        <v>4504</v>
      </c>
      <c r="S748" s="3190" t="s">
        <v>4652</v>
      </c>
      <c r="T748" s="3190">
        <v>8</v>
      </c>
      <c r="U748" s="3190">
        <v>-4</v>
      </c>
      <c r="V748" s="3190">
        <v>52.93</v>
      </c>
      <c r="W748" s="3190" t="s">
        <v>4593</v>
      </c>
      <c r="X748" s="3190" t="s">
        <v>4593</v>
      </c>
      <c r="Y748" s="3190">
        <v>3159</v>
      </c>
      <c r="Z748" s="3190">
        <v>16.720199999999998</v>
      </c>
    </row>
    <row r="749" spans="16:26">
      <c r="P749" s="3190">
        <v>568</v>
      </c>
      <c r="Q749" s="3190" t="s">
        <v>4545</v>
      </c>
      <c r="R749" s="3190" t="s">
        <v>4504</v>
      </c>
      <c r="S749" s="3190" t="s">
        <v>4653</v>
      </c>
      <c r="T749" s="3190">
        <v>8</v>
      </c>
      <c r="U749" s="3190">
        <v>-4</v>
      </c>
      <c r="V749" s="3190">
        <v>52.93</v>
      </c>
      <c r="W749" s="3190" t="s">
        <v>4593</v>
      </c>
      <c r="X749" s="3190" t="s">
        <v>4593</v>
      </c>
      <c r="Y749" s="3190">
        <v>3159</v>
      </c>
      <c r="Z749" s="3190">
        <v>16.720199999999998</v>
      </c>
    </row>
    <row r="750" spans="16:26">
      <c r="P750" s="3190">
        <v>569</v>
      </c>
      <c r="Q750" s="3190" t="s">
        <v>4545</v>
      </c>
      <c r="R750" s="3190" t="s">
        <v>4504</v>
      </c>
      <c r="S750" s="3190" t="s">
        <v>4654</v>
      </c>
      <c r="T750" s="3190">
        <v>8</v>
      </c>
      <c r="U750" s="3190">
        <v>-4</v>
      </c>
      <c r="V750" s="3190">
        <v>52.93</v>
      </c>
      <c r="W750" s="3190" t="s">
        <v>4593</v>
      </c>
      <c r="X750" s="3190" t="s">
        <v>4593</v>
      </c>
      <c r="Y750" s="3190">
        <v>3159</v>
      </c>
      <c r="Z750" s="3190">
        <v>16.720199999999998</v>
      </c>
    </row>
    <row r="751" spans="16:26">
      <c r="P751" s="3190">
        <v>570</v>
      </c>
      <c r="Q751" s="3190" t="s">
        <v>4545</v>
      </c>
      <c r="R751" s="3190" t="s">
        <v>4504</v>
      </c>
      <c r="S751" s="3190" t="s">
        <v>4655</v>
      </c>
      <c r="T751" s="3190">
        <v>8</v>
      </c>
      <c r="U751" s="3190">
        <v>-4</v>
      </c>
      <c r="V751" s="3190">
        <v>52.93</v>
      </c>
      <c r="W751" s="3190" t="s">
        <v>4593</v>
      </c>
      <c r="X751" s="3190" t="s">
        <v>4593</v>
      </c>
      <c r="Y751" s="3190">
        <v>3159</v>
      </c>
      <c r="Z751" s="3190">
        <v>16.720199999999998</v>
      </c>
    </row>
    <row r="752" spans="16:26">
      <c r="P752" s="3190">
        <v>571</v>
      </c>
      <c r="Q752" s="3190" t="s">
        <v>4545</v>
      </c>
      <c r="R752" s="3190" t="s">
        <v>4504</v>
      </c>
      <c r="S752" s="3190" t="s">
        <v>4656</v>
      </c>
      <c r="T752" s="3190">
        <v>8</v>
      </c>
      <c r="U752" s="3190">
        <v>-4</v>
      </c>
      <c r="V752" s="3190">
        <v>52.93</v>
      </c>
      <c r="W752" s="3190" t="s">
        <v>4593</v>
      </c>
      <c r="X752" s="3190" t="s">
        <v>4593</v>
      </c>
      <c r="Y752" s="3190">
        <v>3159</v>
      </c>
      <c r="Z752" s="3190">
        <v>16.720199999999998</v>
      </c>
    </row>
    <row r="753" spans="16:26">
      <c r="P753" s="3190">
        <v>572</v>
      </c>
      <c r="Q753" s="3190" t="s">
        <v>4545</v>
      </c>
      <c r="R753" s="3190" t="s">
        <v>4504</v>
      </c>
      <c r="S753" s="3190" t="s">
        <v>4657</v>
      </c>
      <c r="T753" s="3190">
        <v>8</v>
      </c>
      <c r="U753" s="3190">
        <v>-4</v>
      </c>
      <c r="V753" s="3190">
        <v>52.93</v>
      </c>
      <c r="W753" s="3190" t="s">
        <v>4593</v>
      </c>
      <c r="X753" s="3190" t="s">
        <v>4593</v>
      </c>
      <c r="Y753" s="3190">
        <v>3159</v>
      </c>
      <c r="Z753" s="3190">
        <v>16.720199999999998</v>
      </c>
    </row>
    <row r="754" spans="16:26">
      <c r="P754" s="3190">
        <v>573</v>
      </c>
      <c r="Q754" s="3190" t="s">
        <v>4545</v>
      </c>
      <c r="R754" s="3190" t="s">
        <v>4504</v>
      </c>
      <c r="S754" s="3190" t="s">
        <v>4658</v>
      </c>
      <c r="T754" s="3190">
        <v>8</v>
      </c>
      <c r="U754" s="3190">
        <v>-4</v>
      </c>
      <c r="V754" s="3190">
        <v>52.93</v>
      </c>
      <c r="W754" s="3190" t="s">
        <v>4593</v>
      </c>
      <c r="X754" s="3190" t="s">
        <v>4593</v>
      </c>
      <c r="Y754" s="3190">
        <v>3159</v>
      </c>
      <c r="Z754" s="3190">
        <v>16.720199999999998</v>
      </c>
    </row>
    <row r="755" spans="16:26">
      <c r="P755" s="3190">
        <v>574</v>
      </c>
      <c r="Q755" s="3190" t="s">
        <v>4545</v>
      </c>
      <c r="R755" s="3190" t="s">
        <v>4504</v>
      </c>
      <c r="S755" s="3190" t="s">
        <v>4659</v>
      </c>
      <c r="T755" s="3190">
        <v>8</v>
      </c>
      <c r="U755" s="3190">
        <v>-4</v>
      </c>
      <c r="V755" s="3190">
        <v>52.93</v>
      </c>
      <c r="W755" s="3190" t="s">
        <v>4593</v>
      </c>
      <c r="X755" s="3190" t="s">
        <v>4593</v>
      </c>
      <c r="Y755" s="3190">
        <v>3159</v>
      </c>
      <c r="Z755" s="3190">
        <v>16.720199999999998</v>
      </c>
    </row>
    <row r="756" spans="16:26">
      <c r="P756" s="3190">
        <v>575</v>
      </c>
      <c r="Q756" s="3190" t="s">
        <v>4545</v>
      </c>
      <c r="R756" s="3190" t="s">
        <v>4504</v>
      </c>
      <c r="S756" s="3190" t="s">
        <v>4660</v>
      </c>
      <c r="T756" s="3190">
        <v>8</v>
      </c>
      <c r="U756" s="3190">
        <v>-4</v>
      </c>
      <c r="V756" s="3190">
        <v>52.93</v>
      </c>
      <c r="W756" s="3190" t="s">
        <v>4593</v>
      </c>
      <c r="X756" s="3190" t="s">
        <v>4593</v>
      </c>
      <c r="Y756" s="3190">
        <v>3159</v>
      </c>
      <c r="Z756" s="3190">
        <v>16.720199999999998</v>
      </c>
    </row>
    <row r="757" spans="16:26">
      <c r="P757" s="3190">
        <v>576</v>
      </c>
      <c r="Q757" s="3190" t="s">
        <v>4545</v>
      </c>
      <c r="R757" s="3190" t="s">
        <v>4504</v>
      </c>
      <c r="S757" s="3190" t="s">
        <v>4661</v>
      </c>
      <c r="T757" s="3190">
        <v>8</v>
      </c>
      <c r="U757" s="3190">
        <v>-4</v>
      </c>
      <c r="V757" s="3190">
        <v>52.93</v>
      </c>
      <c r="W757" s="3190" t="s">
        <v>4593</v>
      </c>
      <c r="X757" s="3190" t="s">
        <v>4593</v>
      </c>
      <c r="Y757" s="3190">
        <v>3159</v>
      </c>
      <c r="Z757" s="3190">
        <v>16.720199999999998</v>
      </c>
    </row>
    <row r="758" spans="16:26">
      <c r="P758" s="3190">
        <v>577</v>
      </c>
      <c r="Q758" s="3190" t="s">
        <v>4545</v>
      </c>
      <c r="R758" s="3190" t="s">
        <v>4504</v>
      </c>
      <c r="S758" s="3190" t="s">
        <v>4662</v>
      </c>
      <c r="T758" s="3190">
        <v>8</v>
      </c>
      <c r="U758" s="3190">
        <v>-4</v>
      </c>
      <c r="V758" s="3190">
        <v>52.93</v>
      </c>
      <c r="W758" s="3190" t="s">
        <v>4593</v>
      </c>
      <c r="X758" s="3190" t="s">
        <v>4593</v>
      </c>
      <c r="Y758" s="3190">
        <v>3159</v>
      </c>
      <c r="Z758" s="3190">
        <v>16.720199999999998</v>
      </c>
    </row>
    <row r="759" spans="16:26">
      <c r="P759" s="3190">
        <v>578</v>
      </c>
      <c r="Q759" s="3190" t="s">
        <v>4545</v>
      </c>
      <c r="R759" s="3190" t="s">
        <v>4504</v>
      </c>
      <c r="S759" s="3190" t="s">
        <v>4663</v>
      </c>
      <c r="T759" s="3190">
        <v>8</v>
      </c>
      <c r="U759" s="3190">
        <v>-4</v>
      </c>
      <c r="V759" s="3190">
        <v>52.93</v>
      </c>
      <c r="W759" s="3190" t="s">
        <v>4593</v>
      </c>
      <c r="X759" s="3190" t="s">
        <v>4593</v>
      </c>
      <c r="Y759" s="3190">
        <v>3159</v>
      </c>
      <c r="Z759" s="3190">
        <v>16.720199999999998</v>
      </c>
    </row>
    <row r="760" spans="16:26">
      <c r="P760" s="3190">
        <v>579</v>
      </c>
      <c r="Q760" s="3190" t="s">
        <v>4545</v>
      </c>
      <c r="R760" s="3190" t="s">
        <v>4504</v>
      </c>
      <c r="S760" s="3190" t="s">
        <v>4664</v>
      </c>
      <c r="T760" s="3190">
        <v>8</v>
      </c>
      <c r="U760" s="3190">
        <v>-4</v>
      </c>
      <c r="V760" s="3190">
        <v>52.93</v>
      </c>
      <c r="W760" s="3190" t="s">
        <v>4593</v>
      </c>
      <c r="X760" s="3190" t="s">
        <v>4593</v>
      </c>
      <c r="Y760" s="3190">
        <v>3159</v>
      </c>
      <c r="Z760" s="3190">
        <v>16.720199999999998</v>
      </c>
    </row>
    <row r="761" spans="16:26">
      <c r="P761" s="3190">
        <v>580</v>
      </c>
      <c r="Q761" s="3190" t="s">
        <v>4545</v>
      </c>
      <c r="R761" s="3190" t="s">
        <v>4504</v>
      </c>
      <c r="S761" s="3190" t="s">
        <v>4665</v>
      </c>
      <c r="T761" s="3190">
        <v>8</v>
      </c>
      <c r="U761" s="3190">
        <v>-4</v>
      </c>
      <c r="V761" s="3190">
        <v>52.93</v>
      </c>
      <c r="W761" s="3190" t="s">
        <v>4593</v>
      </c>
      <c r="X761" s="3190" t="s">
        <v>4593</v>
      </c>
      <c r="Y761" s="3190">
        <v>3159</v>
      </c>
      <c r="Z761" s="3190">
        <v>16.720199999999998</v>
      </c>
    </row>
    <row r="762" spans="16:26">
      <c r="P762" s="3190">
        <v>581</v>
      </c>
      <c r="Q762" s="3190" t="s">
        <v>4545</v>
      </c>
      <c r="R762" s="3190" t="s">
        <v>4504</v>
      </c>
      <c r="S762" s="3190" t="s">
        <v>4666</v>
      </c>
      <c r="T762" s="3190">
        <v>8</v>
      </c>
      <c r="U762" s="3190">
        <v>-4</v>
      </c>
      <c r="V762" s="3190">
        <v>52.93</v>
      </c>
      <c r="W762" s="3190" t="s">
        <v>4593</v>
      </c>
      <c r="X762" s="3190" t="s">
        <v>4593</v>
      </c>
      <c r="Y762" s="3190">
        <v>3159</v>
      </c>
      <c r="Z762" s="3190">
        <v>16.720199999999998</v>
      </c>
    </row>
    <row r="763" spans="16:26">
      <c r="P763" s="3190">
        <v>582</v>
      </c>
      <c r="Q763" s="3190" t="s">
        <v>4545</v>
      </c>
      <c r="R763" s="3190" t="s">
        <v>4504</v>
      </c>
      <c r="S763" s="3190" t="s">
        <v>4667</v>
      </c>
      <c r="T763" s="3190">
        <v>8</v>
      </c>
      <c r="U763" s="3190">
        <v>-4</v>
      </c>
      <c r="V763" s="3190">
        <v>52.93</v>
      </c>
      <c r="W763" s="3190" t="s">
        <v>4593</v>
      </c>
      <c r="X763" s="3190" t="s">
        <v>4593</v>
      </c>
      <c r="Y763" s="3190">
        <v>3159</v>
      </c>
      <c r="Z763" s="3190">
        <v>16.720199999999998</v>
      </c>
    </row>
    <row r="764" spans="16:26">
      <c r="P764" s="3190">
        <v>583</v>
      </c>
      <c r="Q764" s="3190" t="s">
        <v>4545</v>
      </c>
      <c r="R764" s="3190" t="s">
        <v>4504</v>
      </c>
      <c r="S764" s="3190" t="s">
        <v>4668</v>
      </c>
      <c r="T764" s="3190">
        <v>8</v>
      </c>
      <c r="U764" s="3190">
        <v>-4</v>
      </c>
      <c r="V764" s="3190">
        <v>52.93</v>
      </c>
      <c r="W764" s="3190" t="s">
        <v>4593</v>
      </c>
      <c r="X764" s="3190" t="s">
        <v>4593</v>
      </c>
      <c r="Y764" s="3190">
        <v>3159</v>
      </c>
      <c r="Z764" s="3190">
        <v>16.720199999999998</v>
      </c>
    </row>
    <row r="765" spans="16:26">
      <c r="P765" s="3190">
        <v>584</v>
      </c>
      <c r="Q765" s="3190" t="s">
        <v>4545</v>
      </c>
      <c r="R765" s="3190" t="s">
        <v>4504</v>
      </c>
      <c r="S765" s="3190" t="s">
        <v>4669</v>
      </c>
      <c r="T765" s="3190">
        <v>8</v>
      </c>
      <c r="U765" s="3190">
        <v>-4</v>
      </c>
      <c r="V765" s="3190">
        <v>52.93</v>
      </c>
      <c r="W765" s="3190" t="s">
        <v>4593</v>
      </c>
      <c r="X765" s="3190" t="s">
        <v>4593</v>
      </c>
      <c r="Y765" s="3190">
        <v>3159</v>
      </c>
      <c r="Z765" s="3190">
        <v>16.720199999999998</v>
      </c>
    </row>
    <row r="766" spans="16:26">
      <c r="P766" s="3190">
        <v>585</v>
      </c>
      <c r="Q766" s="3190" t="s">
        <v>4545</v>
      </c>
      <c r="R766" s="3190" t="s">
        <v>4504</v>
      </c>
      <c r="S766" s="3190" t="s">
        <v>4670</v>
      </c>
      <c r="T766" s="3190">
        <v>8</v>
      </c>
      <c r="U766" s="3190">
        <v>-4</v>
      </c>
      <c r="V766" s="3190">
        <v>52.93</v>
      </c>
      <c r="W766" s="3190" t="s">
        <v>4593</v>
      </c>
      <c r="X766" s="3190" t="s">
        <v>4593</v>
      </c>
      <c r="Y766" s="3190">
        <v>3159</v>
      </c>
      <c r="Z766" s="3190">
        <v>16.720199999999998</v>
      </c>
    </row>
    <row r="767" spans="16:26">
      <c r="P767" s="3190">
        <v>586</v>
      </c>
      <c r="Q767" s="3190" t="s">
        <v>4545</v>
      </c>
      <c r="R767" s="3190" t="s">
        <v>4504</v>
      </c>
      <c r="S767" s="3190" t="s">
        <v>4671</v>
      </c>
      <c r="T767" s="3190">
        <v>8</v>
      </c>
      <c r="U767" s="3190">
        <v>-4</v>
      </c>
      <c r="V767" s="3190">
        <v>59.92</v>
      </c>
      <c r="W767" s="3190" t="s">
        <v>4593</v>
      </c>
      <c r="X767" s="3190" t="s">
        <v>4593</v>
      </c>
      <c r="Y767" s="3190">
        <v>2790</v>
      </c>
      <c r="Z767" s="3190">
        <v>16.720199999999998</v>
      </c>
    </row>
    <row r="768" spans="16:26">
      <c r="P768" s="3190">
        <v>587</v>
      </c>
      <c r="Q768" s="3190" t="s">
        <v>4545</v>
      </c>
      <c r="R768" s="3190" t="s">
        <v>4504</v>
      </c>
      <c r="S768" s="3190" t="s">
        <v>4672</v>
      </c>
      <c r="T768" s="3190">
        <v>8</v>
      </c>
      <c r="U768" s="3190">
        <v>-4</v>
      </c>
      <c r="V768" s="3190">
        <v>59.92</v>
      </c>
      <c r="W768" s="3190" t="s">
        <v>4593</v>
      </c>
      <c r="X768" s="3190" t="s">
        <v>4593</v>
      </c>
      <c r="Y768" s="3190">
        <v>2790</v>
      </c>
      <c r="Z768" s="3190">
        <v>16.720199999999998</v>
      </c>
    </row>
    <row r="769" spans="16:26">
      <c r="P769" s="3190">
        <v>588</v>
      </c>
      <c r="Q769" s="3190" t="s">
        <v>4545</v>
      </c>
      <c r="R769" s="3190" t="s">
        <v>4504</v>
      </c>
      <c r="S769" s="3190" t="s">
        <v>4673</v>
      </c>
      <c r="T769" s="3190">
        <v>8</v>
      </c>
      <c r="U769" s="3190">
        <v>-4</v>
      </c>
      <c r="V769" s="3190">
        <v>59.92</v>
      </c>
      <c r="W769" s="3190" t="s">
        <v>4593</v>
      </c>
      <c r="X769" s="3190" t="s">
        <v>4593</v>
      </c>
      <c r="Y769" s="3190">
        <v>2790</v>
      </c>
      <c r="Z769" s="3190">
        <v>16.720199999999998</v>
      </c>
    </row>
    <row r="770" spans="16:26">
      <c r="P770" s="3190">
        <v>589</v>
      </c>
      <c r="Q770" s="3190" t="s">
        <v>4545</v>
      </c>
      <c r="R770" s="3190" t="s">
        <v>4504</v>
      </c>
      <c r="S770" s="3190" t="s">
        <v>4674</v>
      </c>
      <c r="T770" s="3190">
        <v>8</v>
      </c>
      <c r="U770" s="3190">
        <v>-4</v>
      </c>
      <c r="V770" s="3190">
        <v>59.92</v>
      </c>
      <c r="W770" s="3190" t="s">
        <v>4593</v>
      </c>
      <c r="X770" s="3190" t="s">
        <v>4593</v>
      </c>
      <c r="Y770" s="3190">
        <v>2790</v>
      </c>
      <c r="Z770" s="3190">
        <v>16.720199999999998</v>
      </c>
    </row>
    <row r="771" spans="16:26">
      <c r="P771" s="3190">
        <v>590</v>
      </c>
      <c r="Q771" s="3190" t="s">
        <v>4545</v>
      </c>
      <c r="R771" s="3190" t="s">
        <v>4504</v>
      </c>
      <c r="S771" s="3190" t="s">
        <v>4675</v>
      </c>
      <c r="T771" s="3190">
        <v>8</v>
      </c>
      <c r="U771" s="3190">
        <v>-4</v>
      </c>
      <c r="V771" s="3190">
        <v>59.92</v>
      </c>
      <c r="W771" s="3190" t="s">
        <v>4593</v>
      </c>
      <c r="X771" s="3190" t="s">
        <v>4593</v>
      </c>
      <c r="Y771" s="3190">
        <v>2790</v>
      </c>
      <c r="Z771" s="3190">
        <v>16.720199999999998</v>
      </c>
    </row>
    <row r="772" spans="16:26">
      <c r="P772" s="3190">
        <v>591</v>
      </c>
      <c r="Q772" s="3190" t="s">
        <v>4545</v>
      </c>
      <c r="R772" s="3190" t="s">
        <v>4504</v>
      </c>
      <c r="S772" s="3190" t="s">
        <v>4676</v>
      </c>
      <c r="T772" s="3190">
        <v>8</v>
      </c>
      <c r="U772" s="3190">
        <v>-4</v>
      </c>
      <c r="V772" s="3190">
        <v>59.92</v>
      </c>
      <c r="W772" s="3190" t="s">
        <v>4593</v>
      </c>
      <c r="X772" s="3190" t="s">
        <v>4593</v>
      </c>
      <c r="Y772" s="3190">
        <v>2790</v>
      </c>
      <c r="Z772" s="3190">
        <v>16.720199999999998</v>
      </c>
    </row>
    <row r="773" spans="16:26">
      <c r="P773" s="3190">
        <v>592</v>
      </c>
      <c r="Q773" s="3190" t="s">
        <v>4545</v>
      </c>
      <c r="R773" s="3190" t="s">
        <v>4504</v>
      </c>
      <c r="S773" s="3190" t="s">
        <v>4677</v>
      </c>
      <c r="T773" s="3190">
        <v>8</v>
      </c>
      <c r="U773" s="3190">
        <v>-4</v>
      </c>
      <c r="V773" s="3190">
        <v>59.92</v>
      </c>
      <c r="W773" s="3190" t="s">
        <v>4593</v>
      </c>
      <c r="X773" s="3190" t="s">
        <v>4593</v>
      </c>
      <c r="Y773" s="3190">
        <v>2790</v>
      </c>
      <c r="Z773" s="3190">
        <v>16.720199999999998</v>
      </c>
    </row>
    <row r="774" spans="16:26">
      <c r="P774" s="3190">
        <v>593</v>
      </c>
      <c r="Q774" s="3190" t="s">
        <v>4545</v>
      </c>
      <c r="R774" s="3190" t="s">
        <v>4504</v>
      </c>
      <c r="S774" s="3190" t="s">
        <v>4678</v>
      </c>
      <c r="T774" s="3190">
        <v>8</v>
      </c>
      <c r="U774" s="3190">
        <v>-4</v>
      </c>
      <c r="V774" s="3190">
        <v>59.92</v>
      </c>
      <c r="W774" s="3190" t="s">
        <v>4593</v>
      </c>
      <c r="X774" s="3190" t="s">
        <v>4593</v>
      </c>
      <c r="Y774" s="3190">
        <v>2790</v>
      </c>
      <c r="Z774" s="3190">
        <v>16.720199999999998</v>
      </c>
    </row>
    <row r="775" spans="16:26">
      <c r="P775" s="3190">
        <v>594</v>
      </c>
      <c r="Q775" s="3190" t="s">
        <v>4545</v>
      </c>
      <c r="R775" s="3190" t="s">
        <v>4504</v>
      </c>
      <c r="S775" s="3190" t="s">
        <v>4679</v>
      </c>
      <c r="T775" s="3190">
        <v>8</v>
      </c>
      <c r="U775" s="3190">
        <v>-4</v>
      </c>
      <c r="V775" s="3190">
        <v>59.92</v>
      </c>
      <c r="W775" s="3190" t="s">
        <v>4593</v>
      </c>
      <c r="X775" s="3190" t="s">
        <v>4593</v>
      </c>
      <c r="Y775" s="3190">
        <v>2790</v>
      </c>
      <c r="Z775" s="3190">
        <v>16.720199999999998</v>
      </c>
    </row>
    <row r="776" spans="16:26">
      <c r="P776" s="3190">
        <v>595</v>
      </c>
      <c r="Q776" s="3190" t="s">
        <v>4545</v>
      </c>
      <c r="R776" s="3190" t="s">
        <v>4504</v>
      </c>
      <c r="S776" s="3190" t="s">
        <v>4680</v>
      </c>
      <c r="T776" s="3190">
        <v>8</v>
      </c>
      <c r="U776" s="3190">
        <v>-4</v>
      </c>
      <c r="V776" s="3190">
        <v>59.92</v>
      </c>
      <c r="W776" s="3190" t="s">
        <v>4593</v>
      </c>
      <c r="X776" s="3190" t="s">
        <v>4593</v>
      </c>
      <c r="Y776" s="3190">
        <v>2790</v>
      </c>
      <c r="Z776" s="3190">
        <v>16.720199999999998</v>
      </c>
    </row>
    <row r="777" spans="16:26">
      <c r="P777" s="3190">
        <v>596</v>
      </c>
      <c r="Q777" s="3190" t="s">
        <v>4545</v>
      </c>
      <c r="R777" s="3190" t="s">
        <v>4504</v>
      </c>
      <c r="S777" s="3190" t="s">
        <v>4681</v>
      </c>
      <c r="T777" s="3190">
        <v>8</v>
      </c>
      <c r="U777" s="3190">
        <v>-4</v>
      </c>
      <c r="V777" s="3190">
        <v>59.92</v>
      </c>
      <c r="W777" s="3190" t="s">
        <v>4593</v>
      </c>
      <c r="X777" s="3190" t="s">
        <v>4593</v>
      </c>
      <c r="Y777" s="3190">
        <v>2790</v>
      </c>
      <c r="Z777" s="3190">
        <v>16.720199999999998</v>
      </c>
    </row>
    <row r="778" spans="16:26">
      <c r="P778" s="3190">
        <v>597</v>
      </c>
      <c r="Q778" s="3190" t="s">
        <v>4545</v>
      </c>
      <c r="R778" s="3190" t="s">
        <v>4504</v>
      </c>
      <c r="S778" s="3190" t="s">
        <v>4682</v>
      </c>
      <c r="T778" s="3190">
        <v>8</v>
      </c>
      <c r="U778" s="3190">
        <v>-4</v>
      </c>
      <c r="V778" s="3190">
        <v>59.92</v>
      </c>
      <c r="W778" s="3190" t="s">
        <v>4593</v>
      </c>
      <c r="X778" s="3190" t="s">
        <v>4593</v>
      </c>
      <c r="Y778" s="3190">
        <v>2790</v>
      </c>
      <c r="Z778" s="3190">
        <v>16.720199999999998</v>
      </c>
    </row>
    <row r="779" spans="16:26">
      <c r="P779" s="3190">
        <v>598</v>
      </c>
      <c r="Q779" s="3190" t="s">
        <v>4545</v>
      </c>
      <c r="R779" s="3190" t="s">
        <v>4504</v>
      </c>
      <c r="S779" s="3190" t="s">
        <v>4683</v>
      </c>
      <c r="T779" s="3190">
        <v>8</v>
      </c>
      <c r="U779" s="3190">
        <v>-4</v>
      </c>
      <c r="V779" s="3190">
        <v>50.93</v>
      </c>
      <c r="W779" s="3190" t="s">
        <v>4593</v>
      </c>
      <c r="X779" s="3190" t="s">
        <v>4593</v>
      </c>
      <c r="Y779" s="3190">
        <v>3283</v>
      </c>
      <c r="Z779" s="3190">
        <v>16.720199999999998</v>
      </c>
    </row>
    <row r="780" spans="16:26">
      <c r="P780" s="3190">
        <v>599</v>
      </c>
      <c r="Q780" s="3190" t="s">
        <v>4545</v>
      </c>
      <c r="R780" s="3190" t="s">
        <v>4504</v>
      </c>
      <c r="S780" s="3190" t="s">
        <v>4684</v>
      </c>
      <c r="T780" s="3190">
        <v>8</v>
      </c>
      <c r="U780" s="3190">
        <v>-4</v>
      </c>
      <c r="V780" s="3190">
        <v>50.93</v>
      </c>
      <c r="W780" s="3190" t="s">
        <v>4593</v>
      </c>
      <c r="X780" s="3190" t="s">
        <v>4593</v>
      </c>
      <c r="Y780" s="3190">
        <v>3283</v>
      </c>
      <c r="Z780" s="3190">
        <v>16.720199999999998</v>
      </c>
    </row>
    <row r="781" spans="16:26">
      <c r="P781" s="3190">
        <v>600</v>
      </c>
      <c r="Q781" s="3190" t="s">
        <v>4545</v>
      </c>
      <c r="R781" s="3190" t="s">
        <v>4504</v>
      </c>
      <c r="S781" s="3190" t="s">
        <v>4685</v>
      </c>
      <c r="T781" s="3190">
        <v>8</v>
      </c>
      <c r="U781" s="3190">
        <v>-4</v>
      </c>
      <c r="V781" s="3190">
        <v>50.93</v>
      </c>
      <c r="W781" s="3190" t="s">
        <v>4593</v>
      </c>
      <c r="X781" s="3190" t="s">
        <v>4593</v>
      </c>
      <c r="Y781" s="3190">
        <v>3283</v>
      </c>
      <c r="Z781" s="3190">
        <v>16.720199999999998</v>
      </c>
    </row>
    <row r="782" spans="16:26">
      <c r="P782" s="3190">
        <v>601</v>
      </c>
      <c r="Q782" s="3190" t="s">
        <v>4545</v>
      </c>
      <c r="R782" s="3190" t="s">
        <v>4504</v>
      </c>
      <c r="S782" s="3190" t="s">
        <v>4686</v>
      </c>
      <c r="T782" s="3190">
        <v>8</v>
      </c>
      <c r="U782" s="3190">
        <v>-4</v>
      </c>
      <c r="V782" s="3190">
        <v>50.93</v>
      </c>
      <c r="W782" s="3190" t="s">
        <v>4593</v>
      </c>
      <c r="X782" s="3190" t="s">
        <v>4593</v>
      </c>
      <c r="Y782" s="3190">
        <v>3283</v>
      </c>
      <c r="Z782" s="3190">
        <v>16.720199999999998</v>
      </c>
    </row>
    <row r="783" spans="16:26">
      <c r="P783" s="3190">
        <v>602</v>
      </c>
      <c r="Q783" s="3190" t="s">
        <v>4545</v>
      </c>
      <c r="R783" s="3190" t="s">
        <v>4504</v>
      </c>
      <c r="S783" s="3190" t="s">
        <v>4687</v>
      </c>
      <c r="T783" s="3190">
        <v>8</v>
      </c>
      <c r="U783" s="3190">
        <v>-4</v>
      </c>
      <c r="V783" s="3190">
        <v>50.93</v>
      </c>
      <c r="W783" s="3190" t="s">
        <v>4593</v>
      </c>
      <c r="X783" s="3190" t="s">
        <v>4593</v>
      </c>
      <c r="Y783" s="3190">
        <v>3283</v>
      </c>
      <c r="Z783" s="3190">
        <v>16.720199999999998</v>
      </c>
    </row>
    <row r="784" spans="16:26">
      <c r="P784" s="3190">
        <v>603</v>
      </c>
      <c r="Q784" s="3190" t="s">
        <v>4545</v>
      </c>
      <c r="R784" s="3190" t="s">
        <v>4504</v>
      </c>
      <c r="S784" s="3190" t="s">
        <v>4688</v>
      </c>
      <c r="T784" s="3190">
        <v>8</v>
      </c>
      <c r="U784" s="3190">
        <v>-4</v>
      </c>
      <c r="V784" s="3190">
        <v>50.93</v>
      </c>
      <c r="W784" s="3190" t="s">
        <v>4593</v>
      </c>
      <c r="X784" s="3190" t="s">
        <v>4593</v>
      </c>
      <c r="Y784" s="3190">
        <v>3283</v>
      </c>
      <c r="Z784" s="3190">
        <v>16.720199999999998</v>
      </c>
    </row>
    <row r="785" spans="16:26">
      <c r="P785" s="3190">
        <v>604</v>
      </c>
      <c r="Q785" s="3190" t="s">
        <v>4545</v>
      </c>
      <c r="R785" s="3190" t="s">
        <v>4504</v>
      </c>
      <c r="S785" s="3190" t="s">
        <v>4689</v>
      </c>
      <c r="T785" s="3190">
        <v>8</v>
      </c>
      <c r="U785" s="3190">
        <v>-4</v>
      </c>
      <c r="V785" s="3190">
        <v>50.93</v>
      </c>
      <c r="W785" s="3190" t="s">
        <v>4593</v>
      </c>
      <c r="X785" s="3190" t="s">
        <v>4593</v>
      </c>
      <c r="Y785" s="3190">
        <v>3283</v>
      </c>
      <c r="Z785" s="3190">
        <v>16.720199999999998</v>
      </c>
    </row>
    <row r="786" spans="16:26">
      <c r="P786" s="3190">
        <v>605</v>
      </c>
      <c r="Q786" s="3190" t="s">
        <v>4545</v>
      </c>
      <c r="R786" s="3190" t="s">
        <v>4504</v>
      </c>
      <c r="S786" s="3190" t="s">
        <v>4690</v>
      </c>
      <c r="T786" s="3190">
        <v>8</v>
      </c>
      <c r="U786" s="3190">
        <v>-4</v>
      </c>
      <c r="V786" s="3190">
        <v>50.93</v>
      </c>
      <c r="W786" s="3190" t="s">
        <v>4593</v>
      </c>
      <c r="X786" s="3190" t="s">
        <v>4593</v>
      </c>
      <c r="Y786" s="3190">
        <v>3283</v>
      </c>
      <c r="Z786" s="3190">
        <v>16.720199999999998</v>
      </c>
    </row>
    <row r="787" spans="16:26">
      <c r="P787" s="3190">
        <v>606</v>
      </c>
      <c r="Q787" s="3190" t="s">
        <v>4545</v>
      </c>
      <c r="R787" s="3190" t="s">
        <v>4504</v>
      </c>
      <c r="S787" s="3190" t="s">
        <v>4691</v>
      </c>
      <c r="T787" s="3190">
        <v>8</v>
      </c>
      <c r="U787" s="3190">
        <v>-4</v>
      </c>
      <c r="V787" s="3190">
        <v>50.93</v>
      </c>
      <c r="W787" s="3190" t="s">
        <v>4593</v>
      </c>
      <c r="X787" s="3190" t="s">
        <v>4593</v>
      </c>
      <c r="Y787" s="3190">
        <v>3283</v>
      </c>
      <c r="Z787" s="3190">
        <v>16.720199999999998</v>
      </c>
    </row>
    <row r="788" spans="16:26">
      <c r="P788" s="3190">
        <v>607</v>
      </c>
      <c r="Q788" s="3190" t="s">
        <v>4545</v>
      </c>
      <c r="R788" s="3190" t="s">
        <v>4504</v>
      </c>
      <c r="S788" s="3190" t="s">
        <v>4692</v>
      </c>
      <c r="T788" s="3190">
        <v>8</v>
      </c>
      <c r="U788" s="3190">
        <v>-4</v>
      </c>
      <c r="V788" s="3190">
        <v>50.93</v>
      </c>
      <c r="W788" s="3190" t="s">
        <v>4593</v>
      </c>
      <c r="X788" s="3190" t="s">
        <v>4593</v>
      </c>
      <c r="Y788" s="3190">
        <v>3283</v>
      </c>
      <c r="Z788" s="3190">
        <v>16.720199999999998</v>
      </c>
    </row>
    <row r="789" spans="16:26">
      <c r="P789" s="3190">
        <v>608</v>
      </c>
      <c r="Q789" s="3190" t="s">
        <v>4545</v>
      </c>
      <c r="R789" s="3190" t="s">
        <v>4504</v>
      </c>
      <c r="S789" s="3190" t="s">
        <v>4693</v>
      </c>
      <c r="T789" s="3190">
        <v>8</v>
      </c>
      <c r="U789" s="3190">
        <v>-4</v>
      </c>
      <c r="V789" s="3190">
        <v>50.93</v>
      </c>
      <c r="W789" s="3190" t="s">
        <v>4593</v>
      </c>
      <c r="X789" s="3190" t="s">
        <v>4593</v>
      </c>
      <c r="Y789" s="3190">
        <v>3283</v>
      </c>
      <c r="Z789" s="3190">
        <v>16.720199999999998</v>
      </c>
    </row>
    <row r="790" spans="16:26">
      <c r="P790" s="3190">
        <v>609</v>
      </c>
      <c r="Q790" s="3190" t="s">
        <v>4545</v>
      </c>
      <c r="R790" s="3190" t="s">
        <v>4504</v>
      </c>
      <c r="S790" s="3190" t="s">
        <v>4694</v>
      </c>
      <c r="T790" s="3190">
        <v>8</v>
      </c>
      <c r="U790" s="3190">
        <v>-4</v>
      </c>
      <c r="V790" s="3190">
        <v>50.93</v>
      </c>
      <c r="W790" s="3190" t="s">
        <v>4593</v>
      </c>
      <c r="X790" s="3190" t="s">
        <v>4593</v>
      </c>
      <c r="Y790" s="3190">
        <v>3283</v>
      </c>
      <c r="Z790" s="3190">
        <v>16.720199999999998</v>
      </c>
    </row>
    <row r="791" spans="16:26">
      <c r="P791" s="3190">
        <v>610</v>
      </c>
      <c r="Q791" s="3190" t="s">
        <v>4545</v>
      </c>
      <c r="R791" s="3190" t="s">
        <v>4504</v>
      </c>
      <c r="S791" s="3190" t="s">
        <v>4695</v>
      </c>
      <c r="T791" s="3190">
        <v>8</v>
      </c>
      <c r="U791" s="3190">
        <v>-4</v>
      </c>
      <c r="V791" s="3190">
        <v>50.93</v>
      </c>
      <c r="W791" s="3190" t="s">
        <v>4593</v>
      </c>
      <c r="X791" s="3190" t="s">
        <v>4593</v>
      </c>
      <c r="Y791" s="3190">
        <v>3283</v>
      </c>
      <c r="Z791" s="3190">
        <v>16.720199999999998</v>
      </c>
    </row>
    <row r="792" spans="16:26">
      <c r="P792" s="3190">
        <v>611</v>
      </c>
      <c r="Q792" s="3190" t="s">
        <v>4545</v>
      </c>
      <c r="R792" s="3190" t="s">
        <v>4504</v>
      </c>
      <c r="S792" s="3190" t="s">
        <v>4696</v>
      </c>
      <c r="T792" s="3190">
        <v>8</v>
      </c>
      <c r="U792" s="3190">
        <v>-4</v>
      </c>
      <c r="V792" s="3190">
        <v>50.93</v>
      </c>
      <c r="W792" s="3190" t="s">
        <v>4593</v>
      </c>
      <c r="X792" s="3190" t="s">
        <v>4593</v>
      </c>
      <c r="Y792" s="3190">
        <v>3283</v>
      </c>
      <c r="Z792" s="3190">
        <v>16.720199999999998</v>
      </c>
    </row>
    <row r="793" spans="16:26">
      <c r="P793" s="3190">
        <v>612</v>
      </c>
      <c r="Q793" s="3190" t="s">
        <v>4545</v>
      </c>
      <c r="R793" s="3190" t="s">
        <v>4504</v>
      </c>
      <c r="S793" s="3190" t="s">
        <v>4697</v>
      </c>
      <c r="T793" s="3190">
        <v>8</v>
      </c>
      <c r="U793" s="3190">
        <v>-4</v>
      </c>
      <c r="V793" s="3190">
        <v>52.93</v>
      </c>
      <c r="W793" s="3190" t="s">
        <v>4593</v>
      </c>
      <c r="X793" s="3190" t="s">
        <v>4593</v>
      </c>
      <c r="Y793" s="3190">
        <v>3159</v>
      </c>
      <c r="Z793" s="3190">
        <v>16.720199999999998</v>
      </c>
    </row>
    <row r="794" spans="16:26">
      <c r="P794" s="3190">
        <v>613</v>
      </c>
      <c r="Q794" s="3190" t="s">
        <v>4545</v>
      </c>
      <c r="R794" s="3190" t="s">
        <v>4504</v>
      </c>
      <c r="S794" s="3190" t="s">
        <v>4698</v>
      </c>
      <c r="T794" s="3190">
        <v>8</v>
      </c>
      <c r="U794" s="3190">
        <v>-4</v>
      </c>
      <c r="V794" s="3190">
        <v>52.93</v>
      </c>
      <c r="W794" s="3190" t="s">
        <v>4593</v>
      </c>
      <c r="X794" s="3190" t="s">
        <v>4593</v>
      </c>
      <c r="Y794" s="3190">
        <v>3159</v>
      </c>
      <c r="Z794" s="3190">
        <v>16.720199999999998</v>
      </c>
    </row>
    <row r="795" spans="16:26">
      <c r="P795" s="3190">
        <v>614</v>
      </c>
      <c r="Q795" s="3190" t="s">
        <v>4545</v>
      </c>
      <c r="R795" s="3190" t="s">
        <v>4504</v>
      </c>
      <c r="S795" s="3190" t="s">
        <v>4699</v>
      </c>
      <c r="T795" s="3190">
        <v>8</v>
      </c>
      <c r="U795" s="3190">
        <v>-4</v>
      </c>
      <c r="V795" s="3190">
        <v>52.93</v>
      </c>
      <c r="W795" s="3190" t="s">
        <v>4593</v>
      </c>
      <c r="X795" s="3190" t="s">
        <v>4593</v>
      </c>
      <c r="Y795" s="3190">
        <v>3159</v>
      </c>
      <c r="Z795" s="3190">
        <v>16.720199999999998</v>
      </c>
    </row>
    <row r="796" spans="16:26">
      <c r="P796" s="3190">
        <v>615</v>
      </c>
      <c r="Q796" s="3190" t="s">
        <v>4545</v>
      </c>
      <c r="R796" s="3190" t="s">
        <v>4504</v>
      </c>
      <c r="S796" s="3190" t="s">
        <v>4700</v>
      </c>
      <c r="T796" s="3190">
        <v>8</v>
      </c>
      <c r="U796" s="3190">
        <v>-4</v>
      </c>
      <c r="V796" s="3190">
        <v>52.93</v>
      </c>
      <c r="W796" s="3190" t="s">
        <v>4593</v>
      </c>
      <c r="X796" s="3190" t="s">
        <v>4593</v>
      </c>
      <c r="Y796" s="3190">
        <v>3159</v>
      </c>
      <c r="Z796" s="3190">
        <v>16.720199999999998</v>
      </c>
    </row>
    <row r="797" spans="16:26">
      <c r="P797" s="3190">
        <v>616</v>
      </c>
      <c r="Q797" s="3190" t="s">
        <v>4545</v>
      </c>
      <c r="R797" s="3190" t="s">
        <v>4504</v>
      </c>
      <c r="S797" s="3190" t="s">
        <v>4701</v>
      </c>
      <c r="T797" s="3190">
        <v>8</v>
      </c>
      <c r="U797" s="3190">
        <v>-4</v>
      </c>
      <c r="V797" s="3190">
        <v>52.93</v>
      </c>
      <c r="W797" s="3190" t="s">
        <v>4593</v>
      </c>
      <c r="X797" s="3190" t="s">
        <v>4593</v>
      </c>
      <c r="Y797" s="3190">
        <v>3159</v>
      </c>
      <c r="Z797" s="3190">
        <v>16.720199999999998</v>
      </c>
    </row>
    <row r="798" spans="16:26">
      <c r="P798" s="3190">
        <v>617</v>
      </c>
      <c r="Q798" s="3190" t="s">
        <v>4545</v>
      </c>
      <c r="R798" s="3190" t="s">
        <v>4504</v>
      </c>
      <c r="S798" s="3190" t="s">
        <v>4702</v>
      </c>
      <c r="T798" s="3190">
        <v>8</v>
      </c>
      <c r="U798" s="3190">
        <v>-4</v>
      </c>
      <c r="V798" s="3190">
        <v>52.93</v>
      </c>
      <c r="W798" s="3190" t="s">
        <v>4593</v>
      </c>
      <c r="X798" s="3190" t="s">
        <v>4593</v>
      </c>
      <c r="Y798" s="3190">
        <v>3159</v>
      </c>
      <c r="Z798" s="3190">
        <v>16.720199999999998</v>
      </c>
    </row>
    <row r="799" spans="16:26">
      <c r="P799" s="3190">
        <v>618</v>
      </c>
      <c r="Q799" s="3190" t="s">
        <v>4545</v>
      </c>
      <c r="R799" s="3190" t="s">
        <v>4504</v>
      </c>
      <c r="S799" s="3190" t="s">
        <v>4703</v>
      </c>
      <c r="T799" s="3190">
        <v>8</v>
      </c>
      <c r="U799" s="3190">
        <v>-4</v>
      </c>
      <c r="V799" s="3190">
        <v>52.93</v>
      </c>
      <c r="W799" s="3190" t="s">
        <v>4593</v>
      </c>
      <c r="X799" s="3190" t="s">
        <v>4593</v>
      </c>
      <c r="Y799" s="3190">
        <v>3159</v>
      </c>
      <c r="Z799" s="3190">
        <v>16.720199999999998</v>
      </c>
    </row>
    <row r="800" spans="16:26">
      <c r="P800" s="3190">
        <v>619</v>
      </c>
      <c r="Q800" s="3190" t="s">
        <v>4545</v>
      </c>
      <c r="R800" s="3190" t="s">
        <v>4504</v>
      </c>
      <c r="S800" s="3190" t="s">
        <v>4704</v>
      </c>
      <c r="T800" s="3190">
        <v>8</v>
      </c>
      <c r="U800" s="3190">
        <v>-4</v>
      </c>
      <c r="V800" s="3190">
        <v>52.93</v>
      </c>
      <c r="W800" s="3190" t="s">
        <v>4593</v>
      </c>
      <c r="X800" s="3190" t="s">
        <v>4593</v>
      </c>
      <c r="Y800" s="3190">
        <v>3159</v>
      </c>
      <c r="Z800" s="3190">
        <v>16.720199999999998</v>
      </c>
    </row>
    <row r="801" spans="16:26">
      <c r="P801" s="3190">
        <v>620</v>
      </c>
      <c r="Q801" s="3190" t="s">
        <v>4545</v>
      </c>
      <c r="R801" s="3190" t="s">
        <v>4504</v>
      </c>
      <c r="S801" s="3190" t="s">
        <v>4705</v>
      </c>
      <c r="T801" s="3190">
        <v>8</v>
      </c>
      <c r="U801" s="3190">
        <v>-4</v>
      </c>
      <c r="V801" s="3190">
        <v>52.93</v>
      </c>
      <c r="W801" s="3190" t="s">
        <v>4593</v>
      </c>
      <c r="X801" s="3190" t="s">
        <v>4593</v>
      </c>
      <c r="Y801" s="3190">
        <v>3159</v>
      </c>
      <c r="Z801" s="3190">
        <v>16.720199999999998</v>
      </c>
    </row>
    <row r="802" spans="16:26">
      <c r="P802" s="3190">
        <v>621</v>
      </c>
      <c r="Q802" s="3190" t="s">
        <v>4545</v>
      </c>
      <c r="R802" s="3190" t="s">
        <v>4504</v>
      </c>
      <c r="S802" s="3190" t="s">
        <v>4706</v>
      </c>
      <c r="T802" s="3190">
        <v>8</v>
      </c>
      <c r="U802" s="3190">
        <v>-4</v>
      </c>
      <c r="V802" s="3190">
        <v>52.93</v>
      </c>
      <c r="W802" s="3190" t="s">
        <v>4593</v>
      </c>
      <c r="X802" s="3190" t="s">
        <v>4593</v>
      </c>
      <c r="Y802" s="3190">
        <v>3159</v>
      </c>
      <c r="Z802" s="3190">
        <v>16.720199999999998</v>
      </c>
    </row>
    <row r="803" spans="16:26">
      <c r="P803" s="3190">
        <v>622</v>
      </c>
      <c r="Q803" s="3190" t="s">
        <v>4545</v>
      </c>
      <c r="R803" s="3190" t="s">
        <v>4504</v>
      </c>
      <c r="S803" s="3190" t="s">
        <v>4707</v>
      </c>
      <c r="T803" s="3190">
        <v>8</v>
      </c>
      <c r="U803" s="3190">
        <v>-4</v>
      </c>
      <c r="V803" s="3190">
        <v>52.93</v>
      </c>
      <c r="W803" s="3190" t="s">
        <v>4593</v>
      </c>
      <c r="X803" s="3190" t="s">
        <v>4593</v>
      </c>
      <c r="Y803" s="3190">
        <v>3159</v>
      </c>
      <c r="Z803" s="3190">
        <v>16.720199999999998</v>
      </c>
    </row>
    <row r="804" spans="16:26">
      <c r="P804" s="3190">
        <v>623</v>
      </c>
      <c r="Q804" s="3190" t="s">
        <v>4545</v>
      </c>
      <c r="R804" s="3190" t="s">
        <v>4504</v>
      </c>
      <c r="S804" s="3190" t="s">
        <v>4708</v>
      </c>
      <c r="T804" s="3190">
        <v>8</v>
      </c>
      <c r="U804" s="3190">
        <v>-4</v>
      </c>
      <c r="V804" s="3190">
        <v>52.93</v>
      </c>
      <c r="W804" s="3190" t="s">
        <v>4593</v>
      </c>
      <c r="X804" s="3190" t="s">
        <v>4593</v>
      </c>
      <c r="Y804" s="3190">
        <v>3159</v>
      </c>
      <c r="Z804" s="3190">
        <v>16.720199999999998</v>
      </c>
    </row>
    <row r="805" spans="16:26">
      <c r="P805" s="3190">
        <v>624</v>
      </c>
      <c r="Q805" s="3190" t="s">
        <v>4545</v>
      </c>
      <c r="R805" s="3190" t="s">
        <v>4504</v>
      </c>
      <c r="S805" s="3190" t="s">
        <v>4709</v>
      </c>
      <c r="T805" s="3190">
        <v>8</v>
      </c>
      <c r="U805" s="3190">
        <v>-4</v>
      </c>
      <c r="V805" s="3190">
        <v>52.93</v>
      </c>
      <c r="W805" s="3190" t="s">
        <v>4593</v>
      </c>
      <c r="X805" s="3190" t="s">
        <v>4593</v>
      </c>
      <c r="Y805" s="3190">
        <v>3159</v>
      </c>
      <c r="Z805" s="3190">
        <v>16.720199999999998</v>
      </c>
    </row>
    <row r="806" spans="16:26">
      <c r="P806" s="3190">
        <v>625</v>
      </c>
      <c r="Q806" s="3190" t="s">
        <v>4545</v>
      </c>
      <c r="R806" s="3190" t="s">
        <v>4504</v>
      </c>
      <c r="S806" s="3190" t="s">
        <v>4710</v>
      </c>
      <c r="T806" s="3190">
        <v>8</v>
      </c>
      <c r="U806" s="3190">
        <v>-4</v>
      </c>
      <c r="V806" s="3190">
        <v>52.93</v>
      </c>
      <c r="W806" s="3190" t="s">
        <v>4593</v>
      </c>
      <c r="X806" s="3190" t="s">
        <v>4593</v>
      </c>
      <c r="Y806" s="3190">
        <v>3159</v>
      </c>
      <c r="Z806" s="3190">
        <v>16.720199999999998</v>
      </c>
    </row>
    <row r="807" spans="16:26">
      <c r="P807" s="3190">
        <v>626</v>
      </c>
      <c r="Q807" s="3190" t="s">
        <v>4545</v>
      </c>
      <c r="R807" s="3190" t="s">
        <v>4504</v>
      </c>
      <c r="S807" s="3190" t="s">
        <v>4711</v>
      </c>
      <c r="T807" s="3190">
        <v>8</v>
      </c>
      <c r="U807" s="3190">
        <v>-4</v>
      </c>
      <c r="V807" s="3190">
        <v>52.93</v>
      </c>
      <c r="W807" s="3190" t="s">
        <v>4593</v>
      </c>
      <c r="X807" s="3190" t="s">
        <v>4593</v>
      </c>
      <c r="Y807" s="3190">
        <v>3159</v>
      </c>
      <c r="Z807" s="3190">
        <v>16.720199999999998</v>
      </c>
    </row>
    <row r="808" spans="16:26">
      <c r="P808" s="3190">
        <v>627</v>
      </c>
      <c r="Q808" s="3190" t="s">
        <v>4545</v>
      </c>
      <c r="R808" s="3190" t="s">
        <v>4504</v>
      </c>
      <c r="S808" s="3190" t="s">
        <v>4712</v>
      </c>
      <c r="T808" s="3190">
        <v>8</v>
      </c>
      <c r="U808" s="3190">
        <v>-4</v>
      </c>
      <c r="V808" s="3190">
        <v>52.93</v>
      </c>
      <c r="W808" s="3190" t="s">
        <v>4593</v>
      </c>
      <c r="X808" s="3190" t="s">
        <v>4593</v>
      </c>
      <c r="Y808" s="3190">
        <v>3159</v>
      </c>
      <c r="Z808" s="3190">
        <v>16.720199999999998</v>
      </c>
    </row>
    <row r="809" spans="16:26">
      <c r="P809" s="3190">
        <v>628</v>
      </c>
      <c r="Q809" s="3190" t="s">
        <v>4545</v>
      </c>
      <c r="R809" s="3190" t="s">
        <v>4504</v>
      </c>
      <c r="S809" s="3190" t="s">
        <v>4713</v>
      </c>
      <c r="T809" s="3190">
        <v>8</v>
      </c>
      <c r="U809" s="3190">
        <v>-4</v>
      </c>
      <c r="V809" s="3190">
        <v>52.93</v>
      </c>
      <c r="W809" s="3190" t="s">
        <v>4593</v>
      </c>
      <c r="X809" s="3190" t="s">
        <v>4593</v>
      </c>
      <c r="Y809" s="3190">
        <v>3159</v>
      </c>
      <c r="Z809" s="3190">
        <v>16.720199999999998</v>
      </c>
    </row>
    <row r="810" spans="16:26">
      <c r="P810" s="3190">
        <v>629</v>
      </c>
      <c r="Q810" s="3190" t="s">
        <v>4545</v>
      </c>
      <c r="R810" s="3190" t="s">
        <v>4504</v>
      </c>
      <c r="S810" s="3190" t="s">
        <v>4714</v>
      </c>
      <c r="T810" s="3190">
        <v>8</v>
      </c>
      <c r="U810" s="3190">
        <v>-4</v>
      </c>
      <c r="V810" s="3190">
        <v>52.93</v>
      </c>
      <c r="W810" s="3190" t="s">
        <v>4593</v>
      </c>
      <c r="X810" s="3190" t="s">
        <v>4593</v>
      </c>
      <c r="Y810" s="3190">
        <v>3159</v>
      </c>
      <c r="Z810" s="3190">
        <v>16.720199999999998</v>
      </c>
    </row>
    <row r="811" spans="16:26">
      <c r="P811" s="3190">
        <v>630</v>
      </c>
      <c r="Q811" s="3190" t="s">
        <v>4545</v>
      </c>
      <c r="R811" s="3190" t="s">
        <v>4504</v>
      </c>
      <c r="S811" s="3190" t="s">
        <v>4715</v>
      </c>
      <c r="T811" s="3190">
        <v>8</v>
      </c>
      <c r="U811" s="3190">
        <v>-4</v>
      </c>
      <c r="V811" s="3190">
        <v>52.93</v>
      </c>
      <c r="W811" s="3190" t="s">
        <v>4593</v>
      </c>
      <c r="X811" s="3190" t="s">
        <v>4593</v>
      </c>
      <c r="Y811" s="3190">
        <v>3159</v>
      </c>
      <c r="Z811" s="3190">
        <v>16.720199999999998</v>
      </c>
    </row>
    <row r="812" spans="16:26">
      <c r="P812" s="3190">
        <v>631</v>
      </c>
      <c r="Q812" s="3190" t="s">
        <v>4545</v>
      </c>
      <c r="R812" s="3190" t="s">
        <v>4504</v>
      </c>
      <c r="S812" s="3190" t="s">
        <v>4716</v>
      </c>
      <c r="T812" s="3190">
        <v>8</v>
      </c>
      <c r="U812" s="3190">
        <v>-4</v>
      </c>
      <c r="V812" s="3190">
        <v>52.93</v>
      </c>
      <c r="W812" s="3190" t="s">
        <v>4593</v>
      </c>
      <c r="X812" s="3190" t="s">
        <v>4593</v>
      </c>
      <c r="Y812" s="3190">
        <v>3159</v>
      </c>
      <c r="Z812" s="3190">
        <v>16.720199999999998</v>
      </c>
    </row>
    <row r="813" spans="16:26">
      <c r="P813" s="3190">
        <v>632</v>
      </c>
      <c r="Q813" s="3190" t="s">
        <v>4545</v>
      </c>
      <c r="R813" s="3190" t="s">
        <v>4504</v>
      </c>
      <c r="S813" s="3190" t="s">
        <v>4717</v>
      </c>
      <c r="T813" s="3190">
        <v>8</v>
      </c>
      <c r="U813" s="3190">
        <v>-4</v>
      </c>
      <c r="V813" s="3190">
        <v>52.93</v>
      </c>
      <c r="W813" s="3190" t="s">
        <v>4593</v>
      </c>
      <c r="X813" s="3190" t="s">
        <v>4593</v>
      </c>
      <c r="Y813" s="3190">
        <v>3159</v>
      </c>
      <c r="Z813" s="3190">
        <v>16.720199999999998</v>
      </c>
    </row>
    <row r="814" spans="16:26">
      <c r="P814" s="3190">
        <v>633</v>
      </c>
      <c r="Q814" s="3190" t="s">
        <v>4545</v>
      </c>
      <c r="R814" s="3190" t="s">
        <v>4504</v>
      </c>
      <c r="S814" s="3190" t="s">
        <v>4718</v>
      </c>
      <c r="T814" s="3190">
        <v>8</v>
      </c>
      <c r="U814" s="3190">
        <v>-4</v>
      </c>
      <c r="V814" s="3190">
        <v>52.93</v>
      </c>
      <c r="W814" s="3190" t="s">
        <v>4593</v>
      </c>
      <c r="X814" s="3190" t="s">
        <v>4593</v>
      </c>
      <c r="Y814" s="3190">
        <v>3159</v>
      </c>
      <c r="Z814" s="3190">
        <v>16.720199999999998</v>
      </c>
    </row>
    <row r="815" spans="16:26">
      <c r="P815" s="3190">
        <v>634</v>
      </c>
      <c r="Q815" s="3190" t="s">
        <v>4545</v>
      </c>
      <c r="R815" s="3190" t="s">
        <v>4504</v>
      </c>
      <c r="S815" s="3190" t="s">
        <v>4719</v>
      </c>
      <c r="T815" s="3190">
        <v>8</v>
      </c>
      <c r="U815" s="3190">
        <v>-4</v>
      </c>
      <c r="V815" s="3190">
        <v>52.93</v>
      </c>
      <c r="W815" s="3190" t="s">
        <v>4593</v>
      </c>
      <c r="X815" s="3190" t="s">
        <v>4593</v>
      </c>
      <c r="Y815" s="3190">
        <v>3159</v>
      </c>
      <c r="Z815" s="3190">
        <v>16.720199999999998</v>
      </c>
    </row>
    <row r="816" spans="16:26">
      <c r="P816" s="3190">
        <v>635</v>
      </c>
      <c r="Q816" s="3190" t="s">
        <v>4545</v>
      </c>
      <c r="R816" s="3190" t="s">
        <v>4504</v>
      </c>
      <c r="S816" s="3190" t="s">
        <v>4720</v>
      </c>
      <c r="T816" s="3190">
        <v>8</v>
      </c>
      <c r="U816" s="3190">
        <v>-4</v>
      </c>
      <c r="V816" s="3190">
        <v>52.93</v>
      </c>
      <c r="W816" s="3190" t="s">
        <v>4593</v>
      </c>
      <c r="X816" s="3190" t="s">
        <v>4593</v>
      </c>
      <c r="Y816" s="3190">
        <v>3159</v>
      </c>
      <c r="Z816" s="3190">
        <v>16.720199999999998</v>
      </c>
    </row>
    <row r="817" spans="16:26">
      <c r="P817" s="3190">
        <v>636</v>
      </c>
      <c r="Q817" s="3190" t="s">
        <v>4545</v>
      </c>
      <c r="R817" s="3190" t="s">
        <v>4504</v>
      </c>
      <c r="S817" s="3190" t="s">
        <v>4721</v>
      </c>
      <c r="T817" s="3190">
        <v>8</v>
      </c>
      <c r="U817" s="3190">
        <v>-4</v>
      </c>
      <c r="V817" s="3190">
        <v>52.93</v>
      </c>
      <c r="W817" s="3190" t="s">
        <v>4593</v>
      </c>
      <c r="X817" s="3190" t="s">
        <v>4593</v>
      </c>
      <c r="Y817" s="3190">
        <v>3159</v>
      </c>
      <c r="Z817" s="3190">
        <v>16.720199999999998</v>
      </c>
    </row>
    <row r="818" spans="16:26">
      <c r="P818" s="3190">
        <v>637</v>
      </c>
      <c r="Q818" s="3190" t="s">
        <v>4545</v>
      </c>
      <c r="R818" s="3190" t="s">
        <v>4504</v>
      </c>
      <c r="S818" s="3190" t="s">
        <v>4722</v>
      </c>
      <c r="T818" s="3190">
        <v>8</v>
      </c>
      <c r="U818" s="3190">
        <v>-4</v>
      </c>
      <c r="V818" s="3190">
        <v>52.93</v>
      </c>
      <c r="W818" s="3190" t="s">
        <v>4593</v>
      </c>
      <c r="X818" s="3190" t="s">
        <v>4593</v>
      </c>
      <c r="Y818" s="3190">
        <v>3159</v>
      </c>
      <c r="Z818" s="3190">
        <v>16.720199999999998</v>
      </c>
    </row>
    <row r="819" spans="16:26">
      <c r="P819" s="3190">
        <v>638</v>
      </c>
      <c r="Q819" s="3190" t="s">
        <v>4545</v>
      </c>
      <c r="R819" s="3190" t="s">
        <v>4504</v>
      </c>
      <c r="S819" s="3190" t="s">
        <v>4723</v>
      </c>
      <c r="T819" s="3190">
        <v>8</v>
      </c>
      <c r="U819" s="3190">
        <v>-4</v>
      </c>
      <c r="V819" s="3190">
        <v>52.93</v>
      </c>
      <c r="W819" s="3190" t="s">
        <v>4593</v>
      </c>
      <c r="X819" s="3190" t="s">
        <v>4593</v>
      </c>
      <c r="Y819" s="3190">
        <v>3159</v>
      </c>
      <c r="Z819" s="3190">
        <v>16.720199999999998</v>
      </c>
    </row>
    <row r="820" spans="16:26">
      <c r="P820" s="3190">
        <v>639</v>
      </c>
      <c r="Q820" s="3190" t="s">
        <v>4545</v>
      </c>
      <c r="R820" s="3190" t="s">
        <v>4504</v>
      </c>
      <c r="S820" s="3190" t="s">
        <v>4724</v>
      </c>
      <c r="T820" s="3190">
        <v>8</v>
      </c>
      <c r="U820" s="3190">
        <v>-4</v>
      </c>
      <c r="V820" s="3190">
        <v>52.93</v>
      </c>
      <c r="W820" s="3190" t="s">
        <v>4593</v>
      </c>
      <c r="X820" s="3190" t="s">
        <v>4593</v>
      </c>
      <c r="Y820" s="3190">
        <v>3159</v>
      </c>
      <c r="Z820" s="3190">
        <v>16.720199999999998</v>
      </c>
    </row>
    <row r="821" spans="16:26">
      <c r="P821" s="3190">
        <v>640</v>
      </c>
      <c r="Q821" s="3190" t="s">
        <v>4545</v>
      </c>
      <c r="R821" s="3190" t="s">
        <v>4504</v>
      </c>
      <c r="S821" s="3190" t="s">
        <v>4725</v>
      </c>
      <c r="T821" s="3190">
        <v>8</v>
      </c>
      <c r="U821" s="3190">
        <v>-4</v>
      </c>
      <c r="V821" s="3190">
        <v>52.93</v>
      </c>
      <c r="W821" s="3190" t="s">
        <v>4593</v>
      </c>
      <c r="X821" s="3190" t="s">
        <v>4593</v>
      </c>
      <c r="Y821" s="3190">
        <v>3159</v>
      </c>
      <c r="Z821" s="3190">
        <v>16.720199999999998</v>
      </c>
    </row>
    <row r="822" spans="16:26">
      <c r="P822" s="3190">
        <v>641</v>
      </c>
      <c r="Q822" s="3190" t="s">
        <v>4545</v>
      </c>
      <c r="R822" s="3190" t="s">
        <v>4504</v>
      </c>
      <c r="S822" s="3190" t="s">
        <v>4726</v>
      </c>
      <c r="T822" s="3190">
        <v>8</v>
      </c>
      <c r="U822" s="3190">
        <v>-4</v>
      </c>
      <c r="V822" s="3190">
        <v>50.93</v>
      </c>
      <c r="W822" s="3190" t="s">
        <v>4593</v>
      </c>
      <c r="X822" s="3190" t="s">
        <v>4593</v>
      </c>
      <c r="Y822" s="3190">
        <v>3283</v>
      </c>
      <c r="Z822" s="3190">
        <v>16.720199999999998</v>
      </c>
    </row>
    <row r="823" spans="16:26">
      <c r="P823" s="3190">
        <v>642</v>
      </c>
      <c r="Q823" s="3190" t="s">
        <v>4545</v>
      </c>
      <c r="R823" s="3190" t="s">
        <v>4504</v>
      </c>
      <c r="S823" s="3190" t="s">
        <v>4727</v>
      </c>
      <c r="T823" s="3190">
        <v>8</v>
      </c>
      <c r="U823" s="3190">
        <v>-4</v>
      </c>
      <c r="V823" s="3190">
        <v>50.93</v>
      </c>
      <c r="W823" s="3190" t="s">
        <v>4593</v>
      </c>
      <c r="X823" s="3190" t="s">
        <v>4593</v>
      </c>
      <c r="Y823" s="3190">
        <v>3283</v>
      </c>
      <c r="Z823" s="3190">
        <v>16.720199999999998</v>
      </c>
    </row>
    <row r="824" spans="16:26">
      <c r="P824" s="3190">
        <v>643</v>
      </c>
      <c r="Q824" s="3190" t="s">
        <v>4545</v>
      </c>
      <c r="R824" s="3190" t="s">
        <v>4504</v>
      </c>
      <c r="S824" s="3190" t="s">
        <v>4728</v>
      </c>
      <c r="T824" s="3190">
        <v>8</v>
      </c>
      <c r="U824" s="3190">
        <v>-4</v>
      </c>
      <c r="V824" s="3190">
        <v>50.93</v>
      </c>
      <c r="W824" s="3190" t="s">
        <v>4593</v>
      </c>
      <c r="X824" s="3190" t="s">
        <v>4593</v>
      </c>
      <c r="Y824" s="3190">
        <v>3283</v>
      </c>
      <c r="Z824" s="3190">
        <v>16.720199999999998</v>
      </c>
    </row>
    <row r="825" spans="16:26">
      <c r="P825" s="3190">
        <v>644</v>
      </c>
      <c r="Q825" s="3190" t="s">
        <v>4545</v>
      </c>
      <c r="R825" s="3190" t="s">
        <v>4504</v>
      </c>
      <c r="S825" s="3190" t="s">
        <v>4729</v>
      </c>
      <c r="T825" s="3190">
        <v>8</v>
      </c>
      <c r="U825" s="3190">
        <v>-4</v>
      </c>
      <c r="V825" s="3190">
        <v>50.93</v>
      </c>
      <c r="W825" s="3190" t="s">
        <v>4593</v>
      </c>
      <c r="X825" s="3190" t="s">
        <v>4593</v>
      </c>
      <c r="Y825" s="3190">
        <v>3283</v>
      </c>
      <c r="Z825" s="3190">
        <v>16.720199999999998</v>
      </c>
    </row>
    <row r="826" spans="16:26">
      <c r="P826" s="3190">
        <v>645</v>
      </c>
      <c r="Q826" s="3190" t="s">
        <v>4545</v>
      </c>
      <c r="R826" s="3190" t="s">
        <v>4504</v>
      </c>
      <c r="S826" s="3190" t="s">
        <v>4730</v>
      </c>
      <c r="T826" s="3190">
        <v>8</v>
      </c>
      <c r="U826" s="3190">
        <v>-4</v>
      </c>
      <c r="V826" s="3190">
        <v>50.93</v>
      </c>
      <c r="W826" s="3190" t="s">
        <v>4593</v>
      </c>
      <c r="X826" s="3190" t="s">
        <v>4593</v>
      </c>
      <c r="Y826" s="3190">
        <v>3283</v>
      </c>
      <c r="Z826" s="3190">
        <v>16.720199999999998</v>
      </c>
    </row>
    <row r="827" spans="16:26">
      <c r="P827" s="3190">
        <v>646</v>
      </c>
      <c r="Q827" s="3190" t="s">
        <v>4545</v>
      </c>
      <c r="R827" s="3190" t="s">
        <v>4504</v>
      </c>
      <c r="S827" s="3190" t="s">
        <v>4731</v>
      </c>
      <c r="T827" s="3190">
        <v>8</v>
      </c>
      <c r="U827" s="3190">
        <v>-4</v>
      </c>
      <c r="V827" s="3190">
        <v>50.93</v>
      </c>
      <c r="W827" s="3190" t="s">
        <v>4593</v>
      </c>
      <c r="X827" s="3190" t="s">
        <v>4593</v>
      </c>
      <c r="Y827" s="3190">
        <v>3283</v>
      </c>
      <c r="Z827" s="3190">
        <v>16.720199999999998</v>
      </c>
    </row>
    <row r="828" spans="16:26">
      <c r="P828" s="3190">
        <v>647</v>
      </c>
      <c r="Q828" s="3190" t="s">
        <v>4545</v>
      </c>
      <c r="R828" s="3190" t="s">
        <v>4504</v>
      </c>
      <c r="S828" s="3190" t="s">
        <v>4732</v>
      </c>
      <c r="T828" s="3190">
        <v>8</v>
      </c>
      <c r="U828" s="3190">
        <v>-4</v>
      </c>
      <c r="V828" s="3190">
        <v>50.93</v>
      </c>
      <c r="W828" s="3190" t="s">
        <v>4593</v>
      </c>
      <c r="X828" s="3190" t="s">
        <v>4593</v>
      </c>
      <c r="Y828" s="3190">
        <v>3283</v>
      </c>
      <c r="Z828" s="3190">
        <v>16.720199999999998</v>
      </c>
    </row>
    <row r="829" spans="16:26">
      <c r="P829" s="3190">
        <v>648</v>
      </c>
      <c r="Q829" s="3190" t="s">
        <v>4545</v>
      </c>
      <c r="R829" s="3190" t="s">
        <v>4504</v>
      </c>
      <c r="S829" s="3190" t="s">
        <v>4733</v>
      </c>
      <c r="T829" s="3190">
        <v>8</v>
      </c>
      <c r="U829" s="3190">
        <v>-4</v>
      </c>
      <c r="V829" s="3190">
        <v>50.93</v>
      </c>
      <c r="W829" s="3190" t="s">
        <v>4593</v>
      </c>
      <c r="X829" s="3190" t="s">
        <v>4593</v>
      </c>
      <c r="Y829" s="3190">
        <v>3283</v>
      </c>
      <c r="Z829" s="3190">
        <v>16.720199999999998</v>
      </c>
    </row>
    <row r="830" spans="16:26">
      <c r="P830" s="3190">
        <v>649</v>
      </c>
      <c r="Q830" s="3190" t="s">
        <v>4545</v>
      </c>
      <c r="R830" s="3190" t="s">
        <v>4504</v>
      </c>
      <c r="S830" s="3190" t="s">
        <v>4734</v>
      </c>
      <c r="T830" s="3190">
        <v>8</v>
      </c>
      <c r="U830" s="3190">
        <v>-4</v>
      </c>
      <c r="V830" s="3190">
        <v>50.93</v>
      </c>
      <c r="W830" s="3190" t="s">
        <v>4593</v>
      </c>
      <c r="X830" s="3190" t="s">
        <v>4593</v>
      </c>
      <c r="Y830" s="3190">
        <v>3283</v>
      </c>
      <c r="Z830" s="3190">
        <v>16.720199999999998</v>
      </c>
    </row>
    <row r="831" spans="16:26">
      <c r="P831" s="3190">
        <v>650</v>
      </c>
      <c r="Q831" s="3190" t="s">
        <v>4545</v>
      </c>
      <c r="R831" s="3190" t="s">
        <v>4504</v>
      </c>
      <c r="S831" s="3190" t="s">
        <v>4735</v>
      </c>
      <c r="T831" s="3190">
        <v>8</v>
      </c>
      <c r="U831" s="3190">
        <v>-4</v>
      </c>
      <c r="V831" s="3190">
        <v>50.93</v>
      </c>
      <c r="W831" s="3190" t="s">
        <v>4593</v>
      </c>
      <c r="X831" s="3190" t="s">
        <v>4593</v>
      </c>
      <c r="Y831" s="3190">
        <v>3283</v>
      </c>
      <c r="Z831" s="3190">
        <v>16.720199999999998</v>
      </c>
    </row>
    <row r="832" spans="16:26">
      <c r="P832" s="3190">
        <v>651</v>
      </c>
      <c r="Q832" s="3190" t="s">
        <v>4545</v>
      </c>
      <c r="R832" s="3190" t="s">
        <v>4504</v>
      </c>
      <c r="S832" s="3190" t="s">
        <v>4736</v>
      </c>
      <c r="T832" s="3190">
        <v>8</v>
      </c>
      <c r="U832" s="3190">
        <v>-4</v>
      </c>
      <c r="V832" s="3190">
        <v>50.93</v>
      </c>
      <c r="W832" s="3190" t="s">
        <v>4593</v>
      </c>
      <c r="X832" s="3190" t="s">
        <v>4593</v>
      </c>
      <c r="Y832" s="3190">
        <v>3283</v>
      </c>
      <c r="Z832" s="3190">
        <v>16.720199999999998</v>
      </c>
    </row>
    <row r="833" spans="16:26">
      <c r="P833" s="3190">
        <v>652</v>
      </c>
      <c r="Q833" s="3190" t="s">
        <v>4545</v>
      </c>
      <c r="R833" s="3190" t="s">
        <v>4504</v>
      </c>
      <c r="S833" s="3190" t="s">
        <v>4737</v>
      </c>
      <c r="T833" s="3190">
        <v>8</v>
      </c>
      <c r="U833" s="3190">
        <v>-4</v>
      </c>
      <c r="V833" s="3190">
        <v>50.93</v>
      </c>
      <c r="W833" s="3190" t="s">
        <v>4593</v>
      </c>
      <c r="X833" s="3190" t="s">
        <v>4593</v>
      </c>
      <c r="Y833" s="3190">
        <v>3283</v>
      </c>
      <c r="Z833" s="3190">
        <v>16.720199999999998</v>
      </c>
    </row>
    <row r="834" spans="16:26">
      <c r="P834" s="3190">
        <v>653</v>
      </c>
      <c r="Q834" s="3190" t="s">
        <v>4545</v>
      </c>
      <c r="R834" s="3190" t="s">
        <v>4504</v>
      </c>
      <c r="S834" s="3190" t="s">
        <v>4738</v>
      </c>
      <c r="T834" s="3190">
        <v>8</v>
      </c>
      <c r="U834" s="3190">
        <v>-4</v>
      </c>
      <c r="V834" s="3190">
        <v>50.93</v>
      </c>
      <c r="W834" s="3190" t="s">
        <v>4593</v>
      </c>
      <c r="X834" s="3190" t="s">
        <v>4593</v>
      </c>
      <c r="Y834" s="3190">
        <v>3283</v>
      </c>
      <c r="Z834" s="3190">
        <v>16.720199999999998</v>
      </c>
    </row>
    <row r="835" spans="16:26">
      <c r="P835" s="3190">
        <v>654</v>
      </c>
      <c r="Q835" s="3190" t="s">
        <v>4545</v>
      </c>
      <c r="R835" s="3190" t="s">
        <v>4504</v>
      </c>
      <c r="S835" s="3190" t="s">
        <v>4739</v>
      </c>
      <c r="T835" s="3190">
        <v>8</v>
      </c>
      <c r="U835" s="3190">
        <v>-4</v>
      </c>
      <c r="V835" s="3190">
        <v>50.93</v>
      </c>
      <c r="W835" s="3190" t="s">
        <v>4593</v>
      </c>
      <c r="X835" s="3190" t="s">
        <v>4593</v>
      </c>
      <c r="Y835" s="3190">
        <v>3283</v>
      </c>
      <c r="Z835" s="3190">
        <v>16.720199999999998</v>
      </c>
    </row>
    <row r="836" spans="16:26">
      <c r="P836" s="3190">
        <v>655</v>
      </c>
      <c r="Q836" s="3190" t="s">
        <v>4545</v>
      </c>
      <c r="R836" s="3190" t="s">
        <v>4504</v>
      </c>
      <c r="S836" s="3190" t="s">
        <v>4740</v>
      </c>
      <c r="T836" s="3190">
        <v>8</v>
      </c>
      <c r="U836" s="3190">
        <v>-4</v>
      </c>
      <c r="V836" s="3190">
        <v>50.93</v>
      </c>
      <c r="W836" s="3190" t="s">
        <v>4593</v>
      </c>
      <c r="X836" s="3190" t="s">
        <v>4593</v>
      </c>
      <c r="Y836" s="3190">
        <v>3283</v>
      </c>
      <c r="Z836" s="3190">
        <v>16.720199999999998</v>
      </c>
    </row>
    <row r="837" spans="16:26">
      <c r="P837" s="3190">
        <v>656</v>
      </c>
      <c r="Q837" s="3190" t="s">
        <v>4545</v>
      </c>
      <c r="R837" s="3190" t="s">
        <v>4504</v>
      </c>
      <c r="S837" s="3190" t="s">
        <v>4741</v>
      </c>
      <c r="T837" s="3190">
        <v>8</v>
      </c>
      <c r="U837" s="3190">
        <v>-4</v>
      </c>
      <c r="V837" s="3190">
        <v>50.93</v>
      </c>
      <c r="W837" s="3190" t="s">
        <v>4593</v>
      </c>
      <c r="X837" s="3190" t="s">
        <v>4593</v>
      </c>
      <c r="Y837" s="3190">
        <v>3283</v>
      </c>
      <c r="Z837" s="3190">
        <v>16.720199999999998</v>
      </c>
    </row>
    <row r="838" spans="16:26">
      <c r="P838" s="3190">
        <v>657</v>
      </c>
      <c r="Q838" s="3190" t="s">
        <v>4545</v>
      </c>
      <c r="R838" s="3190" t="s">
        <v>4504</v>
      </c>
      <c r="S838" s="3190" t="s">
        <v>4742</v>
      </c>
      <c r="T838" s="3190">
        <v>8</v>
      </c>
      <c r="U838" s="3190">
        <v>-4</v>
      </c>
      <c r="V838" s="3190">
        <v>50.93</v>
      </c>
      <c r="W838" s="3190" t="s">
        <v>4593</v>
      </c>
      <c r="X838" s="3190" t="s">
        <v>4593</v>
      </c>
      <c r="Y838" s="3190">
        <v>3283</v>
      </c>
      <c r="Z838" s="3190">
        <v>16.720199999999998</v>
      </c>
    </row>
    <row r="839" spans="16:26">
      <c r="P839" s="3190">
        <v>658</v>
      </c>
      <c r="Q839" s="3190" t="s">
        <v>4545</v>
      </c>
      <c r="R839" s="3190" t="s">
        <v>4504</v>
      </c>
      <c r="S839" s="3190" t="s">
        <v>4743</v>
      </c>
      <c r="T839" s="3190">
        <v>8</v>
      </c>
      <c r="U839" s="3190">
        <v>-4</v>
      </c>
      <c r="V839" s="3190">
        <v>50.93</v>
      </c>
      <c r="W839" s="3190" t="s">
        <v>4593</v>
      </c>
      <c r="X839" s="3190" t="s">
        <v>4593</v>
      </c>
      <c r="Y839" s="3190">
        <v>3283</v>
      </c>
      <c r="Z839" s="3190">
        <v>16.720199999999998</v>
      </c>
    </row>
    <row r="840" spans="16:26">
      <c r="P840" s="3190">
        <v>659</v>
      </c>
      <c r="Q840" s="3190" t="s">
        <v>4545</v>
      </c>
      <c r="R840" s="3190" t="s">
        <v>4504</v>
      </c>
      <c r="S840" s="3190" t="s">
        <v>4744</v>
      </c>
      <c r="T840" s="3190">
        <v>8</v>
      </c>
      <c r="U840" s="3190">
        <v>-4</v>
      </c>
      <c r="V840" s="3190">
        <v>50.93</v>
      </c>
      <c r="W840" s="3190" t="s">
        <v>4593</v>
      </c>
      <c r="X840" s="3190" t="s">
        <v>4593</v>
      </c>
      <c r="Y840" s="3190">
        <v>3283</v>
      </c>
      <c r="Z840" s="3190">
        <v>16.720199999999998</v>
      </c>
    </row>
    <row r="841" spans="16:26">
      <c r="P841" s="3190">
        <v>660</v>
      </c>
      <c r="Q841" s="3190" t="s">
        <v>4545</v>
      </c>
      <c r="R841" s="3190" t="s">
        <v>4504</v>
      </c>
      <c r="S841" s="3190" t="s">
        <v>4745</v>
      </c>
      <c r="T841" s="3190">
        <v>8</v>
      </c>
      <c r="U841" s="3190">
        <v>-4</v>
      </c>
      <c r="V841" s="3190">
        <v>50.93</v>
      </c>
      <c r="W841" s="3190" t="s">
        <v>4593</v>
      </c>
      <c r="X841" s="3190" t="s">
        <v>4593</v>
      </c>
      <c r="Y841" s="3190">
        <v>3283</v>
      </c>
      <c r="Z841" s="3190">
        <v>16.720199999999998</v>
      </c>
    </row>
    <row r="842" spans="16:26">
      <c r="P842" s="3190">
        <v>661</v>
      </c>
      <c r="Q842" s="3190" t="s">
        <v>4545</v>
      </c>
      <c r="R842" s="3190" t="s">
        <v>4504</v>
      </c>
      <c r="S842" s="3190" t="s">
        <v>4746</v>
      </c>
      <c r="T842" s="3190">
        <v>8</v>
      </c>
      <c r="U842" s="3190">
        <v>-4</v>
      </c>
      <c r="V842" s="3190">
        <v>50.93</v>
      </c>
      <c r="W842" s="3190" t="s">
        <v>4593</v>
      </c>
      <c r="X842" s="3190" t="s">
        <v>4593</v>
      </c>
      <c r="Y842" s="3190">
        <v>3283</v>
      </c>
      <c r="Z842" s="3190">
        <v>16.720199999999998</v>
      </c>
    </row>
    <row r="843" spans="16:26">
      <c r="P843" s="3190">
        <v>662</v>
      </c>
      <c r="Q843" s="3190" t="s">
        <v>4545</v>
      </c>
      <c r="R843" s="3190" t="s">
        <v>4504</v>
      </c>
      <c r="S843" s="3190" t="s">
        <v>4747</v>
      </c>
      <c r="T843" s="3190">
        <v>8</v>
      </c>
      <c r="U843" s="3190">
        <v>-4</v>
      </c>
      <c r="V843" s="3190">
        <v>50.93</v>
      </c>
      <c r="W843" s="3190" t="s">
        <v>4593</v>
      </c>
      <c r="X843" s="3190" t="s">
        <v>4593</v>
      </c>
      <c r="Y843" s="3190">
        <v>3283</v>
      </c>
      <c r="Z843" s="3190">
        <v>16.720199999999998</v>
      </c>
    </row>
    <row r="844" spans="16:26">
      <c r="P844" s="3190">
        <v>663</v>
      </c>
      <c r="Q844" s="3190" t="s">
        <v>4545</v>
      </c>
      <c r="R844" s="3190" t="s">
        <v>4504</v>
      </c>
      <c r="S844" s="3190" t="s">
        <v>4748</v>
      </c>
      <c r="T844" s="3190">
        <v>8</v>
      </c>
      <c r="U844" s="3190">
        <v>-4</v>
      </c>
      <c r="V844" s="3190">
        <v>50.93</v>
      </c>
      <c r="W844" s="3190" t="s">
        <v>4593</v>
      </c>
      <c r="X844" s="3190" t="s">
        <v>4593</v>
      </c>
      <c r="Y844" s="3190">
        <v>3283</v>
      </c>
      <c r="Z844" s="3190">
        <v>16.720199999999998</v>
      </c>
    </row>
    <row r="845" spans="16:26">
      <c r="P845" s="3190">
        <v>664</v>
      </c>
      <c r="Q845" s="3190" t="s">
        <v>4545</v>
      </c>
      <c r="R845" s="3190" t="s">
        <v>4504</v>
      </c>
      <c r="S845" s="3190" t="s">
        <v>4749</v>
      </c>
      <c r="T845" s="3190">
        <v>8</v>
      </c>
      <c r="U845" s="3190">
        <v>-4</v>
      </c>
      <c r="V845" s="3190">
        <v>50.93</v>
      </c>
      <c r="W845" s="3190" t="s">
        <v>4593</v>
      </c>
      <c r="X845" s="3190" t="s">
        <v>4593</v>
      </c>
      <c r="Y845" s="3190">
        <v>3283</v>
      </c>
      <c r="Z845" s="3190">
        <v>16.720199999999998</v>
      </c>
    </row>
    <row r="846" spans="16:26">
      <c r="P846" s="3190">
        <v>665</v>
      </c>
      <c r="Q846" s="3190" t="s">
        <v>4545</v>
      </c>
      <c r="R846" s="3190" t="s">
        <v>4504</v>
      </c>
      <c r="S846" s="3190" t="s">
        <v>4750</v>
      </c>
      <c r="T846" s="3190">
        <v>8</v>
      </c>
      <c r="U846" s="3190">
        <v>-4</v>
      </c>
      <c r="V846" s="3190">
        <v>59.92</v>
      </c>
      <c r="W846" s="3190" t="s">
        <v>4593</v>
      </c>
      <c r="X846" s="3190" t="s">
        <v>4593</v>
      </c>
      <c r="Y846" s="3190">
        <v>2790</v>
      </c>
      <c r="Z846" s="3190">
        <v>16.720199999999998</v>
      </c>
    </row>
    <row r="847" spans="16:26">
      <c r="P847" s="3190">
        <v>666</v>
      </c>
      <c r="Q847" s="3190" t="s">
        <v>4545</v>
      </c>
      <c r="R847" s="3190" t="s">
        <v>4504</v>
      </c>
      <c r="S847" s="3190" t="s">
        <v>4751</v>
      </c>
      <c r="T847" s="3190">
        <v>8</v>
      </c>
      <c r="U847" s="3190">
        <v>-4</v>
      </c>
      <c r="V847" s="3190">
        <v>50.93</v>
      </c>
      <c r="W847" s="3190" t="s">
        <v>4593</v>
      </c>
      <c r="X847" s="3190" t="s">
        <v>4593</v>
      </c>
      <c r="Y847" s="3190">
        <v>3283</v>
      </c>
      <c r="Z847" s="3190">
        <v>16.720199999999998</v>
      </c>
    </row>
    <row r="848" spans="16:26">
      <c r="P848" s="3190">
        <v>667</v>
      </c>
      <c r="Q848" s="3190" t="s">
        <v>4545</v>
      </c>
      <c r="R848" s="3190" t="s">
        <v>4504</v>
      </c>
      <c r="S848" s="3190" t="s">
        <v>4752</v>
      </c>
      <c r="T848" s="3190">
        <v>8</v>
      </c>
      <c r="U848" s="3190">
        <v>-4</v>
      </c>
      <c r="V848" s="3190">
        <v>50.93</v>
      </c>
      <c r="W848" s="3190" t="s">
        <v>4593</v>
      </c>
      <c r="X848" s="3190" t="s">
        <v>4593</v>
      </c>
      <c r="Y848" s="3190">
        <v>3283</v>
      </c>
      <c r="Z848" s="3190">
        <v>16.720199999999998</v>
      </c>
    </row>
    <row r="849" spans="16:26">
      <c r="P849" s="3190">
        <v>668</v>
      </c>
      <c r="Q849" s="3190" t="s">
        <v>4545</v>
      </c>
      <c r="R849" s="3190" t="s">
        <v>4504</v>
      </c>
      <c r="S849" s="3190" t="s">
        <v>4753</v>
      </c>
      <c r="T849" s="3190">
        <v>8</v>
      </c>
      <c r="U849" s="3190">
        <v>-4</v>
      </c>
      <c r="V849" s="3190">
        <v>50.93</v>
      </c>
      <c r="W849" s="3190" t="s">
        <v>4593</v>
      </c>
      <c r="X849" s="3190" t="s">
        <v>4593</v>
      </c>
      <c r="Y849" s="3190">
        <v>3283</v>
      </c>
      <c r="Z849" s="3190">
        <v>16.720199999999998</v>
      </c>
    </row>
    <row r="850" spans="16:26">
      <c r="P850" s="3190">
        <v>669</v>
      </c>
      <c r="Q850" s="3190" t="s">
        <v>4545</v>
      </c>
      <c r="R850" s="3190" t="s">
        <v>4504</v>
      </c>
      <c r="S850" s="3190" t="s">
        <v>4754</v>
      </c>
      <c r="T850" s="3190">
        <v>8</v>
      </c>
      <c r="U850" s="3190">
        <v>-4</v>
      </c>
      <c r="V850" s="3190">
        <v>50.93</v>
      </c>
      <c r="W850" s="3190" t="s">
        <v>4593</v>
      </c>
      <c r="X850" s="3190" t="s">
        <v>4593</v>
      </c>
      <c r="Y850" s="3190">
        <v>3283</v>
      </c>
      <c r="Z850" s="3190">
        <v>16.720199999999998</v>
      </c>
    </row>
    <row r="851" spans="16:26">
      <c r="P851" s="3190">
        <v>670</v>
      </c>
      <c r="Q851" s="3190" t="s">
        <v>4545</v>
      </c>
      <c r="R851" s="3190" t="s">
        <v>4504</v>
      </c>
      <c r="S851" s="3190" t="s">
        <v>4755</v>
      </c>
      <c r="T851" s="3190">
        <v>8</v>
      </c>
      <c r="U851" s="3190">
        <v>-4</v>
      </c>
      <c r="V851" s="3190">
        <v>50.93</v>
      </c>
      <c r="W851" s="3190" t="s">
        <v>4593</v>
      </c>
      <c r="X851" s="3190" t="s">
        <v>4593</v>
      </c>
      <c r="Y851" s="3190">
        <v>3283</v>
      </c>
      <c r="Z851" s="3190">
        <v>16.720199999999998</v>
      </c>
    </row>
    <row r="852" spans="16:26">
      <c r="P852" s="3190">
        <v>671</v>
      </c>
      <c r="Q852" s="3190" t="s">
        <v>4545</v>
      </c>
      <c r="R852" s="3190" t="s">
        <v>4504</v>
      </c>
      <c r="S852" s="3190" t="s">
        <v>4756</v>
      </c>
      <c r="T852" s="3190">
        <v>8</v>
      </c>
      <c r="U852" s="3190">
        <v>-4</v>
      </c>
      <c r="V852" s="3190">
        <v>50.93</v>
      </c>
      <c r="W852" s="3190" t="s">
        <v>4593</v>
      </c>
      <c r="X852" s="3190" t="s">
        <v>4593</v>
      </c>
      <c r="Y852" s="3190">
        <v>3283</v>
      </c>
      <c r="Z852" s="3190">
        <v>16.720199999999998</v>
      </c>
    </row>
    <row r="853" spans="16:26">
      <c r="P853" s="3190">
        <v>672</v>
      </c>
      <c r="Q853" s="3190" t="s">
        <v>4545</v>
      </c>
      <c r="R853" s="3190" t="s">
        <v>4504</v>
      </c>
      <c r="S853" s="3190" t="s">
        <v>4757</v>
      </c>
      <c r="T853" s="3190">
        <v>8</v>
      </c>
      <c r="U853" s="3190">
        <v>-4</v>
      </c>
      <c r="V853" s="3190">
        <v>52.93</v>
      </c>
      <c r="W853" s="3190" t="s">
        <v>4593</v>
      </c>
      <c r="X853" s="3190" t="s">
        <v>4593</v>
      </c>
      <c r="Y853" s="3190">
        <v>3159</v>
      </c>
      <c r="Z853" s="3190">
        <v>16.720199999999998</v>
      </c>
    </row>
    <row r="854" spans="16:26">
      <c r="P854" s="3190">
        <v>673</v>
      </c>
      <c r="Q854" s="3190" t="s">
        <v>4545</v>
      </c>
      <c r="R854" s="3190" t="s">
        <v>4504</v>
      </c>
      <c r="S854" s="3190" t="s">
        <v>4758</v>
      </c>
      <c r="T854" s="3190">
        <v>8</v>
      </c>
      <c r="U854" s="3190">
        <v>-4</v>
      </c>
      <c r="V854" s="3190">
        <v>52.93</v>
      </c>
      <c r="W854" s="3190" t="s">
        <v>4593</v>
      </c>
      <c r="X854" s="3190" t="s">
        <v>4593</v>
      </c>
      <c r="Y854" s="3190">
        <v>3159</v>
      </c>
      <c r="Z854" s="3190">
        <v>16.720199999999998</v>
      </c>
    </row>
    <row r="855" spans="16:26">
      <c r="P855" s="3190">
        <v>674</v>
      </c>
      <c r="Q855" s="3190" t="s">
        <v>4545</v>
      </c>
      <c r="R855" s="3190" t="s">
        <v>4504</v>
      </c>
      <c r="S855" s="3190" t="s">
        <v>4759</v>
      </c>
      <c r="T855" s="3190">
        <v>8</v>
      </c>
      <c r="U855" s="3190">
        <v>-4</v>
      </c>
      <c r="V855" s="3190">
        <v>52.93</v>
      </c>
      <c r="W855" s="3190" t="s">
        <v>4593</v>
      </c>
      <c r="X855" s="3190" t="s">
        <v>4593</v>
      </c>
      <c r="Y855" s="3190">
        <v>3159</v>
      </c>
      <c r="Z855" s="3190">
        <v>16.720199999999998</v>
      </c>
    </row>
    <row r="856" spans="16:26">
      <c r="P856" s="3190">
        <v>675</v>
      </c>
      <c r="Q856" s="3190" t="s">
        <v>4545</v>
      </c>
      <c r="R856" s="3190" t="s">
        <v>4504</v>
      </c>
      <c r="S856" s="3190" t="s">
        <v>4760</v>
      </c>
      <c r="T856" s="3190">
        <v>8</v>
      </c>
      <c r="U856" s="3190">
        <v>-4</v>
      </c>
      <c r="V856" s="3190">
        <v>52.93</v>
      </c>
      <c r="W856" s="3190" t="s">
        <v>4593</v>
      </c>
      <c r="X856" s="3190" t="s">
        <v>4593</v>
      </c>
      <c r="Y856" s="3190">
        <v>3159</v>
      </c>
      <c r="Z856" s="3190">
        <v>16.720199999999998</v>
      </c>
    </row>
    <row r="857" spans="16:26">
      <c r="P857" s="3190">
        <v>676</v>
      </c>
      <c r="Q857" s="3190" t="s">
        <v>4545</v>
      </c>
      <c r="R857" s="3190" t="s">
        <v>4504</v>
      </c>
      <c r="S857" s="3190" t="s">
        <v>4761</v>
      </c>
      <c r="T857" s="3190">
        <v>8</v>
      </c>
      <c r="U857" s="3190">
        <v>-4</v>
      </c>
      <c r="V857" s="3190">
        <v>52.93</v>
      </c>
      <c r="W857" s="3190" t="s">
        <v>4593</v>
      </c>
      <c r="X857" s="3190" t="s">
        <v>4593</v>
      </c>
      <c r="Y857" s="3190">
        <v>3159</v>
      </c>
      <c r="Z857" s="3190">
        <v>16.720199999999998</v>
      </c>
    </row>
    <row r="858" spans="16:26">
      <c r="P858" s="3190">
        <v>677</v>
      </c>
      <c r="Q858" s="3190" t="s">
        <v>4545</v>
      </c>
      <c r="R858" s="3190" t="s">
        <v>4504</v>
      </c>
      <c r="S858" s="3190" t="s">
        <v>4762</v>
      </c>
      <c r="T858" s="3190">
        <v>8</v>
      </c>
      <c r="U858" s="3190">
        <v>-4</v>
      </c>
      <c r="V858" s="3190">
        <v>52.93</v>
      </c>
      <c r="W858" s="3190" t="s">
        <v>4593</v>
      </c>
      <c r="X858" s="3190" t="s">
        <v>4593</v>
      </c>
      <c r="Y858" s="3190">
        <v>3159</v>
      </c>
      <c r="Z858" s="3190">
        <v>16.720199999999998</v>
      </c>
    </row>
    <row r="859" spans="16:26">
      <c r="P859" s="3190">
        <v>678</v>
      </c>
      <c r="Q859" s="3190" t="s">
        <v>4545</v>
      </c>
      <c r="R859" s="3190" t="s">
        <v>4504</v>
      </c>
      <c r="S859" s="3190" t="s">
        <v>4763</v>
      </c>
      <c r="T859" s="3190">
        <v>8</v>
      </c>
      <c r="U859" s="3190">
        <v>-4</v>
      </c>
      <c r="V859" s="3190">
        <v>52.93</v>
      </c>
      <c r="W859" s="3190" t="s">
        <v>4593</v>
      </c>
      <c r="X859" s="3190" t="s">
        <v>4593</v>
      </c>
      <c r="Y859" s="3190">
        <v>3159</v>
      </c>
      <c r="Z859" s="3190">
        <v>16.720199999999998</v>
      </c>
    </row>
    <row r="860" spans="16:26">
      <c r="P860" s="3190">
        <v>679</v>
      </c>
      <c r="Q860" s="3190" t="s">
        <v>4545</v>
      </c>
      <c r="R860" s="3190" t="s">
        <v>4504</v>
      </c>
      <c r="S860" s="3190" t="s">
        <v>4764</v>
      </c>
      <c r="T860" s="3190">
        <v>8</v>
      </c>
      <c r="U860" s="3190">
        <v>-4</v>
      </c>
      <c r="V860" s="3190">
        <v>52.93</v>
      </c>
      <c r="W860" s="3190" t="s">
        <v>4593</v>
      </c>
      <c r="X860" s="3190" t="s">
        <v>4593</v>
      </c>
      <c r="Y860" s="3190">
        <v>3159</v>
      </c>
      <c r="Z860" s="3190">
        <v>16.720199999999998</v>
      </c>
    </row>
    <row r="861" spans="16:26">
      <c r="P861" s="3190">
        <v>680</v>
      </c>
      <c r="Q861" s="3190" t="s">
        <v>4545</v>
      </c>
      <c r="R861" s="3190" t="s">
        <v>4504</v>
      </c>
      <c r="S861" s="3190" t="s">
        <v>4765</v>
      </c>
      <c r="T861" s="3190">
        <v>8</v>
      </c>
      <c r="U861" s="3190">
        <v>-4</v>
      </c>
      <c r="V861" s="3190">
        <v>52.93</v>
      </c>
      <c r="W861" s="3190" t="s">
        <v>4593</v>
      </c>
      <c r="X861" s="3190" t="s">
        <v>4593</v>
      </c>
      <c r="Y861" s="3190">
        <v>3159</v>
      </c>
      <c r="Z861" s="3190">
        <v>16.720199999999998</v>
      </c>
    </row>
    <row r="862" spans="16:26">
      <c r="P862" s="3190">
        <v>681</v>
      </c>
      <c r="Q862" s="3190" t="s">
        <v>4545</v>
      </c>
      <c r="R862" s="3190" t="s">
        <v>4504</v>
      </c>
      <c r="S862" s="3190" t="s">
        <v>4766</v>
      </c>
      <c r="T862" s="3190">
        <v>8</v>
      </c>
      <c r="U862" s="3190">
        <v>-4</v>
      </c>
      <c r="V862" s="3190">
        <v>52.93</v>
      </c>
      <c r="W862" s="3190" t="s">
        <v>4593</v>
      </c>
      <c r="X862" s="3190" t="s">
        <v>4593</v>
      </c>
      <c r="Y862" s="3190">
        <v>3159</v>
      </c>
      <c r="Z862" s="3190">
        <v>16.720199999999998</v>
      </c>
    </row>
    <row r="863" spans="16:26">
      <c r="P863" s="3190">
        <v>682</v>
      </c>
      <c r="Q863" s="3190" t="s">
        <v>4545</v>
      </c>
      <c r="R863" s="3190" t="s">
        <v>4504</v>
      </c>
      <c r="S863" s="3190" t="s">
        <v>4767</v>
      </c>
      <c r="T863" s="3190">
        <v>8</v>
      </c>
      <c r="U863" s="3190">
        <v>-4</v>
      </c>
      <c r="V863" s="3190">
        <v>52.93</v>
      </c>
      <c r="W863" s="3190" t="s">
        <v>4593</v>
      </c>
      <c r="X863" s="3190" t="s">
        <v>4593</v>
      </c>
      <c r="Y863" s="3190">
        <v>3159</v>
      </c>
      <c r="Z863" s="3190">
        <v>16.720199999999998</v>
      </c>
    </row>
    <row r="864" spans="16:26">
      <c r="P864" s="3190">
        <v>683</v>
      </c>
      <c r="Q864" s="3190" t="s">
        <v>4545</v>
      </c>
      <c r="R864" s="3190" t="s">
        <v>4504</v>
      </c>
      <c r="S864" s="3190" t="s">
        <v>4768</v>
      </c>
      <c r="T864" s="3190">
        <v>8</v>
      </c>
      <c r="U864" s="3190">
        <v>-4</v>
      </c>
      <c r="V864" s="3190">
        <v>52.93</v>
      </c>
      <c r="W864" s="3190" t="s">
        <v>4593</v>
      </c>
      <c r="X864" s="3190" t="s">
        <v>4593</v>
      </c>
      <c r="Y864" s="3190">
        <v>3159</v>
      </c>
      <c r="Z864" s="3190">
        <v>16.720199999999998</v>
      </c>
    </row>
    <row r="865" spans="16:26">
      <c r="P865" s="3190">
        <v>684</v>
      </c>
      <c r="Q865" s="3190" t="s">
        <v>4545</v>
      </c>
      <c r="R865" s="3190" t="s">
        <v>4504</v>
      </c>
      <c r="S865" s="3190" t="s">
        <v>4769</v>
      </c>
      <c r="T865" s="3190">
        <v>8</v>
      </c>
      <c r="U865" s="3190">
        <v>-4</v>
      </c>
      <c r="V865" s="3190">
        <v>52.93</v>
      </c>
      <c r="W865" s="3190" t="s">
        <v>4593</v>
      </c>
      <c r="X865" s="3190" t="s">
        <v>4593</v>
      </c>
      <c r="Y865" s="3190">
        <v>3159</v>
      </c>
      <c r="Z865" s="3190">
        <v>16.720199999999998</v>
      </c>
    </row>
    <row r="866" spans="16:26">
      <c r="P866" s="3190">
        <v>685</v>
      </c>
      <c r="Q866" s="3190" t="s">
        <v>4545</v>
      </c>
      <c r="R866" s="3190" t="s">
        <v>4504</v>
      </c>
      <c r="S866" s="3190" t="s">
        <v>4770</v>
      </c>
      <c r="T866" s="3190">
        <v>8</v>
      </c>
      <c r="U866" s="3190">
        <v>-4</v>
      </c>
      <c r="V866" s="3190">
        <v>52.93</v>
      </c>
      <c r="W866" s="3190" t="s">
        <v>4593</v>
      </c>
      <c r="X866" s="3190" t="s">
        <v>4593</v>
      </c>
      <c r="Y866" s="3190">
        <v>3159</v>
      </c>
      <c r="Z866" s="3190">
        <v>16.720199999999998</v>
      </c>
    </row>
    <row r="867" spans="16:26">
      <c r="P867" s="3190">
        <v>686</v>
      </c>
      <c r="Q867" s="3190" t="s">
        <v>4545</v>
      </c>
      <c r="R867" s="3190" t="s">
        <v>4504</v>
      </c>
      <c r="S867" s="3190" t="s">
        <v>4771</v>
      </c>
      <c r="T867" s="3190">
        <v>8</v>
      </c>
      <c r="U867" s="3190">
        <v>-4</v>
      </c>
      <c r="V867" s="3190">
        <v>52.93</v>
      </c>
      <c r="W867" s="3190" t="s">
        <v>4593</v>
      </c>
      <c r="X867" s="3190" t="s">
        <v>4593</v>
      </c>
      <c r="Y867" s="3190">
        <v>3159</v>
      </c>
      <c r="Z867" s="3190">
        <v>16.720199999999998</v>
      </c>
    </row>
    <row r="868" spans="16:26">
      <c r="P868" s="3190">
        <v>687</v>
      </c>
      <c r="Q868" s="3190" t="s">
        <v>4545</v>
      </c>
      <c r="R868" s="3190" t="s">
        <v>4504</v>
      </c>
      <c r="S868" s="3190" t="s">
        <v>4772</v>
      </c>
      <c r="T868" s="3190">
        <v>8</v>
      </c>
      <c r="U868" s="3190">
        <v>-4</v>
      </c>
      <c r="V868" s="3190">
        <v>59.92</v>
      </c>
      <c r="W868" s="3190" t="s">
        <v>4593</v>
      </c>
      <c r="X868" s="3190" t="s">
        <v>4593</v>
      </c>
      <c r="Y868" s="3190">
        <v>2790</v>
      </c>
      <c r="Z868" s="3190">
        <v>16.720199999999998</v>
      </c>
    </row>
    <row r="869" spans="16:26">
      <c r="P869" s="3190">
        <v>688</v>
      </c>
      <c r="Q869" s="3190" t="s">
        <v>4545</v>
      </c>
      <c r="R869" s="3190" t="s">
        <v>4504</v>
      </c>
      <c r="S869" s="3190" t="s">
        <v>4773</v>
      </c>
      <c r="T869" s="3190">
        <v>8</v>
      </c>
      <c r="U869" s="3190">
        <v>-4</v>
      </c>
      <c r="V869" s="3190">
        <v>50.93</v>
      </c>
      <c r="W869" s="3190" t="s">
        <v>4593</v>
      </c>
      <c r="X869" s="3190" t="s">
        <v>4593</v>
      </c>
      <c r="Y869" s="3190">
        <v>3283</v>
      </c>
      <c r="Z869" s="3190">
        <v>16.720199999999998</v>
      </c>
    </row>
    <row r="870" spans="16:26">
      <c r="P870" s="3190">
        <v>689</v>
      </c>
      <c r="Q870" s="3190" t="s">
        <v>4545</v>
      </c>
      <c r="R870" s="3190" t="s">
        <v>4504</v>
      </c>
      <c r="S870" s="3190" t="s">
        <v>4774</v>
      </c>
      <c r="T870" s="3190">
        <v>8</v>
      </c>
      <c r="U870" s="3190">
        <v>-4</v>
      </c>
      <c r="V870" s="3190">
        <v>50.93</v>
      </c>
      <c r="W870" s="3190" t="s">
        <v>4593</v>
      </c>
      <c r="X870" s="3190" t="s">
        <v>4593</v>
      </c>
      <c r="Y870" s="3190">
        <v>3283</v>
      </c>
      <c r="Z870" s="3190">
        <v>16.720199999999998</v>
      </c>
    </row>
    <row r="871" spans="16:26">
      <c r="P871" s="3190">
        <v>690</v>
      </c>
      <c r="Q871" s="3190" t="s">
        <v>4545</v>
      </c>
      <c r="R871" s="3190" t="s">
        <v>4504</v>
      </c>
      <c r="S871" s="3190" t="s">
        <v>4775</v>
      </c>
      <c r="T871" s="3190">
        <v>8</v>
      </c>
      <c r="U871" s="3190">
        <v>-4</v>
      </c>
      <c r="V871" s="3190">
        <v>50.93</v>
      </c>
      <c r="W871" s="3190" t="s">
        <v>4593</v>
      </c>
      <c r="X871" s="3190" t="s">
        <v>4593</v>
      </c>
      <c r="Y871" s="3190">
        <v>3283</v>
      </c>
      <c r="Z871" s="3190">
        <v>16.720199999999998</v>
      </c>
    </row>
    <row r="872" spans="16:26">
      <c r="P872" s="3190">
        <v>691</v>
      </c>
      <c r="Q872" s="3190" t="s">
        <v>4545</v>
      </c>
      <c r="R872" s="3190" t="s">
        <v>4504</v>
      </c>
      <c r="S872" s="3190" t="s">
        <v>4776</v>
      </c>
      <c r="T872" s="3190">
        <v>8</v>
      </c>
      <c r="U872" s="3190">
        <v>-4</v>
      </c>
      <c r="V872" s="3190">
        <v>50.93</v>
      </c>
      <c r="W872" s="3190" t="s">
        <v>4593</v>
      </c>
      <c r="X872" s="3190" t="s">
        <v>4593</v>
      </c>
      <c r="Y872" s="3190">
        <v>3283</v>
      </c>
      <c r="Z872" s="3190">
        <v>16.720199999999998</v>
      </c>
    </row>
    <row r="873" spans="16:26">
      <c r="P873" s="3190">
        <v>692</v>
      </c>
      <c r="Q873" s="3190" t="s">
        <v>4545</v>
      </c>
      <c r="R873" s="3190" t="s">
        <v>4504</v>
      </c>
      <c r="S873" s="3190" t="s">
        <v>4777</v>
      </c>
      <c r="T873" s="3190">
        <v>8</v>
      </c>
      <c r="U873" s="3190">
        <v>-4</v>
      </c>
      <c r="V873" s="3190">
        <v>50.93</v>
      </c>
      <c r="W873" s="3190" t="s">
        <v>4593</v>
      </c>
      <c r="X873" s="3190" t="s">
        <v>4593</v>
      </c>
      <c r="Y873" s="3190">
        <v>3283</v>
      </c>
      <c r="Z873" s="3190">
        <v>16.720199999999998</v>
      </c>
    </row>
    <row r="874" spans="16:26">
      <c r="P874" s="3190">
        <v>693</v>
      </c>
      <c r="Q874" s="3190" t="s">
        <v>4545</v>
      </c>
      <c r="R874" s="3190" t="s">
        <v>4504</v>
      </c>
      <c r="S874" s="3190" t="s">
        <v>4778</v>
      </c>
      <c r="T874" s="3190">
        <v>8</v>
      </c>
      <c r="U874" s="3190">
        <v>-4</v>
      </c>
      <c r="V874" s="3190">
        <v>50.93</v>
      </c>
      <c r="W874" s="3190" t="s">
        <v>4593</v>
      </c>
      <c r="X874" s="3190" t="s">
        <v>4593</v>
      </c>
      <c r="Y874" s="3190">
        <v>3283</v>
      </c>
      <c r="Z874" s="3190">
        <v>16.720199999999998</v>
      </c>
    </row>
    <row r="875" spans="16:26">
      <c r="P875" s="3190">
        <v>694</v>
      </c>
      <c r="Q875" s="3190" t="s">
        <v>4545</v>
      </c>
      <c r="R875" s="3190" t="s">
        <v>4504</v>
      </c>
      <c r="S875" s="3190" t="s">
        <v>4779</v>
      </c>
      <c r="T875" s="3190">
        <v>8</v>
      </c>
      <c r="U875" s="3190">
        <v>-4</v>
      </c>
      <c r="V875" s="3190">
        <v>52.93</v>
      </c>
      <c r="W875" s="3190" t="s">
        <v>4593</v>
      </c>
      <c r="X875" s="3190" t="s">
        <v>4593</v>
      </c>
      <c r="Y875" s="3190">
        <v>3159</v>
      </c>
      <c r="Z875" s="3190">
        <v>16.720199999999998</v>
      </c>
    </row>
    <row r="876" spans="16:26">
      <c r="P876" s="3190">
        <v>695</v>
      </c>
      <c r="Q876" s="3190" t="s">
        <v>4545</v>
      </c>
      <c r="R876" s="3190" t="s">
        <v>4504</v>
      </c>
      <c r="S876" s="3190" t="s">
        <v>4780</v>
      </c>
      <c r="T876" s="3190">
        <v>8</v>
      </c>
      <c r="U876" s="3190">
        <v>-4</v>
      </c>
      <c r="V876" s="3190">
        <v>52.93</v>
      </c>
      <c r="W876" s="3190" t="s">
        <v>4593</v>
      </c>
      <c r="X876" s="3190" t="s">
        <v>4593</v>
      </c>
      <c r="Y876" s="3190">
        <v>3159</v>
      </c>
      <c r="Z876" s="3190">
        <v>16.720199999999998</v>
      </c>
    </row>
    <row r="877" spans="16:26">
      <c r="P877" s="3190">
        <v>696</v>
      </c>
      <c r="Q877" s="3190" t="s">
        <v>4545</v>
      </c>
      <c r="R877" s="3190" t="s">
        <v>4504</v>
      </c>
      <c r="S877" s="3190" t="s">
        <v>4781</v>
      </c>
      <c r="T877" s="3190">
        <v>8</v>
      </c>
      <c r="U877" s="3190">
        <v>-4</v>
      </c>
      <c r="V877" s="3190">
        <v>52.93</v>
      </c>
      <c r="W877" s="3190" t="s">
        <v>4593</v>
      </c>
      <c r="X877" s="3190" t="s">
        <v>4593</v>
      </c>
      <c r="Y877" s="3190">
        <v>3159</v>
      </c>
      <c r="Z877" s="3190">
        <v>16.720199999999998</v>
      </c>
    </row>
    <row r="878" spans="16:26">
      <c r="P878" s="3190">
        <v>697</v>
      </c>
      <c r="Q878" s="3190" t="s">
        <v>4545</v>
      </c>
      <c r="R878" s="3190" t="s">
        <v>4504</v>
      </c>
      <c r="S878" s="3190" t="s">
        <v>4782</v>
      </c>
      <c r="T878" s="3190">
        <v>8</v>
      </c>
      <c r="U878" s="3190">
        <v>-4</v>
      </c>
      <c r="V878" s="3190">
        <v>52.93</v>
      </c>
      <c r="W878" s="3190" t="s">
        <v>4593</v>
      </c>
      <c r="X878" s="3190" t="s">
        <v>4593</v>
      </c>
      <c r="Y878" s="3190">
        <v>3159</v>
      </c>
      <c r="Z878" s="3190">
        <v>16.720199999999998</v>
      </c>
    </row>
    <row r="879" spans="16:26">
      <c r="P879" s="3190">
        <v>698</v>
      </c>
      <c r="Q879" s="3190" t="s">
        <v>4545</v>
      </c>
      <c r="R879" s="3190" t="s">
        <v>4504</v>
      </c>
      <c r="S879" s="3190" t="s">
        <v>4783</v>
      </c>
      <c r="T879" s="3190">
        <v>8</v>
      </c>
      <c r="U879" s="3190">
        <v>-4</v>
      </c>
      <c r="V879" s="3190">
        <v>52.93</v>
      </c>
      <c r="W879" s="3190" t="s">
        <v>4593</v>
      </c>
      <c r="X879" s="3190" t="s">
        <v>4593</v>
      </c>
      <c r="Y879" s="3190">
        <v>3159</v>
      </c>
      <c r="Z879" s="3190">
        <v>16.720199999999998</v>
      </c>
    </row>
    <row r="880" spans="16:26">
      <c r="P880" s="3190">
        <v>699</v>
      </c>
      <c r="Q880" s="3190" t="s">
        <v>4545</v>
      </c>
      <c r="R880" s="3190" t="s">
        <v>4504</v>
      </c>
      <c r="S880" s="3190" t="s">
        <v>4784</v>
      </c>
      <c r="T880" s="3190">
        <v>8</v>
      </c>
      <c r="U880" s="3190">
        <v>-4</v>
      </c>
      <c r="V880" s="3190">
        <v>52.93</v>
      </c>
      <c r="W880" s="3190" t="s">
        <v>4593</v>
      </c>
      <c r="X880" s="3190" t="s">
        <v>4593</v>
      </c>
      <c r="Y880" s="3190">
        <v>3159</v>
      </c>
      <c r="Z880" s="3190">
        <v>16.720199999999998</v>
      </c>
    </row>
    <row r="881" spans="16:26">
      <c r="P881" s="3190">
        <v>700</v>
      </c>
      <c r="Q881" s="3190" t="s">
        <v>4545</v>
      </c>
      <c r="R881" s="3190" t="s">
        <v>4504</v>
      </c>
      <c r="S881" s="3190" t="s">
        <v>4785</v>
      </c>
      <c r="T881" s="3190">
        <v>8</v>
      </c>
      <c r="U881" s="3190">
        <v>-4</v>
      </c>
      <c r="V881" s="3190">
        <v>52.93</v>
      </c>
      <c r="W881" s="3190" t="s">
        <v>4593</v>
      </c>
      <c r="X881" s="3190" t="s">
        <v>4593</v>
      </c>
      <c r="Y881" s="3190">
        <v>3159</v>
      </c>
      <c r="Z881" s="3190">
        <v>16.720199999999998</v>
      </c>
    </row>
    <row r="882" spans="16:26">
      <c r="P882" s="3190">
        <v>701</v>
      </c>
      <c r="Q882" s="3190" t="s">
        <v>4545</v>
      </c>
      <c r="R882" s="3190" t="s">
        <v>4504</v>
      </c>
      <c r="S882" s="3190" t="s">
        <v>4786</v>
      </c>
      <c r="T882" s="3190">
        <v>8</v>
      </c>
      <c r="U882" s="3190">
        <v>-4</v>
      </c>
      <c r="V882" s="3190">
        <v>52.93</v>
      </c>
      <c r="W882" s="3190" t="s">
        <v>4593</v>
      </c>
      <c r="X882" s="3190" t="s">
        <v>4593</v>
      </c>
      <c r="Y882" s="3190">
        <v>3159</v>
      </c>
      <c r="Z882" s="3190">
        <v>16.720199999999998</v>
      </c>
    </row>
    <row r="883" spans="16:26">
      <c r="P883" s="3190">
        <v>702</v>
      </c>
      <c r="Q883" s="3190" t="s">
        <v>4545</v>
      </c>
      <c r="R883" s="3190" t="s">
        <v>4504</v>
      </c>
      <c r="S883" s="3190" t="s">
        <v>4787</v>
      </c>
      <c r="T883" s="3190">
        <v>8</v>
      </c>
      <c r="U883" s="3190">
        <v>-4</v>
      </c>
      <c r="V883" s="3190">
        <v>52.93</v>
      </c>
      <c r="W883" s="3190" t="s">
        <v>4593</v>
      </c>
      <c r="X883" s="3190" t="s">
        <v>4593</v>
      </c>
      <c r="Y883" s="3190">
        <v>3159</v>
      </c>
      <c r="Z883" s="3190">
        <v>16.720199999999998</v>
      </c>
    </row>
    <row r="884" spans="16:26">
      <c r="P884" s="3190">
        <v>703</v>
      </c>
      <c r="Q884" s="3190" t="s">
        <v>4545</v>
      </c>
      <c r="R884" s="3190" t="s">
        <v>4504</v>
      </c>
      <c r="S884" s="3190" t="s">
        <v>4788</v>
      </c>
      <c r="T884" s="3190">
        <v>8</v>
      </c>
      <c r="U884" s="3190">
        <v>-4</v>
      </c>
      <c r="V884" s="3190">
        <v>52.93</v>
      </c>
      <c r="W884" s="3190" t="s">
        <v>4593</v>
      </c>
      <c r="X884" s="3190" t="s">
        <v>4593</v>
      </c>
      <c r="Y884" s="3190">
        <v>3159</v>
      </c>
      <c r="Z884" s="3190">
        <v>16.720199999999998</v>
      </c>
    </row>
    <row r="885" spans="16:26">
      <c r="P885" s="3190">
        <v>704</v>
      </c>
      <c r="Q885" s="3190" t="s">
        <v>4545</v>
      </c>
      <c r="R885" s="3190" t="s">
        <v>4504</v>
      </c>
      <c r="S885" s="3190" t="s">
        <v>4789</v>
      </c>
      <c r="T885" s="3190">
        <v>8</v>
      </c>
      <c r="U885" s="3190">
        <v>-4</v>
      </c>
      <c r="V885" s="3190">
        <v>52.93</v>
      </c>
      <c r="W885" s="3190" t="s">
        <v>4593</v>
      </c>
      <c r="X885" s="3190" t="s">
        <v>4593</v>
      </c>
      <c r="Y885" s="3190">
        <v>3159</v>
      </c>
      <c r="Z885" s="3190">
        <v>16.720199999999998</v>
      </c>
    </row>
    <row r="886" spans="16:26">
      <c r="P886" s="3190">
        <v>705</v>
      </c>
      <c r="Q886" s="3190" t="s">
        <v>4545</v>
      </c>
      <c r="R886" s="3190" t="s">
        <v>4504</v>
      </c>
      <c r="S886" s="3190" t="s">
        <v>4790</v>
      </c>
      <c r="T886" s="3190">
        <v>8</v>
      </c>
      <c r="U886" s="3190">
        <v>-4</v>
      </c>
      <c r="V886" s="3190">
        <v>52.93</v>
      </c>
      <c r="W886" s="3190" t="s">
        <v>4593</v>
      </c>
      <c r="X886" s="3190" t="s">
        <v>4593</v>
      </c>
      <c r="Y886" s="3190">
        <v>3159</v>
      </c>
      <c r="Z886" s="3190">
        <v>16.720199999999998</v>
      </c>
    </row>
    <row r="887" spans="16:26">
      <c r="P887" s="3190">
        <v>706</v>
      </c>
      <c r="Q887" s="3190" t="s">
        <v>4545</v>
      </c>
      <c r="R887" s="3190" t="s">
        <v>4504</v>
      </c>
      <c r="S887" s="3190" t="s">
        <v>4791</v>
      </c>
      <c r="T887" s="3190">
        <v>8</v>
      </c>
      <c r="U887" s="3190">
        <v>-4</v>
      </c>
      <c r="V887" s="3190">
        <v>52.93</v>
      </c>
      <c r="W887" s="3190" t="s">
        <v>4593</v>
      </c>
      <c r="X887" s="3190" t="s">
        <v>4593</v>
      </c>
      <c r="Y887" s="3190">
        <v>3159</v>
      </c>
      <c r="Z887" s="3190">
        <v>16.720199999999998</v>
      </c>
    </row>
    <row r="888" spans="16:26">
      <c r="P888" s="3190">
        <v>707</v>
      </c>
      <c r="Q888" s="3190" t="s">
        <v>4545</v>
      </c>
      <c r="R888" s="3190" t="s">
        <v>4504</v>
      </c>
      <c r="S888" s="3190" t="s">
        <v>4792</v>
      </c>
      <c r="T888" s="3190">
        <v>8</v>
      </c>
      <c r="U888" s="3190">
        <v>-4</v>
      </c>
      <c r="V888" s="3190">
        <v>52.93</v>
      </c>
      <c r="W888" s="3190" t="s">
        <v>4593</v>
      </c>
      <c r="X888" s="3190" t="s">
        <v>4593</v>
      </c>
      <c r="Y888" s="3190">
        <v>3159</v>
      </c>
      <c r="Z888" s="3190">
        <v>16.720199999999998</v>
      </c>
    </row>
    <row r="889" spans="16:26">
      <c r="P889" s="3190">
        <v>708</v>
      </c>
      <c r="Q889" s="3190" t="s">
        <v>4545</v>
      </c>
      <c r="R889" s="3190" t="s">
        <v>4504</v>
      </c>
      <c r="S889" s="3190" t="s">
        <v>4793</v>
      </c>
      <c r="T889" s="3190">
        <v>8</v>
      </c>
      <c r="U889" s="3190">
        <v>-4</v>
      </c>
      <c r="V889" s="3190">
        <v>52.93</v>
      </c>
      <c r="W889" s="3190" t="s">
        <v>4593</v>
      </c>
      <c r="X889" s="3190" t="s">
        <v>4593</v>
      </c>
      <c r="Y889" s="3190">
        <v>3159</v>
      </c>
      <c r="Z889" s="3190">
        <v>16.720199999999998</v>
      </c>
    </row>
    <row r="890" spans="16:26">
      <c r="P890" s="3190">
        <v>709</v>
      </c>
      <c r="Q890" s="3190" t="s">
        <v>4545</v>
      </c>
      <c r="R890" s="3190" t="s">
        <v>4504</v>
      </c>
      <c r="S890" s="3190" t="s">
        <v>4794</v>
      </c>
      <c r="T890" s="3190">
        <v>8</v>
      </c>
      <c r="U890" s="3190">
        <v>-4</v>
      </c>
      <c r="V890" s="3190">
        <v>50.93</v>
      </c>
      <c r="W890" s="3190" t="s">
        <v>4593</v>
      </c>
      <c r="X890" s="3190" t="s">
        <v>4593</v>
      </c>
      <c r="Y890" s="3190">
        <v>3283</v>
      </c>
      <c r="Z890" s="3190">
        <v>16.720199999999998</v>
      </c>
    </row>
    <row r="891" spans="16:26">
      <c r="P891" s="3190">
        <v>710</v>
      </c>
      <c r="Q891" s="3190" t="s">
        <v>4545</v>
      </c>
      <c r="R891" s="3190" t="s">
        <v>4504</v>
      </c>
      <c r="S891" s="3190" t="s">
        <v>4795</v>
      </c>
      <c r="T891" s="3190">
        <v>8</v>
      </c>
      <c r="U891" s="3190">
        <v>-4</v>
      </c>
      <c r="V891" s="3190">
        <v>50.93</v>
      </c>
      <c r="W891" s="3190" t="s">
        <v>4593</v>
      </c>
      <c r="X891" s="3190" t="s">
        <v>4593</v>
      </c>
      <c r="Y891" s="3190">
        <v>3283</v>
      </c>
      <c r="Z891" s="3190">
        <v>16.720199999999998</v>
      </c>
    </row>
    <row r="892" spans="16:26">
      <c r="P892" s="3190">
        <v>711</v>
      </c>
      <c r="Q892" s="3190" t="s">
        <v>4545</v>
      </c>
      <c r="R892" s="3190" t="s">
        <v>4504</v>
      </c>
      <c r="S892" s="3190" t="s">
        <v>4796</v>
      </c>
      <c r="T892" s="3190">
        <v>8</v>
      </c>
      <c r="U892" s="3190">
        <v>-4</v>
      </c>
      <c r="V892" s="3190">
        <v>50.93</v>
      </c>
      <c r="W892" s="3190" t="s">
        <v>4593</v>
      </c>
      <c r="X892" s="3190" t="s">
        <v>4593</v>
      </c>
      <c r="Y892" s="3190">
        <v>3283</v>
      </c>
      <c r="Z892" s="3190">
        <v>16.720199999999998</v>
      </c>
    </row>
    <row r="893" spans="16:26">
      <c r="P893" s="3190">
        <v>712</v>
      </c>
      <c r="Q893" s="3190" t="s">
        <v>4545</v>
      </c>
      <c r="R893" s="3190" t="s">
        <v>4504</v>
      </c>
      <c r="S893" s="3190" t="s">
        <v>4797</v>
      </c>
      <c r="T893" s="3190">
        <v>8</v>
      </c>
      <c r="U893" s="3190">
        <v>-4</v>
      </c>
      <c r="V893" s="3190">
        <v>50.93</v>
      </c>
      <c r="W893" s="3190" t="s">
        <v>4593</v>
      </c>
      <c r="X893" s="3190" t="s">
        <v>4593</v>
      </c>
      <c r="Y893" s="3190">
        <v>3283</v>
      </c>
      <c r="Z893" s="3190">
        <v>16.720199999999998</v>
      </c>
    </row>
    <row r="894" spans="16:26">
      <c r="P894" s="3190">
        <v>713</v>
      </c>
      <c r="Q894" s="3190" t="s">
        <v>4545</v>
      </c>
      <c r="R894" s="3190" t="s">
        <v>4504</v>
      </c>
      <c r="S894" s="3190" t="s">
        <v>4798</v>
      </c>
      <c r="T894" s="3190">
        <v>8</v>
      </c>
      <c r="U894" s="3190">
        <v>-4</v>
      </c>
      <c r="V894" s="3190">
        <v>50.93</v>
      </c>
      <c r="W894" s="3190" t="s">
        <v>4593</v>
      </c>
      <c r="X894" s="3190" t="s">
        <v>4593</v>
      </c>
      <c r="Y894" s="3190">
        <v>3283</v>
      </c>
      <c r="Z894" s="3190">
        <v>16.720199999999998</v>
      </c>
    </row>
    <row r="895" spans="16:26">
      <c r="P895" s="3190">
        <v>714</v>
      </c>
      <c r="Q895" s="3190" t="s">
        <v>4545</v>
      </c>
      <c r="R895" s="3190" t="s">
        <v>4504</v>
      </c>
      <c r="S895" s="3190" t="s">
        <v>4799</v>
      </c>
      <c r="T895" s="3190">
        <v>8</v>
      </c>
      <c r="U895" s="3190">
        <v>-4</v>
      </c>
      <c r="V895" s="3190">
        <v>50.93</v>
      </c>
      <c r="W895" s="3190" t="s">
        <v>4593</v>
      </c>
      <c r="X895" s="3190" t="s">
        <v>4593</v>
      </c>
      <c r="Y895" s="3190">
        <v>3283</v>
      </c>
      <c r="Z895" s="3190">
        <v>16.720199999999998</v>
      </c>
    </row>
    <row r="896" spans="16:26">
      <c r="P896" s="3190">
        <v>715</v>
      </c>
      <c r="Q896" s="3190" t="s">
        <v>4545</v>
      </c>
      <c r="R896" s="3190" t="s">
        <v>4504</v>
      </c>
      <c r="S896" s="3190" t="s">
        <v>4800</v>
      </c>
      <c r="T896" s="3190">
        <v>8</v>
      </c>
      <c r="U896" s="3190">
        <v>-4</v>
      </c>
      <c r="V896" s="3190">
        <v>52.93</v>
      </c>
      <c r="W896" s="3190" t="s">
        <v>4593</v>
      </c>
      <c r="X896" s="3190" t="s">
        <v>4593</v>
      </c>
      <c r="Y896" s="3190">
        <v>3159</v>
      </c>
      <c r="Z896" s="3190">
        <v>16.720199999999998</v>
      </c>
    </row>
    <row r="897" spans="16:26">
      <c r="P897" s="3190">
        <v>716</v>
      </c>
      <c r="Q897" s="3190" t="s">
        <v>4545</v>
      </c>
      <c r="R897" s="3190" t="s">
        <v>4504</v>
      </c>
      <c r="S897" s="3190" t="s">
        <v>4801</v>
      </c>
      <c r="T897" s="3190">
        <v>8</v>
      </c>
      <c r="U897" s="3190">
        <v>-4</v>
      </c>
      <c r="V897" s="3190">
        <v>52.93</v>
      </c>
      <c r="W897" s="3190" t="s">
        <v>4593</v>
      </c>
      <c r="X897" s="3190" t="s">
        <v>4593</v>
      </c>
      <c r="Y897" s="3190">
        <v>3159</v>
      </c>
      <c r="Z897" s="3190">
        <v>16.720199999999998</v>
      </c>
    </row>
    <row r="898" spans="16:26">
      <c r="P898" s="3190">
        <v>717</v>
      </c>
      <c r="Q898" s="3190" t="s">
        <v>4545</v>
      </c>
      <c r="R898" s="3190" t="s">
        <v>4504</v>
      </c>
      <c r="S898" s="3190" t="s">
        <v>4802</v>
      </c>
      <c r="T898" s="3190">
        <v>8</v>
      </c>
      <c r="U898" s="3190">
        <v>-4</v>
      </c>
      <c r="V898" s="3190">
        <v>52.93</v>
      </c>
      <c r="W898" s="3190" t="s">
        <v>4593</v>
      </c>
      <c r="X898" s="3190" t="s">
        <v>4593</v>
      </c>
      <c r="Y898" s="3190">
        <v>3159</v>
      </c>
      <c r="Z898" s="3190">
        <v>16.720199999999998</v>
      </c>
    </row>
    <row r="899" spans="16:26">
      <c r="P899" s="3190">
        <v>718</v>
      </c>
      <c r="Q899" s="3190" t="s">
        <v>4545</v>
      </c>
      <c r="R899" s="3190" t="s">
        <v>4504</v>
      </c>
      <c r="S899" s="3190" t="s">
        <v>4803</v>
      </c>
      <c r="T899" s="3190">
        <v>8</v>
      </c>
      <c r="U899" s="3190">
        <v>-4</v>
      </c>
      <c r="V899" s="3190">
        <v>52.93</v>
      </c>
      <c r="W899" s="3190" t="s">
        <v>4593</v>
      </c>
      <c r="X899" s="3190" t="s">
        <v>4593</v>
      </c>
      <c r="Y899" s="3190">
        <v>3159</v>
      </c>
      <c r="Z899" s="3190">
        <v>16.720199999999998</v>
      </c>
    </row>
    <row r="900" spans="16:26">
      <c r="P900" s="3190">
        <v>719</v>
      </c>
      <c r="Q900" s="3190" t="s">
        <v>4545</v>
      </c>
      <c r="R900" s="3190" t="s">
        <v>4504</v>
      </c>
      <c r="S900" s="3190" t="s">
        <v>4804</v>
      </c>
      <c r="T900" s="3190">
        <v>8</v>
      </c>
      <c r="U900" s="3190">
        <v>-4</v>
      </c>
      <c r="V900" s="3190">
        <v>52.93</v>
      </c>
      <c r="W900" s="3190" t="s">
        <v>4593</v>
      </c>
      <c r="X900" s="3190" t="s">
        <v>4593</v>
      </c>
      <c r="Y900" s="3190">
        <v>3159</v>
      </c>
      <c r="Z900" s="3190">
        <v>16.720199999999998</v>
      </c>
    </row>
    <row r="901" spans="16:26">
      <c r="P901" s="3190">
        <v>720</v>
      </c>
      <c r="Q901" s="3190" t="s">
        <v>4545</v>
      </c>
      <c r="R901" s="3190" t="s">
        <v>4504</v>
      </c>
      <c r="S901" s="3190" t="s">
        <v>4805</v>
      </c>
      <c r="T901" s="3190">
        <v>8</v>
      </c>
      <c r="U901" s="3190">
        <v>-4</v>
      </c>
      <c r="V901" s="3190">
        <v>52.93</v>
      </c>
      <c r="W901" s="3190" t="s">
        <v>4593</v>
      </c>
      <c r="X901" s="3190" t="s">
        <v>4593</v>
      </c>
      <c r="Y901" s="3190">
        <v>3159</v>
      </c>
      <c r="Z901" s="3190">
        <v>16.720199999999998</v>
      </c>
    </row>
    <row r="902" spans="16:26">
      <c r="P902" s="3190">
        <v>721</v>
      </c>
      <c r="Q902" s="3190" t="s">
        <v>4545</v>
      </c>
      <c r="R902" s="3190" t="s">
        <v>4504</v>
      </c>
      <c r="S902" s="3190" t="s">
        <v>4806</v>
      </c>
      <c r="T902" s="3190">
        <v>8</v>
      </c>
      <c r="U902" s="3190">
        <v>-4</v>
      </c>
      <c r="V902" s="3190">
        <v>52.93</v>
      </c>
      <c r="W902" s="3190" t="s">
        <v>4593</v>
      </c>
      <c r="X902" s="3190" t="s">
        <v>4593</v>
      </c>
      <c r="Y902" s="3190">
        <v>3159</v>
      </c>
      <c r="Z902" s="3190">
        <v>16.720199999999998</v>
      </c>
    </row>
    <row r="903" spans="16:26">
      <c r="P903" s="3190">
        <v>722</v>
      </c>
      <c r="Q903" s="3190" t="s">
        <v>4545</v>
      </c>
      <c r="R903" s="3190" t="s">
        <v>4504</v>
      </c>
      <c r="S903" s="3190" t="s">
        <v>4807</v>
      </c>
      <c r="T903" s="3190">
        <v>8</v>
      </c>
      <c r="U903" s="3190">
        <v>-4</v>
      </c>
      <c r="V903" s="3190">
        <v>52.93</v>
      </c>
      <c r="W903" s="3190" t="s">
        <v>4593</v>
      </c>
      <c r="X903" s="3190" t="s">
        <v>4593</v>
      </c>
      <c r="Y903" s="3190">
        <v>3159</v>
      </c>
      <c r="Z903" s="3190">
        <v>16.720199999999998</v>
      </c>
    </row>
    <row r="904" spans="16:26">
      <c r="P904" s="3190">
        <v>723</v>
      </c>
      <c r="Q904" s="3190" t="s">
        <v>4545</v>
      </c>
      <c r="R904" s="3190" t="s">
        <v>4504</v>
      </c>
      <c r="S904" s="3190" t="s">
        <v>4808</v>
      </c>
      <c r="T904" s="3190">
        <v>8</v>
      </c>
      <c r="U904" s="3190">
        <v>-4</v>
      </c>
      <c r="V904" s="3190">
        <v>52.93</v>
      </c>
      <c r="W904" s="3190" t="s">
        <v>4593</v>
      </c>
      <c r="X904" s="3190" t="s">
        <v>4593</v>
      </c>
      <c r="Y904" s="3190">
        <v>3159</v>
      </c>
      <c r="Z904" s="3190">
        <v>16.720199999999998</v>
      </c>
    </row>
    <row r="905" spans="16:26">
      <c r="P905" s="3190">
        <v>724</v>
      </c>
      <c r="Q905" s="3190" t="s">
        <v>4545</v>
      </c>
      <c r="R905" s="3190" t="s">
        <v>4504</v>
      </c>
      <c r="S905" s="3190" t="s">
        <v>4809</v>
      </c>
      <c r="T905" s="3190">
        <v>8</v>
      </c>
      <c r="U905" s="3190">
        <v>-4</v>
      </c>
      <c r="V905" s="3190">
        <v>59.92</v>
      </c>
      <c r="W905" s="3190" t="s">
        <v>4593</v>
      </c>
      <c r="X905" s="3190" t="s">
        <v>4593</v>
      </c>
      <c r="Y905" s="3190">
        <v>2790</v>
      </c>
      <c r="Z905" s="3190">
        <v>16.720199999999998</v>
      </c>
    </row>
    <row r="906" spans="16:26">
      <c r="P906" s="3190">
        <v>725</v>
      </c>
      <c r="Q906" s="3190" t="s">
        <v>4545</v>
      </c>
      <c r="R906" s="3190" t="s">
        <v>4504</v>
      </c>
      <c r="S906" s="3190" t="s">
        <v>4810</v>
      </c>
      <c r="T906" s="3190">
        <v>8</v>
      </c>
      <c r="U906" s="3190">
        <v>-4</v>
      </c>
      <c r="V906" s="3190">
        <v>59.92</v>
      </c>
      <c r="W906" s="3190" t="s">
        <v>4593</v>
      </c>
      <c r="X906" s="3190" t="s">
        <v>4593</v>
      </c>
      <c r="Y906" s="3190">
        <v>2790</v>
      </c>
      <c r="Z906" s="3190">
        <v>16.720199999999998</v>
      </c>
    </row>
    <row r="907" spans="16:26">
      <c r="P907" s="3190">
        <v>726</v>
      </c>
      <c r="Q907" s="3190" t="s">
        <v>4545</v>
      </c>
      <c r="R907" s="3190" t="s">
        <v>4504</v>
      </c>
      <c r="S907" s="3190" t="s">
        <v>4811</v>
      </c>
      <c r="T907" s="3190">
        <v>8</v>
      </c>
      <c r="U907" s="3190">
        <v>-4</v>
      </c>
      <c r="V907" s="3190">
        <v>52.93</v>
      </c>
      <c r="W907" s="3190" t="s">
        <v>4593</v>
      </c>
      <c r="X907" s="3190" t="s">
        <v>4593</v>
      </c>
      <c r="Y907" s="3190">
        <v>3159</v>
      </c>
      <c r="Z907" s="3190">
        <v>16.720199999999998</v>
      </c>
    </row>
    <row r="908" spans="16:26">
      <c r="P908" s="3190">
        <v>727</v>
      </c>
      <c r="Q908" s="3190" t="s">
        <v>4545</v>
      </c>
      <c r="R908" s="3190" t="s">
        <v>4504</v>
      </c>
      <c r="S908" s="3190" t="s">
        <v>4812</v>
      </c>
      <c r="T908" s="3190">
        <v>8</v>
      </c>
      <c r="U908" s="3190">
        <v>-4</v>
      </c>
      <c r="V908" s="3190">
        <v>52.93</v>
      </c>
      <c r="W908" s="3190" t="s">
        <v>4593</v>
      </c>
      <c r="X908" s="3190" t="s">
        <v>4593</v>
      </c>
      <c r="Y908" s="3190">
        <v>3159</v>
      </c>
      <c r="Z908" s="3190">
        <v>16.720199999999998</v>
      </c>
    </row>
    <row r="909" spans="16:26">
      <c r="P909" s="3190">
        <v>728</v>
      </c>
      <c r="Q909" s="3190" t="s">
        <v>4545</v>
      </c>
      <c r="R909" s="3190" t="s">
        <v>4504</v>
      </c>
      <c r="S909" s="3190" t="s">
        <v>4813</v>
      </c>
      <c r="T909" s="3190">
        <v>8</v>
      </c>
      <c r="U909" s="3190">
        <v>-4</v>
      </c>
      <c r="V909" s="3190">
        <v>52.93</v>
      </c>
      <c r="W909" s="3190" t="s">
        <v>4593</v>
      </c>
      <c r="X909" s="3190" t="s">
        <v>4593</v>
      </c>
      <c r="Y909" s="3190">
        <v>3159</v>
      </c>
      <c r="Z909" s="3190">
        <v>16.720199999999998</v>
      </c>
    </row>
    <row r="910" spans="16:26">
      <c r="P910" s="3190">
        <v>729</v>
      </c>
      <c r="Q910" s="3190" t="s">
        <v>4545</v>
      </c>
      <c r="R910" s="3190" t="s">
        <v>4504</v>
      </c>
      <c r="S910" s="3190" t="s">
        <v>4814</v>
      </c>
      <c r="T910" s="3190">
        <v>8</v>
      </c>
      <c r="U910" s="3190">
        <v>-4</v>
      </c>
      <c r="V910" s="3190">
        <v>89.38</v>
      </c>
      <c r="W910" s="3190" t="s">
        <v>4593</v>
      </c>
      <c r="X910" s="3190" t="s">
        <v>4593</v>
      </c>
      <c r="Y910" s="3190">
        <v>2432</v>
      </c>
      <c r="Z910" s="3190">
        <v>21.7363</v>
      </c>
    </row>
    <row r="911" spans="16:26">
      <c r="P911" s="3190">
        <v>730</v>
      </c>
      <c r="Q911" s="3190" t="s">
        <v>4545</v>
      </c>
      <c r="R911" s="3190" t="s">
        <v>4504</v>
      </c>
      <c r="S911" s="3190" t="s">
        <v>4815</v>
      </c>
      <c r="T911" s="3190">
        <v>8</v>
      </c>
      <c r="U911" s="3190">
        <v>-4</v>
      </c>
      <c r="V911" s="3190">
        <v>52.93</v>
      </c>
      <c r="W911" s="3190" t="s">
        <v>4593</v>
      </c>
      <c r="X911" s="3190" t="s">
        <v>4593</v>
      </c>
      <c r="Y911" s="3190">
        <v>3159</v>
      </c>
      <c r="Z911" s="3190">
        <v>16.720199999999998</v>
      </c>
    </row>
    <row r="912" spans="16:26">
      <c r="P912" s="3190">
        <v>731</v>
      </c>
      <c r="Q912" s="3190" t="s">
        <v>4545</v>
      </c>
      <c r="R912" s="3190" t="s">
        <v>4504</v>
      </c>
      <c r="S912" s="3190" t="s">
        <v>4816</v>
      </c>
      <c r="T912" s="3190">
        <v>8</v>
      </c>
      <c r="U912" s="3190">
        <v>-4</v>
      </c>
      <c r="V912" s="3190">
        <v>52.93</v>
      </c>
      <c r="W912" s="3190" t="s">
        <v>4593</v>
      </c>
      <c r="X912" s="3190" t="s">
        <v>4593</v>
      </c>
      <c r="Y912" s="3190">
        <v>3159</v>
      </c>
      <c r="Z912" s="3190">
        <v>16.720199999999998</v>
      </c>
    </row>
    <row r="913" spans="16:26">
      <c r="P913" s="3190">
        <v>732</v>
      </c>
      <c r="Q913" s="3190" t="s">
        <v>4545</v>
      </c>
      <c r="R913" s="3190" t="s">
        <v>4504</v>
      </c>
      <c r="S913" s="3190" t="s">
        <v>4817</v>
      </c>
      <c r="T913" s="3190">
        <v>8</v>
      </c>
      <c r="U913" s="3190">
        <v>-4</v>
      </c>
      <c r="V913" s="3190">
        <v>52.93</v>
      </c>
      <c r="W913" s="3190" t="s">
        <v>4593</v>
      </c>
      <c r="X913" s="3190" t="s">
        <v>4593</v>
      </c>
      <c r="Y913" s="3190">
        <v>3159</v>
      </c>
      <c r="Z913" s="3190">
        <v>16.720199999999998</v>
      </c>
    </row>
    <row r="914" spans="16:26">
      <c r="P914" s="3190">
        <v>733</v>
      </c>
      <c r="Q914" s="3190" t="s">
        <v>4545</v>
      </c>
      <c r="R914" s="3190" t="s">
        <v>4504</v>
      </c>
      <c r="S914" s="3190" t="s">
        <v>4818</v>
      </c>
      <c r="T914" s="3190">
        <v>8</v>
      </c>
      <c r="U914" s="3190">
        <v>-4</v>
      </c>
      <c r="V914" s="3190">
        <v>52.93</v>
      </c>
      <c r="W914" s="3190" t="s">
        <v>4593</v>
      </c>
      <c r="X914" s="3190" t="s">
        <v>4593</v>
      </c>
      <c r="Y914" s="3190">
        <v>3159</v>
      </c>
      <c r="Z914" s="3190">
        <v>16.720199999999998</v>
      </c>
    </row>
    <row r="915" spans="16:26">
      <c r="P915" s="3190">
        <v>734</v>
      </c>
      <c r="Q915" s="3190" t="s">
        <v>4545</v>
      </c>
      <c r="R915" s="3190" t="s">
        <v>4504</v>
      </c>
      <c r="S915" s="3190" t="s">
        <v>4819</v>
      </c>
      <c r="T915" s="3190">
        <v>8</v>
      </c>
      <c r="U915" s="3190">
        <v>-4</v>
      </c>
      <c r="V915" s="3190">
        <v>52.93</v>
      </c>
      <c r="W915" s="3190" t="s">
        <v>4593</v>
      </c>
      <c r="X915" s="3190" t="s">
        <v>4593</v>
      </c>
      <c r="Y915" s="3190">
        <v>3159</v>
      </c>
      <c r="Z915" s="3190">
        <v>16.720199999999998</v>
      </c>
    </row>
    <row r="916" spans="16:26">
      <c r="P916" s="3190">
        <v>735</v>
      </c>
      <c r="Q916" s="3190" t="s">
        <v>4545</v>
      </c>
      <c r="R916" s="3190" t="s">
        <v>4504</v>
      </c>
      <c r="S916" s="3190" t="s">
        <v>4820</v>
      </c>
      <c r="T916" s="3190">
        <v>8</v>
      </c>
      <c r="U916" s="3190">
        <v>-4</v>
      </c>
      <c r="V916" s="3190">
        <v>52.93</v>
      </c>
      <c r="W916" s="3190" t="s">
        <v>4593</v>
      </c>
      <c r="X916" s="3190" t="s">
        <v>4593</v>
      </c>
      <c r="Y916" s="3190">
        <v>3159</v>
      </c>
      <c r="Z916" s="3190">
        <v>16.720199999999998</v>
      </c>
    </row>
    <row r="917" spans="16:26">
      <c r="P917" s="3190">
        <v>736</v>
      </c>
      <c r="Q917" s="3190" t="s">
        <v>4545</v>
      </c>
      <c r="R917" s="3190" t="s">
        <v>4504</v>
      </c>
      <c r="S917" s="3190" t="s">
        <v>4821</v>
      </c>
      <c r="T917" s="3190">
        <v>8</v>
      </c>
      <c r="U917" s="3190">
        <v>-4</v>
      </c>
      <c r="V917" s="3190">
        <v>52.93</v>
      </c>
      <c r="W917" s="3190" t="s">
        <v>4593</v>
      </c>
      <c r="X917" s="3190" t="s">
        <v>4593</v>
      </c>
      <c r="Y917" s="3190">
        <v>3159</v>
      </c>
      <c r="Z917" s="3190">
        <v>16.720199999999998</v>
      </c>
    </row>
    <row r="918" spans="16:26">
      <c r="P918" s="3190">
        <v>737</v>
      </c>
      <c r="Q918" s="3190" t="s">
        <v>4545</v>
      </c>
      <c r="R918" s="3190" t="s">
        <v>4504</v>
      </c>
      <c r="S918" s="3190" t="s">
        <v>4822</v>
      </c>
      <c r="T918" s="3190">
        <v>8</v>
      </c>
      <c r="U918" s="3190">
        <v>-4</v>
      </c>
      <c r="V918" s="3190">
        <v>52.93</v>
      </c>
      <c r="W918" s="3190" t="s">
        <v>4593</v>
      </c>
      <c r="X918" s="3190" t="s">
        <v>4593</v>
      </c>
      <c r="Y918" s="3190">
        <v>3159</v>
      </c>
      <c r="Z918" s="3190">
        <v>16.720199999999998</v>
      </c>
    </row>
    <row r="919" spans="16:26">
      <c r="P919" s="3190">
        <v>738</v>
      </c>
      <c r="Q919" s="3190" t="s">
        <v>4545</v>
      </c>
      <c r="R919" s="3190" t="s">
        <v>4504</v>
      </c>
      <c r="S919" s="3190" t="s">
        <v>4823</v>
      </c>
      <c r="T919" s="3190">
        <v>8</v>
      </c>
      <c r="U919" s="3190">
        <v>-4</v>
      </c>
      <c r="V919" s="3190">
        <v>52.93</v>
      </c>
      <c r="W919" s="3190" t="s">
        <v>4593</v>
      </c>
      <c r="X919" s="3190" t="s">
        <v>4593</v>
      </c>
      <c r="Y919" s="3190">
        <v>3159</v>
      </c>
      <c r="Z919" s="3190">
        <v>16.720199999999998</v>
      </c>
    </row>
    <row r="920" spans="16:26">
      <c r="P920" s="3190">
        <v>739</v>
      </c>
      <c r="Q920" s="3190" t="s">
        <v>4545</v>
      </c>
      <c r="R920" s="3190" t="s">
        <v>4504</v>
      </c>
      <c r="S920" s="3190" t="s">
        <v>4824</v>
      </c>
      <c r="T920" s="3190">
        <v>8</v>
      </c>
      <c r="U920" s="3190">
        <v>-4</v>
      </c>
      <c r="V920" s="3190">
        <v>52.93</v>
      </c>
      <c r="W920" s="3190" t="s">
        <v>4593</v>
      </c>
      <c r="X920" s="3190" t="s">
        <v>4593</v>
      </c>
      <c r="Y920" s="3190">
        <v>3159</v>
      </c>
      <c r="Z920" s="3190">
        <v>16.720199999999998</v>
      </c>
    </row>
    <row r="921" spans="16:26">
      <c r="P921" s="3190">
        <v>740</v>
      </c>
      <c r="Q921" s="3190" t="s">
        <v>4545</v>
      </c>
      <c r="R921" s="3190" t="s">
        <v>4504</v>
      </c>
      <c r="S921" s="3190" t="s">
        <v>4825</v>
      </c>
      <c r="T921" s="3190">
        <v>8</v>
      </c>
      <c r="U921" s="3190">
        <v>-4</v>
      </c>
      <c r="V921" s="3190">
        <v>52.93</v>
      </c>
      <c r="W921" s="3190" t="s">
        <v>4593</v>
      </c>
      <c r="X921" s="3190" t="s">
        <v>4593</v>
      </c>
      <c r="Y921" s="3190">
        <v>3159</v>
      </c>
      <c r="Z921" s="3190">
        <v>16.720199999999998</v>
      </c>
    </row>
    <row r="922" spans="16:26">
      <c r="P922" s="3190">
        <v>741</v>
      </c>
      <c r="Q922" s="3190" t="s">
        <v>4545</v>
      </c>
      <c r="R922" s="3190" t="s">
        <v>4504</v>
      </c>
      <c r="S922" s="3190" t="s">
        <v>4826</v>
      </c>
      <c r="T922" s="3190">
        <v>8</v>
      </c>
      <c r="U922" s="3190">
        <v>-4</v>
      </c>
      <c r="V922" s="3190">
        <v>52.93</v>
      </c>
      <c r="W922" s="3190" t="s">
        <v>4593</v>
      </c>
      <c r="X922" s="3190" t="s">
        <v>4593</v>
      </c>
      <c r="Y922" s="3190">
        <v>3159</v>
      </c>
      <c r="Z922" s="3190">
        <v>16.720199999999998</v>
      </c>
    </row>
    <row r="923" spans="16:26">
      <c r="P923" s="3190">
        <v>742</v>
      </c>
      <c r="Q923" s="3190" t="s">
        <v>4545</v>
      </c>
      <c r="R923" s="3190" t="s">
        <v>4504</v>
      </c>
      <c r="S923" s="3190" t="s">
        <v>4827</v>
      </c>
      <c r="T923" s="3190">
        <v>8</v>
      </c>
      <c r="U923" s="3190">
        <v>-4</v>
      </c>
      <c r="V923" s="3190">
        <v>52.93</v>
      </c>
      <c r="W923" s="3190" t="s">
        <v>4593</v>
      </c>
      <c r="X923" s="3190" t="s">
        <v>4593</v>
      </c>
      <c r="Y923" s="3190">
        <v>3159</v>
      </c>
      <c r="Z923" s="3190">
        <v>16.720199999999998</v>
      </c>
    </row>
    <row r="924" spans="16:26">
      <c r="P924" s="3190">
        <v>743</v>
      </c>
      <c r="Q924" s="3190" t="s">
        <v>4545</v>
      </c>
      <c r="R924" s="3190" t="s">
        <v>4504</v>
      </c>
      <c r="S924" s="3190" t="s">
        <v>4828</v>
      </c>
      <c r="T924" s="3190">
        <v>8</v>
      </c>
      <c r="U924" s="3190">
        <v>-4</v>
      </c>
      <c r="V924" s="3190">
        <v>52.93</v>
      </c>
      <c r="W924" s="3190" t="s">
        <v>4593</v>
      </c>
      <c r="X924" s="3190" t="s">
        <v>4593</v>
      </c>
      <c r="Y924" s="3190">
        <v>3159</v>
      </c>
      <c r="Z924" s="3190">
        <v>16.720199999999998</v>
      </c>
    </row>
    <row r="925" spans="16:26">
      <c r="P925" s="3190">
        <v>744</v>
      </c>
      <c r="Q925" s="3190" t="s">
        <v>4545</v>
      </c>
      <c r="R925" s="3190" t="s">
        <v>4504</v>
      </c>
      <c r="S925" s="3190" t="s">
        <v>4829</v>
      </c>
      <c r="T925" s="3190">
        <v>8</v>
      </c>
      <c r="U925" s="3190">
        <v>-4</v>
      </c>
      <c r="V925" s="3190">
        <v>52.93</v>
      </c>
      <c r="W925" s="3190" t="s">
        <v>4593</v>
      </c>
      <c r="X925" s="3190" t="s">
        <v>4593</v>
      </c>
      <c r="Y925" s="3190">
        <v>3159</v>
      </c>
      <c r="Z925" s="3190">
        <v>16.720199999999998</v>
      </c>
    </row>
    <row r="926" spans="16:26">
      <c r="P926" s="3190">
        <v>745</v>
      </c>
      <c r="Q926" s="3190" t="s">
        <v>4545</v>
      </c>
      <c r="R926" s="3190" t="s">
        <v>4504</v>
      </c>
      <c r="S926" s="3190" t="s">
        <v>4830</v>
      </c>
      <c r="T926" s="3190">
        <v>8</v>
      </c>
      <c r="U926" s="3190">
        <v>-4</v>
      </c>
      <c r="V926" s="3190">
        <v>52.93</v>
      </c>
      <c r="W926" s="3190" t="s">
        <v>4593</v>
      </c>
      <c r="X926" s="3190" t="s">
        <v>4593</v>
      </c>
      <c r="Y926" s="3190">
        <v>3159</v>
      </c>
      <c r="Z926" s="3190">
        <v>16.720199999999998</v>
      </c>
    </row>
    <row r="927" spans="16:26">
      <c r="P927" s="3190">
        <v>746</v>
      </c>
      <c r="Q927" s="3190" t="s">
        <v>4545</v>
      </c>
      <c r="R927" s="3190" t="s">
        <v>4504</v>
      </c>
      <c r="S927" s="3190" t="s">
        <v>4831</v>
      </c>
      <c r="T927" s="3190">
        <v>8</v>
      </c>
      <c r="U927" s="3190">
        <v>-4</v>
      </c>
      <c r="V927" s="3190">
        <v>52.93</v>
      </c>
      <c r="W927" s="3190" t="s">
        <v>4593</v>
      </c>
      <c r="X927" s="3190" t="s">
        <v>4593</v>
      </c>
      <c r="Y927" s="3190">
        <v>3159</v>
      </c>
      <c r="Z927" s="3190">
        <v>16.720199999999998</v>
      </c>
    </row>
    <row r="928" spans="16:26">
      <c r="P928" s="3190">
        <v>747</v>
      </c>
      <c r="Q928" s="3190" t="s">
        <v>4545</v>
      </c>
      <c r="R928" s="3190" t="s">
        <v>4504</v>
      </c>
      <c r="S928" s="3190" t="s">
        <v>4832</v>
      </c>
      <c r="T928" s="3190">
        <v>8</v>
      </c>
      <c r="U928" s="3190">
        <v>-4</v>
      </c>
      <c r="V928" s="3190">
        <v>52.93</v>
      </c>
      <c r="W928" s="3190" t="s">
        <v>4593</v>
      </c>
      <c r="X928" s="3190" t="s">
        <v>4593</v>
      </c>
      <c r="Y928" s="3190">
        <v>3159</v>
      </c>
      <c r="Z928" s="3190">
        <v>16.720199999999998</v>
      </c>
    </row>
    <row r="929" spans="16:26">
      <c r="P929" s="3190">
        <v>748</v>
      </c>
      <c r="Q929" s="3190" t="s">
        <v>4545</v>
      </c>
      <c r="R929" s="3190" t="s">
        <v>4504</v>
      </c>
      <c r="S929" s="3190" t="s">
        <v>4833</v>
      </c>
      <c r="T929" s="3190">
        <v>8</v>
      </c>
      <c r="U929" s="3190">
        <v>-4</v>
      </c>
      <c r="V929" s="3190">
        <v>52.93</v>
      </c>
      <c r="W929" s="3190" t="s">
        <v>4593</v>
      </c>
      <c r="X929" s="3190" t="s">
        <v>4593</v>
      </c>
      <c r="Y929" s="3190">
        <v>3159</v>
      </c>
      <c r="Z929" s="3190">
        <v>16.720199999999998</v>
      </c>
    </row>
    <row r="930" spans="16:26">
      <c r="P930" s="3190">
        <v>749</v>
      </c>
      <c r="Q930" s="3190" t="s">
        <v>4545</v>
      </c>
      <c r="R930" s="3190" t="s">
        <v>4504</v>
      </c>
      <c r="S930" s="3190" t="s">
        <v>4834</v>
      </c>
      <c r="T930" s="3190">
        <v>8</v>
      </c>
      <c r="U930" s="3190">
        <v>-4</v>
      </c>
      <c r="V930" s="3190">
        <v>52.93</v>
      </c>
      <c r="W930" s="3190" t="s">
        <v>4593</v>
      </c>
      <c r="X930" s="3190" t="s">
        <v>4593</v>
      </c>
      <c r="Y930" s="3190">
        <v>3159</v>
      </c>
      <c r="Z930" s="3190">
        <v>16.720199999999998</v>
      </c>
    </row>
    <row r="931" spans="16:26">
      <c r="P931" s="3190">
        <v>750</v>
      </c>
      <c r="Q931" s="3190" t="s">
        <v>4545</v>
      </c>
      <c r="R931" s="3190" t="s">
        <v>4504</v>
      </c>
      <c r="S931" s="3190" t="s">
        <v>4835</v>
      </c>
      <c r="T931" s="3190">
        <v>8</v>
      </c>
      <c r="U931" s="3190">
        <v>-4</v>
      </c>
      <c r="V931" s="3190">
        <v>52.93</v>
      </c>
      <c r="W931" s="3190" t="s">
        <v>4593</v>
      </c>
      <c r="X931" s="3190" t="s">
        <v>4593</v>
      </c>
      <c r="Y931" s="3190">
        <v>3159</v>
      </c>
      <c r="Z931" s="3190">
        <v>16.720199999999998</v>
      </c>
    </row>
    <row r="932" spans="16:26">
      <c r="P932" s="3190" t="s">
        <v>4566</v>
      </c>
      <c r="Q932" s="3190"/>
      <c r="R932" s="3190"/>
      <c r="S932" s="3190"/>
      <c r="T932" s="3190"/>
      <c r="U932" s="3190"/>
      <c r="V932" s="3190">
        <f>SUM(V182:V931)</f>
        <v>96165.289999996472</v>
      </c>
      <c r="W932" s="3190"/>
      <c r="X932" s="3190"/>
      <c r="Y932" s="3190"/>
      <c r="Z932" s="3190">
        <f>ROUND(SUM(Z182:Z931),0)</f>
        <v>100173</v>
      </c>
    </row>
    <row r="933" spans="16:26">
      <c r="P933" s="1422" t="s">
        <v>4836</v>
      </c>
      <c r="Q933" s="3190"/>
      <c r="R933" s="3190"/>
      <c r="S933" s="3190"/>
      <c r="T933" s="3190"/>
      <c r="U933" s="3190"/>
      <c r="V933" s="3190">
        <f>V56+V91+V126+V181+V932</f>
        <v>232700.45999999641</v>
      </c>
      <c r="W933" s="3190"/>
      <c r="X933" s="3190"/>
      <c r="Y933" s="3190"/>
      <c r="Z933" s="3190">
        <f>ROUND(Z56+Z91+Z126+Z181+Z932,0)</f>
        <v>375263</v>
      </c>
    </row>
    <row r="937" spans="16:26">
      <c r="V937" s="2807">
        <f>V932-V182</f>
        <v>39819.019999996475</v>
      </c>
    </row>
  </sheetData>
  <phoneticPr fontId="13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8"/>
  <sheetViews>
    <sheetView workbookViewId="0">
      <selection activeCell="F24" sqref="F24"/>
    </sheetView>
  </sheetViews>
  <sheetFormatPr defaultRowHeight="13.5"/>
  <cols>
    <col min="1" max="16384" width="9" style="2807"/>
  </cols>
  <sheetData>
    <row r="1" spans="1:18" ht="26.25" thickBot="1">
      <c r="A1" s="1414" t="s">
        <v>3383</v>
      </c>
      <c r="J1" s="3187" t="s">
        <v>4456</v>
      </c>
      <c r="K1" s="3188" t="s">
        <v>4515</v>
      </c>
      <c r="L1" s="3188" t="s">
        <v>4507</v>
      </c>
      <c r="M1" s="3189" t="s">
        <v>4508</v>
      </c>
      <c r="N1" s="3189" t="s">
        <v>4509</v>
      </c>
      <c r="O1" s="3189" t="s">
        <v>4510</v>
      </c>
      <c r="P1" s="3189" t="s">
        <v>4511</v>
      </c>
      <c r="Q1" s="3189" t="s">
        <v>4512</v>
      </c>
      <c r="R1" s="3189" t="s">
        <v>4513</v>
      </c>
    </row>
    <row r="2" spans="1:18">
      <c r="A2" s="1414" t="s">
        <v>3382</v>
      </c>
      <c r="B2" s="1414" t="s">
        <v>3380</v>
      </c>
      <c r="C2" s="1414" t="s">
        <v>3381</v>
      </c>
      <c r="J2" s="2807">
        <f>A3</f>
        <v>1</v>
      </c>
      <c r="K2" s="2807" t="str">
        <f>A1</f>
        <v>京(2023)昌不动产权第0051718号</v>
      </c>
      <c r="L2" s="1414" t="s">
        <v>4500</v>
      </c>
      <c r="M2" s="2807">
        <v>501</v>
      </c>
      <c r="N2" s="2807">
        <v>25</v>
      </c>
      <c r="O2" s="2807">
        <v>5</v>
      </c>
      <c r="P2" s="2807">
        <f>C3</f>
        <v>728.32</v>
      </c>
      <c r="Q2" s="1414" t="s">
        <v>4517</v>
      </c>
      <c r="R2" s="1414" t="s">
        <v>4516</v>
      </c>
    </row>
    <row r="3" spans="1:18">
      <c r="A3" s="2807">
        <v>1</v>
      </c>
      <c r="B3" s="2807" t="s">
        <v>4292</v>
      </c>
      <c r="C3" s="2807">
        <v>728.32</v>
      </c>
      <c r="J3" s="2807">
        <f t="shared" ref="J3:J35" si="0">A4</f>
        <v>2</v>
      </c>
      <c r="K3" s="2807" t="s">
        <v>4518</v>
      </c>
      <c r="L3" s="2807" t="s">
        <v>4499</v>
      </c>
      <c r="M3" s="2807">
        <v>502</v>
      </c>
      <c r="N3" s="2807">
        <v>25</v>
      </c>
      <c r="O3" s="2807">
        <v>5</v>
      </c>
      <c r="P3" s="2807">
        <f t="shared" ref="P3:P35" si="1">C4</f>
        <v>773.1</v>
      </c>
      <c r="Q3" s="1414" t="s">
        <v>4517</v>
      </c>
      <c r="R3" s="1414" t="s">
        <v>4516</v>
      </c>
    </row>
    <row r="4" spans="1:18">
      <c r="A4" s="2807">
        <v>2</v>
      </c>
      <c r="B4" s="2807" t="s">
        <v>4293</v>
      </c>
      <c r="C4" s="2807">
        <v>773.1</v>
      </c>
      <c r="J4" s="2807">
        <f t="shared" si="0"/>
        <v>3</v>
      </c>
      <c r="K4" s="2807" t="s">
        <v>4518</v>
      </c>
      <c r="L4" s="2807" t="s">
        <v>4499</v>
      </c>
      <c r="M4" s="2807">
        <v>601</v>
      </c>
      <c r="N4" s="2807">
        <v>25</v>
      </c>
      <c r="O4" s="2807">
        <v>6</v>
      </c>
      <c r="P4" s="2807">
        <f t="shared" si="1"/>
        <v>728.32</v>
      </c>
      <c r="Q4" s="1414" t="s">
        <v>4517</v>
      </c>
      <c r="R4" s="1414" t="s">
        <v>4516</v>
      </c>
    </row>
    <row r="5" spans="1:18">
      <c r="A5" s="2807">
        <v>3</v>
      </c>
      <c r="B5" s="2807" t="s">
        <v>4294</v>
      </c>
      <c r="C5" s="2807">
        <v>728.32</v>
      </c>
      <c r="J5" s="2807">
        <f t="shared" si="0"/>
        <v>4</v>
      </c>
      <c r="K5" s="2807" t="s">
        <v>4518</v>
      </c>
      <c r="L5" s="2807" t="s">
        <v>4499</v>
      </c>
      <c r="M5" s="2807">
        <v>602</v>
      </c>
      <c r="N5" s="2807">
        <v>25</v>
      </c>
      <c r="O5" s="2807">
        <v>6</v>
      </c>
      <c r="P5" s="2807">
        <f t="shared" si="1"/>
        <v>773.1</v>
      </c>
      <c r="Q5" s="1414" t="s">
        <v>4517</v>
      </c>
      <c r="R5" s="1414" t="s">
        <v>4516</v>
      </c>
    </row>
    <row r="6" spans="1:18">
      <c r="A6" s="2807">
        <v>4</v>
      </c>
      <c r="B6" s="2807" t="s">
        <v>4295</v>
      </c>
      <c r="C6" s="2807">
        <v>773.1</v>
      </c>
      <c r="J6" s="2807">
        <f t="shared" si="0"/>
        <v>5</v>
      </c>
      <c r="K6" s="2807" t="s">
        <v>4518</v>
      </c>
      <c r="L6" s="2807" t="s">
        <v>4499</v>
      </c>
      <c r="M6" s="2807">
        <v>701</v>
      </c>
      <c r="N6" s="2807">
        <v>25</v>
      </c>
      <c r="O6" s="2807">
        <v>7</v>
      </c>
      <c r="P6" s="2807">
        <f t="shared" si="1"/>
        <v>728.32</v>
      </c>
      <c r="Q6" s="1414" t="s">
        <v>4517</v>
      </c>
      <c r="R6" s="1414" t="s">
        <v>4516</v>
      </c>
    </row>
    <row r="7" spans="1:18">
      <c r="A7" s="2807">
        <v>5</v>
      </c>
      <c r="B7" s="2807" t="s">
        <v>4296</v>
      </c>
      <c r="C7" s="2807">
        <v>728.32</v>
      </c>
      <c r="J7" s="2807">
        <f t="shared" si="0"/>
        <v>6</v>
      </c>
      <c r="K7" s="2807" t="s">
        <v>4518</v>
      </c>
      <c r="L7" s="2807" t="s">
        <v>4499</v>
      </c>
      <c r="M7" s="2807">
        <v>702</v>
      </c>
      <c r="N7" s="2807">
        <v>25</v>
      </c>
      <c r="O7" s="2807">
        <v>7</v>
      </c>
      <c r="P7" s="2807">
        <f t="shared" si="1"/>
        <v>773.1</v>
      </c>
      <c r="Q7" s="1414" t="s">
        <v>4517</v>
      </c>
      <c r="R7" s="1414" t="s">
        <v>4516</v>
      </c>
    </row>
    <row r="8" spans="1:18">
      <c r="A8" s="2807">
        <v>6</v>
      </c>
      <c r="B8" s="2807" t="s">
        <v>4297</v>
      </c>
      <c r="C8" s="2807">
        <v>773.1</v>
      </c>
      <c r="J8" s="2807">
        <f t="shared" si="0"/>
        <v>7</v>
      </c>
      <c r="K8" s="2807" t="s">
        <v>4518</v>
      </c>
      <c r="L8" s="2807" t="s">
        <v>4499</v>
      </c>
      <c r="M8" s="2807">
        <v>801</v>
      </c>
      <c r="N8" s="2807">
        <v>25</v>
      </c>
      <c r="O8" s="2807">
        <v>8</v>
      </c>
      <c r="P8" s="2807">
        <f t="shared" si="1"/>
        <v>728.32</v>
      </c>
      <c r="Q8" s="1414" t="s">
        <v>4517</v>
      </c>
      <c r="R8" s="1414" t="s">
        <v>4516</v>
      </c>
    </row>
    <row r="9" spans="1:18">
      <c r="A9" s="2807">
        <v>7</v>
      </c>
      <c r="B9" s="2807" t="s">
        <v>4298</v>
      </c>
      <c r="C9" s="2807">
        <v>728.32</v>
      </c>
      <c r="J9" s="2807">
        <f t="shared" si="0"/>
        <v>8</v>
      </c>
      <c r="K9" s="2807" t="s">
        <v>4518</v>
      </c>
      <c r="L9" s="2807" t="s">
        <v>4499</v>
      </c>
      <c r="M9" s="2807">
        <v>802</v>
      </c>
      <c r="N9" s="2807">
        <v>25</v>
      </c>
      <c r="O9" s="2807">
        <v>8</v>
      </c>
      <c r="P9" s="2807">
        <f t="shared" si="1"/>
        <v>773.1</v>
      </c>
      <c r="Q9" s="1414" t="s">
        <v>4517</v>
      </c>
      <c r="R9" s="1414" t="s">
        <v>4516</v>
      </c>
    </row>
    <row r="10" spans="1:18">
      <c r="A10" s="2807">
        <v>8</v>
      </c>
      <c r="B10" s="2807" t="s">
        <v>4299</v>
      </c>
      <c r="C10" s="2807">
        <v>773.1</v>
      </c>
      <c r="J10" s="2807">
        <f t="shared" si="0"/>
        <v>9</v>
      </c>
      <c r="K10" s="2807" t="s">
        <v>4518</v>
      </c>
      <c r="L10" s="2807" t="s">
        <v>4499</v>
      </c>
      <c r="M10" s="2807">
        <v>901</v>
      </c>
      <c r="N10" s="2807">
        <v>25</v>
      </c>
      <c r="O10" s="2807">
        <v>9</v>
      </c>
      <c r="P10" s="2807">
        <f t="shared" si="1"/>
        <v>728.32</v>
      </c>
      <c r="Q10" s="1414" t="s">
        <v>4517</v>
      </c>
      <c r="R10" s="1414" t="s">
        <v>4516</v>
      </c>
    </row>
    <row r="11" spans="1:18">
      <c r="A11" s="2807">
        <v>9</v>
      </c>
      <c r="B11" s="2807" t="s">
        <v>4300</v>
      </c>
      <c r="C11" s="2807">
        <v>728.32</v>
      </c>
      <c r="J11" s="2807">
        <f t="shared" si="0"/>
        <v>10</v>
      </c>
      <c r="K11" s="2807" t="s">
        <v>4518</v>
      </c>
      <c r="L11" s="2807" t="s">
        <v>4499</v>
      </c>
      <c r="M11" s="2807">
        <v>902</v>
      </c>
      <c r="N11" s="2807">
        <v>25</v>
      </c>
      <c r="O11" s="2807">
        <v>9</v>
      </c>
      <c r="P11" s="2807">
        <f t="shared" si="1"/>
        <v>773.1</v>
      </c>
      <c r="Q11" s="1414" t="s">
        <v>4517</v>
      </c>
      <c r="R11" s="1414" t="s">
        <v>4516</v>
      </c>
    </row>
    <row r="12" spans="1:18">
      <c r="A12" s="2807">
        <v>10</v>
      </c>
      <c r="B12" s="2807" t="s">
        <v>4301</v>
      </c>
      <c r="C12" s="2807">
        <v>773.1</v>
      </c>
      <c r="J12" s="2807">
        <f t="shared" si="0"/>
        <v>11</v>
      </c>
      <c r="K12" s="2807" t="s">
        <v>4518</v>
      </c>
      <c r="L12" s="2807" t="s">
        <v>4499</v>
      </c>
      <c r="M12" s="2807" t="str">
        <f t="shared" ref="M12:M38" si="2">RIGHT(B13,4)</f>
        <v>1001</v>
      </c>
      <c r="N12" s="2807">
        <v>25</v>
      </c>
      <c r="O12" s="2807">
        <v>10</v>
      </c>
      <c r="P12" s="2807">
        <f t="shared" si="1"/>
        <v>728.32</v>
      </c>
      <c r="Q12" s="1414" t="s">
        <v>4517</v>
      </c>
      <c r="R12" s="1414" t="s">
        <v>4516</v>
      </c>
    </row>
    <row r="13" spans="1:18">
      <c r="A13" s="2807">
        <v>11</v>
      </c>
      <c r="B13" s="2807" t="s">
        <v>4302</v>
      </c>
      <c r="C13" s="2807">
        <v>728.32</v>
      </c>
      <c r="J13" s="2807">
        <f t="shared" si="0"/>
        <v>12</v>
      </c>
      <c r="K13" s="2807" t="s">
        <v>4518</v>
      </c>
      <c r="L13" s="2807" t="s">
        <v>4499</v>
      </c>
      <c r="M13" s="2807" t="str">
        <f t="shared" si="2"/>
        <v>1002</v>
      </c>
      <c r="N13" s="2807">
        <v>25</v>
      </c>
      <c r="O13" s="2807">
        <v>10</v>
      </c>
      <c r="P13" s="2807">
        <f t="shared" si="1"/>
        <v>773.1</v>
      </c>
      <c r="Q13" s="1414" t="s">
        <v>4517</v>
      </c>
      <c r="R13" s="1414" t="s">
        <v>4516</v>
      </c>
    </row>
    <row r="14" spans="1:18">
      <c r="A14" s="2807">
        <v>12</v>
      </c>
      <c r="B14" s="2807" t="s">
        <v>4303</v>
      </c>
      <c r="C14" s="2807">
        <v>773.1</v>
      </c>
      <c r="J14" s="2807">
        <f t="shared" si="0"/>
        <v>13</v>
      </c>
      <c r="K14" s="2807" t="s">
        <v>4518</v>
      </c>
      <c r="L14" s="2807" t="s">
        <v>4499</v>
      </c>
      <c r="M14" s="2807" t="str">
        <f t="shared" si="2"/>
        <v>1101</v>
      </c>
      <c r="N14" s="2807">
        <v>25</v>
      </c>
      <c r="O14" s="2807">
        <v>11</v>
      </c>
      <c r="P14" s="2807">
        <f t="shared" si="1"/>
        <v>728.32</v>
      </c>
      <c r="Q14" s="1414" t="s">
        <v>4517</v>
      </c>
      <c r="R14" s="1414" t="s">
        <v>4516</v>
      </c>
    </row>
    <row r="15" spans="1:18">
      <c r="A15" s="2807">
        <v>13</v>
      </c>
      <c r="B15" s="2807" t="s">
        <v>4304</v>
      </c>
      <c r="C15" s="2807">
        <v>728.32</v>
      </c>
      <c r="J15" s="2807">
        <f t="shared" si="0"/>
        <v>14</v>
      </c>
      <c r="K15" s="2807" t="s">
        <v>4518</v>
      </c>
      <c r="L15" s="2807" t="s">
        <v>4499</v>
      </c>
      <c r="M15" s="2807" t="str">
        <f t="shared" si="2"/>
        <v>1102</v>
      </c>
      <c r="N15" s="2807">
        <v>25</v>
      </c>
      <c r="O15" s="2807">
        <v>11</v>
      </c>
      <c r="P15" s="2807">
        <f t="shared" si="1"/>
        <v>773.1</v>
      </c>
      <c r="Q15" s="1414" t="s">
        <v>4517</v>
      </c>
      <c r="R15" s="1414" t="s">
        <v>4516</v>
      </c>
    </row>
    <row r="16" spans="1:18">
      <c r="A16" s="2807">
        <v>14</v>
      </c>
      <c r="B16" s="2807" t="s">
        <v>4305</v>
      </c>
      <c r="C16" s="2807">
        <v>773.1</v>
      </c>
      <c r="J16" s="2807">
        <f t="shared" si="0"/>
        <v>15</v>
      </c>
      <c r="K16" s="2807" t="s">
        <v>4518</v>
      </c>
      <c r="L16" s="2807" t="s">
        <v>4499</v>
      </c>
      <c r="M16" s="2807" t="str">
        <f t="shared" si="2"/>
        <v>1201</v>
      </c>
      <c r="N16" s="2807">
        <v>25</v>
      </c>
      <c r="O16" s="2807">
        <v>12</v>
      </c>
      <c r="P16" s="2807">
        <f t="shared" si="1"/>
        <v>728.32</v>
      </c>
      <c r="Q16" s="1414" t="s">
        <v>4517</v>
      </c>
      <c r="R16" s="1414" t="s">
        <v>4516</v>
      </c>
    </row>
    <row r="17" spans="1:18">
      <c r="A17" s="2807">
        <v>15</v>
      </c>
      <c r="B17" s="2807" t="s">
        <v>4306</v>
      </c>
      <c r="C17" s="2807">
        <v>728.32</v>
      </c>
      <c r="J17" s="2807">
        <f t="shared" si="0"/>
        <v>16</v>
      </c>
      <c r="K17" s="2807" t="s">
        <v>4518</v>
      </c>
      <c r="L17" s="2807" t="s">
        <v>4499</v>
      </c>
      <c r="M17" s="2807" t="str">
        <f t="shared" si="2"/>
        <v>1202</v>
      </c>
      <c r="N17" s="2807">
        <v>25</v>
      </c>
      <c r="O17" s="2807">
        <v>12</v>
      </c>
      <c r="P17" s="2807">
        <f t="shared" si="1"/>
        <v>773.1</v>
      </c>
      <c r="Q17" s="1414" t="s">
        <v>4517</v>
      </c>
      <c r="R17" s="1414" t="s">
        <v>4516</v>
      </c>
    </row>
    <row r="18" spans="1:18">
      <c r="A18" s="2807">
        <v>16</v>
      </c>
      <c r="B18" s="2807" t="s">
        <v>4307</v>
      </c>
      <c r="C18" s="2807">
        <v>773.1</v>
      </c>
      <c r="J18" s="2807">
        <f t="shared" si="0"/>
        <v>17</v>
      </c>
      <c r="K18" s="2807" t="s">
        <v>4518</v>
      </c>
      <c r="L18" s="2807" t="s">
        <v>4499</v>
      </c>
      <c r="M18" s="2807" t="str">
        <f t="shared" si="2"/>
        <v>1301</v>
      </c>
      <c r="N18" s="2807">
        <v>25</v>
      </c>
      <c r="O18" s="2807">
        <v>13</v>
      </c>
      <c r="P18" s="2807">
        <f t="shared" si="1"/>
        <v>728.32</v>
      </c>
      <c r="Q18" s="1414" t="s">
        <v>4517</v>
      </c>
      <c r="R18" s="1414" t="s">
        <v>4516</v>
      </c>
    </row>
    <row r="19" spans="1:18">
      <c r="A19" s="2807">
        <v>17</v>
      </c>
      <c r="B19" s="2807" t="s">
        <v>4308</v>
      </c>
      <c r="C19" s="2807">
        <v>728.32</v>
      </c>
      <c r="J19" s="2807">
        <f t="shared" si="0"/>
        <v>18</v>
      </c>
      <c r="K19" s="2807" t="s">
        <v>4518</v>
      </c>
      <c r="L19" s="2807" t="s">
        <v>4499</v>
      </c>
      <c r="M19" s="2807" t="str">
        <f t="shared" si="2"/>
        <v>1302</v>
      </c>
      <c r="N19" s="2807">
        <v>25</v>
      </c>
      <c r="O19" s="2807">
        <v>13</v>
      </c>
      <c r="P19" s="2807">
        <f t="shared" si="1"/>
        <v>773.1</v>
      </c>
      <c r="Q19" s="1414" t="s">
        <v>4517</v>
      </c>
      <c r="R19" s="1414" t="s">
        <v>4516</v>
      </c>
    </row>
    <row r="20" spans="1:18">
      <c r="A20" s="2807">
        <v>18</v>
      </c>
      <c r="B20" s="2807" t="s">
        <v>4309</v>
      </c>
      <c r="C20" s="2807">
        <v>773.1</v>
      </c>
      <c r="J20" s="2807">
        <f t="shared" si="0"/>
        <v>19</v>
      </c>
      <c r="K20" s="2807" t="s">
        <v>4518</v>
      </c>
      <c r="L20" s="2807" t="s">
        <v>4499</v>
      </c>
      <c r="M20" s="2807" t="str">
        <f t="shared" si="2"/>
        <v>1401</v>
      </c>
      <c r="N20" s="2807">
        <v>25</v>
      </c>
      <c r="O20" s="2807">
        <v>14</v>
      </c>
      <c r="P20" s="2807">
        <f t="shared" si="1"/>
        <v>728.32</v>
      </c>
      <c r="Q20" s="1414" t="s">
        <v>4517</v>
      </c>
      <c r="R20" s="1414" t="s">
        <v>4516</v>
      </c>
    </row>
    <row r="21" spans="1:18">
      <c r="A21" s="2807">
        <v>19</v>
      </c>
      <c r="B21" s="2807" t="s">
        <v>4310</v>
      </c>
      <c r="C21" s="2807">
        <v>728.32</v>
      </c>
      <c r="J21" s="2807">
        <f t="shared" si="0"/>
        <v>20</v>
      </c>
      <c r="K21" s="2807" t="s">
        <v>4518</v>
      </c>
      <c r="L21" s="2807" t="s">
        <v>4499</v>
      </c>
      <c r="M21" s="2807" t="str">
        <f t="shared" si="2"/>
        <v>1402</v>
      </c>
      <c r="N21" s="2807">
        <v>25</v>
      </c>
      <c r="O21" s="2807">
        <v>14</v>
      </c>
      <c r="P21" s="2807">
        <f t="shared" si="1"/>
        <v>773.1</v>
      </c>
      <c r="Q21" s="1414" t="s">
        <v>4517</v>
      </c>
      <c r="R21" s="1414" t="s">
        <v>4516</v>
      </c>
    </row>
    <row r="22" spans="1:18">
      <c r="A22" s="2807">
        <v>20</v>
      </c>
      <c r="B22" s="2807" t="s">
        <v>4311</v>
      </c>
      <c r="C22" s="2807">
        <v>773.1</v>
      </c>
      <c r="J22" s="2807">
        <f t="shared" si="0"/>
        <v>21</v>
      </c>
      <c r="K22" s="2807" t="s">
        <v>4518</v>
      </c>
      <c r="L22" s="2807" t="s">
        <v>4499</v>
      </c>
      <c r="M22" s="2807" t="str">
        <f t="shared" si="2"/>
        <v>1501</v>
      </c>
      <c r="N22" s="2807">
        <v>25</v>
      </c>
      <c r="O22" s="2807">
        <v>15</v>
      </c>
      <c r="P22" s="2807">
        <f t="shared" si="1"/>
        <v>728.32</v>
      </c>
      <c r="Q22" s="1414" t="s">
        <v>4517</v>
      </c>
      <c r="R22" s="1414" t="s">
        <v>4516</v>
      </c>
    </row>
    <row r="23" spans="1:18">
      <c r="A23" s="2807">
        <v>21</v>
      </c>
      <c r="B23" s="2807" t="s">
        <v>4312</v>
      </c>
      <c r="C23" s="2807">
        <v>728.32</v>
      </c>
      <c r="J23" s="2807">
        <f t="shared" si="0"/>
        <v>22</v>
      </c>
      <c r="K23" s="2807" t="s">
        <v>4518</v>
      </c>
      <c r="L23" s="2807" t="s">
        <v>4499</v>
      </c>
      <c r="M23" s="2807" t="str">
        <f t="shared" si="2"/>
        <v>1502</v>
      </c>
      <c r="N23" s="2807">
        <v>25</v>
      </c>
      <c r="O23" s="2807">
        <v>15</v>
      </c>
      <c r="P23" s="2807">
        <f t="shared" si="1"/>
        <v>773.1</v>
      </c>
      <c r="Q23" s="1414" t="s">
        <v>4517</v>
      </c>
      <c r="R23" s="1414" t="s">
        <v>4516</v>
      </c>
    </row>
    <row r="24" spans="1:18">
      <c r="A24" s="2807">
        <v>22</v>
      </c>
      <c r="B24" s="2807" t="s">
        <v>4313</v>
      </c>
      <c r="C24" s="2807">
        <v>773.1</v>
      </c>
      <c r="J24" s="2807">
        <f t="shared" si="0"/>
        <v>23</v>
      </c>
      <c r="K24" s="2807" t="s">
        <v>4518</v>
      </c>
      <c r="L24" s="2807" t="s">
        <v>4499</v>
      </c>
      <c r="M24" s="2807" t="str">
        <f t="shared" si="2"/>
        <v>1601</v>
      </c>
      <c r="N24" s="2807">
        <v>25</v>
      </c>
      <c r="O24" s="2807">
        <v>16</v>
      </c>
      <c r="P24" s="2807">
        <f t="shared" si="1"/>
        <v>728.32</v>
      </c>
      <c r="Q24" s="1414" t="s">
        <v>4517</v>
      </c>
      <c r="R24" s="1414" t="s">
        <v>4516</v>
      </c>
    </row>
    <row r="25" spans="1:18">
      <c r="A25" s="2807">
        <v>23</v>
      </c>
      <c r="B25" s="2807" t="s">
        <v>4314</v>
      </c>
      <c r="C25" s="2807">
        <v>728.32</v>
      </c>
      <c r="J25" s="2807">
        <f t="shared" si="0"/>
        <v>24</v>
      </c>
      <c r="K25" s="2807" t="s">
        <v>4518</v>
      </c>
      <c r="L25" s="2807" t="s">
        <v>4499</v>
      </c>
      <c r="M25" s="2807" t="str">
        <f t="shared" si="2"/>
        <v>1602</v>
      </c>
      <c r="N25" s="2807">
        <v>25</v>
      </c>
      <c r="O25" s="2807">
        <v>16</v>
      </c>
      <c r="P25" s="2807">
        <f t="shared" si="1"/>
        <v>773.1</v>
      </c>
      <c r="Q25" s="1414" t="s">
        <v>4517</v>
      </c>
      <c r="R25" s="1414" t="s">
        <v>4516</v>
      </c>
    </row>
    <row r="26" spans="1:18">
      <c r="A26" s="2807">
        <v>24</v>
      </c>
      <c r="B26" s="2807" t="s">
        <v>4315</v>
      </c>
      <c r="C26" s="2807">
        <v>773.1</v>
      </c>
      <c r="J26" s="2807">
        <f t="shared" si="0"/>
        <v>25</v>
      </c>
      <c r="K26" s="2807" t="s">
        <v>4518</v>
      </c>
      <c r="L26" s="2807" t="s">
        <v>4499</v>
      </c>
      <c r="M26" s="2807" t="str">
        <f t="shared" si="2"/>
        <v>1701</v>
      </c>
      <c r="N26" s="2807">
        <v>25</v>
      </c>
      <c r="O26" s="2807">
        <v>17</v>
      </c>
      <c r="P26" s="2807">
        <f t="shared" si="1"/>
        <v>728.32</v>
      </c>
      <c r="Q26" s="1414" t="s">
        <v>4517</v>
      </c>
      <c r="R26" s="1414" t="s">
        <v>4516</v>
      </c>
    </row>
    <row r="27" spans="1:18">
      <c r="A27" s="2807">
        <v>25</v>
      </c>
      <c r="B27" s="2807" t="s">
        <v>4316</v>
      </c>
      <c r="C27" s="2807">
        <v>728.32</v>
      </c>
      <c r="J27" s="2807">
        <f t="shared" si="0"/>
        <v>26</v>
      </c>
      <c r="K27" s="2807" t="s">
        <v>4518</v>
      </c>
      <c r="L27" s="2807" t="s">
        <v>4499</v>
      </c>
      <c r="M27" s="2807" t="str">
        <f t="shared" si="2"/>
        <v>1702</v>
      </c>
      <c r="N27" s="2807">
        <v>25</v>
      </c>
      <c r="O27" s="2807">
        <v>17</v>
      </c>
      <c r="P27" s="2807">
        <f t="shared" si="1"/>
        <v>773.1</v>
      </c>
      <c r="Q27" s="1414" t="s">
        <v>4517</v>
      </c>
      <c r="R27" s="1414" t="s">
        <v>4516</v>
      </c>
    </row>
    <row r="28" spans="1:18">
      <c r="A28" s="2807">
        <v>26</v>
      </c>
      <c r="B28" s="2807" t="s">
        <v>4317</v>
      </c>
      <c r="C28" s="2807">
        <v>773.1</v>
      </c>
      <c r="J28" s="2807">
        <f t="shared" si="0"/>
        <v>27</v>
      </c>
      <c r="K28" s="2807" t="s">
        <v>4518</v>
      </c>
      <c r="L28" s="2807" t="s">
        <v>4499</v>
      </c>
      <c r="M28" s="2807" t="str">
        <f t="shared" si="2"/>
        <v>1801</v>
      </c>
      <c r="N28" s="2807">
        <v>25</v>
      </c>
      <c r="O28" s="2807">
        <v>18</v>
      </c>
      <c r="P28" s="2807">
        <f t="shared" si="1"/>
        <v>728.32</v>
      </c>
      <c r="Q28" s="1414" t="s">
        <v>4517</v>
      </c>
      <c r="R28" s="1414" t="s">
        <v>4516</v>
      </c>
    </row>
    <row r="29" spans="1:18">
      <c r="A29" s="2807">
        <v>27</v>
      </c>
      <c r="B29" s="2807" t="s">
        <v>4318</v>
      </c>
      <c r="C29" s="2807">
        <v>728.32</v>
      </c>
      <c r="J29" s="2807">
        <f t="shared" si="0"/>
        <v>28</v>
      </c>
      <c r="K29" s="2807" t="s">
        <v>4518</v>
      </c>
      <c r="L29" s="2807" t="s">
        <v>4499</v>
      </c>
      <c r="M29" s="2807" t="str">
        <f t="shared" si="2"/>
        <v>1802</v>
      </c>
      <c r="N29" s="2807">
        <v>25</v>
      </c>
      <c r="O29" s="2807">
        <v>18</v>
      </c>
      <c r="P29" s="2807">
        <f t="shared" si="1"/>
        <v>773.1</v>
      </c>
      <c r="Q29" s="1414" t="s">
        <v>4517</v>
      </c>
      <c r="R29" s="1414" t="s">
        <v>4516</v>
      </c>
    </row>
    <row r="30" spans="1:18">
      <c r="A30" s="2807">
        <v>28</v>
      </c>
      <c r="B30" s="2807" t="s">
        <v>4319</v>
      </c>
      <c r="C30" s="2807">
        <v>773.1</v>
      </c>
      <c r="J30" s="2807">
        <f t="shared" si="0"/>
        <v>29</v>
      </c>
      <c r="K30" s="2807" t="s">
        <v>4518</v>
      </c>
      <c r="L30" s="2807" t="s">
        <v>4499</v>
      </c>
      <c r="M30" s="2807" t="str">
        <f t="shared" si="2"/>
        <v>1901</v>
      </c>
      <c r="N30" s="2807">
        <v>25</v>
      </c>
      <c r="O30" s="2807">
        <v>19</v>
      </c>
      <c r="P30" s="2807">
        <f t="shared" si="1"/>
        <v>728.32</v>
      </c>
      <c r="Q30" s="1414" t="s">
        <v>4517</v>
      </c>
      <c r="R30" s="1414" t="s">
        <v>4516</v>
      </c>
    </row>
    <row r="31" spans="1:18">
      <c r="A31" s="2807">
        <v>29</v>
      </c>
      <c r="B31" s="2807" t="s">
        <v>4320</v>
      </c>
      <c r="C31" s="2807">
        <v>728.32</v>
      </c>
      <c r="J31" s="2807">
        <f t="shared" si="0"/>
        <v>30</v>
      </c>
      <c r="K31" s="2807" t="s">
        <v>4518</v>
      </c>
      <c r="L31" s="2807" t="s">
        <v>4499</v>
      </c>
      <c r="M31" s="2807" t="str">
        <f t="shared" si="2"/>
        <v>1902</v>
      </c>
      <c r="N31" s="2807">
        <v>25</v>
      </c>
      <c r="O31" s="2807">
        <v>19</v>
      </c>
      <c r="P31" s="2807">
        <f t="shared" si="1"/>
        <v>773.1</v>
      </c>
      <c r="Q31" s="1414" t="s">
        <v>4517</v>
      </c>
      <c r="R31" s="1414" t="s">
        <v>4516</v>
      </c>
    </row>
    <row r="32" spans="1:18">
      <c r="A32" s="2807">
        <v>30</v>
      </c>
      <c r="B32" s="2807" t="s">
        <v>4321</v>
      </c>
      <c r="C32" s="2807">
        <v>773.1</v>
      </c>
      <c r="J32" s="2807">
        <f t="shared" si="0"/>
        <v>31</v>
      </c>
      <c r="K32" s="2807" t="s">
        <v>4518</v>
      </c>
      <c r="L32" s="2807" t="s">
        <v>4499</v>
      </c>
      <c r="M32" s="2807" t="str">
        <f t="shared" si="2"/>
        <v>2001</v>
      </c>
      <c r="N32" s="2807">
        <v>25</v>
      </c>
      <c r="O32" s="2807">
        <v>20</v>
      </c>
      <c r="P32" s="2807">
        <f t="shared" si="1"/>
        <v>728.32</v>
      </c>
      <c r="Q32" s="1414" t="s">
        <v>4517</v>
      </c>
      <c r="R32" s="1414" t="s">
        <v>4516</v>
      </c>
    </row>
    <row r="33" spans="1:18">
      <c r="A33" s="2807">
        <v>31</v>
      </c>
      <c r="B33" s="2807" t="s">
        <v>4322</v>
      </c>
      <c r="C33" s="2807">
        <v>728.32</v>
      </c>
      <c r="J33" s="2807">
        <f t="shared" si="0"/>
        <v>32</v>
      </c>
      <c r="K33" s="2807" t="s">
        <v>4518</v>
      </c>
      <c r="L33" s="2807" t="s">
        <v>4499</v>
      </c>
      <c r="M33" s="2807" t="str">
        <f t="shared" si="2"/>
        <v>2002</v>
      </c>
      <c r="N33" s="2807">
        <v>25</v>
      </c>
      <c r="O33" s="2807">
        <v>20</v>
      </c>
      <c r="P33" s="2807">
        <f t="shared" si="1"/>
        <v>773.1</v>
      </c>
      <c r="Q33" s="1414" t="s">
        <v>4517</v>
      </c>
      <c r="R33" s="1414" t="s">
        <v>4516</v>
      </c>
    </row>
    <row r="34" spans="1:18">
      <c r="A34" s="2807">
        <v>32</v>
      </c>
      <c r="B34" s="2807" t="s">
        <v>4323</v>
      </c>
      <c r="C34" s="2807">
        <v>773.1</v>
      </c>
      <c r="J34" s="2807">
        <f t="shared" si="0"/>
        <v>33</v>
      </c>
      <c r="K34" s="2807" t="s">
        <v>4518</v>
      </c>
      <c r="L34" s="2807" t="s">
        <v>4499</v>
      </c>
      <c r="M34" s="2807" t="str">
        <f t="shared" si="2"/>
        <v>2101</v>
      </c>
      <c r="N34" s="2807">
        <v>25</v>
      </c>
      <c r="O34" s="2807">
        <v>21</v>
      </c>
      <c r="P34" s="2807">
        <f t="shared" si="1"/>
        <v>728.32</v>
      </c>
      <c r="Q34" s="1414" t="s">
        <v>4517</v>
      </c>
      <c r="R34" s="1414" t="s">
        <v>4516</v>
      </c>
    </row>
    <row r="35" spans="1:18">
      <c r="A35" s="2807">
        <v>33</v>
      </c>
      <c r="B35" s="2807" t="s">
        <v>4324</v>
      </c>
      <c r="C35" s="2807">
        <v>728.32</v>
      </c>
      <c r="J35" s="2807">
        <f t="shared" si="0"/>
        <v>34</v>
      </c>
      <c r="K35" s="2807" t="s">
        <v>4518</v>
      </c>
      <c r="L35" s="2807" t="s">
        <v>4499</v>
      </c>
      <c r="M35" s="2807" t="str">
        <f t="shared" si="2"/>
        <v>2102</v>
      </c>
      <c r="N35" s="2807">
        <v>25</v>
      </c>
      <c r="O35" s="2807">
        <v>21</v>
      </c>
      <c r="P35" s="2807">
        <f t="shared" si="1"/>
        <v>773.1</v>
      </c>
      <c r="Q35" s="1414" t="s">
        <v>4517</v>
      </c>
      <c r="R35" s="1414" t="s">
        <v>4516</v>
      </c>
    </row>
    <row r="36" spans="1:18">
      <c r="A36" s="2807">
        <v>34</v>
      </c>
      <c r="B36" s="2807" t="s">
        <v>4325</v>
      </c>
      <c r="C36" s="2807">
        <v>773.1</v>
      </c>
      <c r="J36" s="1414" t="s">
        <v>4563</v>
      </c>
      <c r="M36" s="2807" t="str">
        <f t="shared" si="2"/>
        <v/>
      </c>
      <c r="P36" s="2807">
        <f>SUM(P2:P35)</f>
        <v>25524.139999999989</v>
      </c>
    </row>
    <row r="37" spans="1:18">
      <c r="C37" s="2807">
        <f>SUM(C3:C36)</f>
        <v>25524.139999999989</v>
      </c>
      <c r="M37" s="2807" t="str">
        <f>RIGHT(B38,4)</f>
        <v/>
      </c>
    </row>
    <row r="38" spans="1:18">
      <c r="M38" s="2807" t="str">
        <f t="shared" si="2"/>
        <v/>
      </c>
    </row>
  </sheetData>
  <phoneticPr fontId="1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7"/>
  <sheetViews>
    <sheetView topLeftCell="C1" workbookViewId="0">
      <selection activeCell="E7" sqref="E7:Q9"/>
    </sheetView>
  </sheetViews>
  <sheetFormatPr defaultRowHeight="13.5"/>
  <cols>
    <col min="1" max="16384" width="9" style="2807"/>
  </cols>
  <sheetData>
    <row r="1" spans="1:18" ht="26.25" thickBot="1">
      <c r="A1" s="1414" t="s">
        <v>3384</v>
      </c>
      <c r="J1" s="3187" t="s">
        <v>4456</v>
      </c>
      <c r="K1" s="3188" t="s">
        <v>4515</v>
      </c>
      <c r="L1" s="3188" t="s">
        <v>4507</v>
      </c>
      <c r="M1" s="3189" t="s">
        <v>4508</v>
      </c>
      <c r="N1" s="3189" t="s">
        <v>4509</v>
      </c>
      <c r="O1" s="3189" t="s">
        <v>4510</v>
      </c>
      <c r="P1" s="3189" t="s">
        <v>4511</v>
      </c>
      <c r="Q1" s="3189" t="s">
        <v>4512</v>
      </c>
      <c r="R1" s="3189" t="s">
        <v>4513</v>
      </c>
    </row>
    <row r="2" spans="1:18">
      <c r="A2" s="1414" t="s">
        <v>3382</v>
      </c>
      <c r="B2" s="1414" t="s">
        <v>3380</v>
      </c>
      <c r="C2" s="1414" t="s">
        <v>3381</v>
      </c>
      <c r="J2" s="2807">
        <f>A3</f>
        <v>1</v>
      </c>
      <c r="K2" s="2807" t="str">
        <f>A1</f>
        <v>京(2023)昌不动产权第0051721号</v>
      </c>
      <c r="L2" s="1414" t="s">
        <v>4502</v>
      </c>
      <c r="M2" s="2807">
        <v>501</v>
      </c>
      <c r="N2" s="2807">
        <v>25</v>
      </c>
      <c r="O2" s="2807">
        <v>5</v>
      </c>
      <c r="P2" s="2807">
        <f>C3</f>
        <v>725.98</v>
      </c>
      <c r="Q2" s="1414" t="s">
        <v>4517</v>
      </c>
      <c r="R2" s="1414" t="s">
        <v>4516</v>
      </c>
    </row>
    <row r="3" spans="1:18">
      <c r="A3" s="2807">
        <v>1</v>
      </c>
      <c r="B3" s="2807" t="s">
        <v>4326</v>
      </c>
      <c r="C3" s="2807">
        <v>725.98</v>
      </c>
      <c r="J3" s="2807">
        <f t="shared" ref="J3:J35" si="0">A4</f>
        <v>2</v>
      </c>
      <c r="K3" s="2807" t="s">
        <v>4519</v>
      </c>
      <c r="L3" s="2807" t="s">
        <v>4501</v>
      </c>
      <c r="M3" s="2807">
        <v>502</v>
      </c>
      <c r="N3" s="2807">
        <v>25</v>
      </c>
      <c r="O3" s="2807">
        <v>5</v>
      </c>
      <c r="P3" s="2807">
        <f t="shared" ref="P3:P35" si="1">C4</f>
        <v>769.63</v>
      </c>
      <c r="Q3" s="1414" t="s">
        <v>4517</v>
      </c>
      <c r="R3" s="1414" t="s">
        <v>4516</v>
      </c>
    </row>
    <row r="4" spans="1:18">
      <c r="A4" s="2807">
        <v>2</v>
      </c>
      <c r="B4" s="2807" t="s">
        <v>4327</v>
      </c>
      <c r="C4" s="2807">
        <v>769.63</v>
      </c>
      <c r="J4" s="2807">
        <f t="shared" si="0"/>
        <v>3</v>
      </c>
      <c r="K4" s="2807" t="s">
        <v>4519</v>
      </c>
      <c r="L4" s="2807" t="s">
        <v>4501</v>
      </c>
      <c r="M4" s="2807">
        <v>601</v>
      </c>
      <c r="N4" s="2807">
        <v>25</v>
      </c>
      <c r="O4" s="2807">
        <v>6</v>
      </c>
      <c r="P4" s="2807">
        <f t="shared" si="1"/>
        <v>725.98</v>
      </c>
      <c r="Q4" s="1414" t="s">
        <v>4517</v>
      </c>
      <c r="R4" s="1414" t="s">
        <v>4516</v>
      </c>
    </row>
    <row r="5" spans="1:18">
      <c r="A5" s="2807">
        <v>3</v>
      </c>
      <c r="B5" s="2807" t="s">
        <v>4328</v>
      </c>
      <c r="C5" s="2807">
        <v>725.98</v>
      </c>
      <c r="J5" s="2807">
        <f t="shared" si="0"/>
        <v>4</v>
      </c>
      <c r="K5" s="2807" t="s">
        <v>4519</v>
      </c>
      <c r="L5" s="2807" t="s">
        <v>4501</v>
      </c>
      <c r="M5" s="2807">
        <v>602</v>
      </c>
      <c r="N5" s="2807">
        <v>25</v>
      </c>
      <c r="O5" s="2807">
        <v>6</v>
      </c>
      <c r="P5" s="2807">
        <f t="shared" si="1"/>
        <v>769.63</v>
      </c>
      <c r="Q5" s="1414" t="s">
        <v>4517</v>
      </c>
      <c r="R5" s="1414" t="s">
        <v>4516</v>
      </c>
    </row>
    <row r="6" spans="1:18">
      <c r="A6" s="2807">
        <v>4</v>
      </c>
      <c r="B6" s="2807" t="s">
        <v>4329</v>
      </c>
      <c r="C6" s="2807">
        <v>769.63</v>
      </c>
      <c r="J6" s="2807">
        <f t="shared" si="0"/>
        <v>5</v>
      </c>
      <c r="K6" s="2807" t="s">
        <v>4519</v>
      </c>
      <c r="L6" s="2807" t="s">
        <v>4501</v>
      </c>
      <c r="M6" s="2807">
        <v>701</v>
      </c>
      <c r="N6" s="2807">
        <v>25</v>
      </c>
      <c r="O6" s="2807">
        <v>7</v>
      </c>
      <c r="P6" s="2807">
        <f t="shared" si="1"/>
        <v>725.98</v>
      </c>
      <c r="Q6" s="1414" t="s">
        <v>4517</v>
      </c>
      <c r="R6" s="1414" t="s">
        <v>4516</v>
      </c>
    </row>
    <row r="7" spans="1:18">
      <c r="A7" s="2807">
        <v>5</v>
      </c>
      <c r="B7" s="2807" t="s">
        <v>4330</v>
      </c>
      <c r="C7" s="2807">
        <v>725.98</v>
      </c>
      <c r="J7" s="2807">
        <f t="shared" si="0"/>
        <v>6</v>
      </c>
      <c r="K7" s="2807" t="s">
        <v>4519</v>
      </c>
      <c r="L7" s="2807" t="s">
        <v>4501</v>
      </c>
      <c r="M7" s="2807">
        <v>702</v>
      </c>
      <c r="N7" s="2807">
        <v>25</v>
      </c>
      <c r="O7" s="2807">
        <v>7</v>
      </c>
      <c r="P7" s="2807">
        <f t="shared" si="1"/>
        <v>769.63</v>
      </c>
      <c r="Q7" s="1414" t="s">
        <v>4517</v>
      </c>
      <c r="R7" s="1414" t="s">
        <v>4516</v>
      </c>
    </row>
    <row r="8" spans="1:18">
      <c r="A8" s="2807">
        <v>6</v>
      </c>
      <c r="B8" s="2807" t="s">
        <v>4331</v>
      </c>
      <c r="C8" s="2807">
        <v>769.63</v>
      </c>
      <c r="J8" s="2807">
        <f t="shared" si="0"/>
        <v>7</v>
      </c>
      <c r="K8" s="2807" t="s">
        <v>4519</v>
      </c>
      <c r="L8" s="2807" t="s">
        <v>4501</v>
      </c>
      <c r="M8" s="2807">
        <v>801</v>
      </c>
      <c r="N8" s="2807">
        <v>25</v>
      </c>
      <c r="O8" s="2807">
        <v>8</v>
      </c>
      <c r="P8" s="2807">
        <f t="shared" si="1"/>
        <v>725.98</v>
      </c>
      <c r="Q8" s="1414" t="s">
        <v>4517</v>
      </c>
      <c r="R8" s="1414" t="s">
        <v>4516</v>
      </c>
    </row>
    <row r="9" spans="1:18">
      <c r="A9" s="2807">
        <v>7</v>
      </c>
      <c r="B9" s="2807" t="s">
        <v>4332</v>
      </c>
      <c r="C9" s="2807">
        <v>725.98</v>
      </c>
      <c r="J9" s="2807">
        <f t="shared" si="0"/>
        <v>8</v>
      </c>
      <c r="K9" s="2807" t="s">
        <v>4519</v>
      </c>
      <c r="L9" s="2807" t="s">
        <v>4501</v>
      </c>
      <c r="M9" s="2807">
        <v>802</v>
      </c>
      <c r="N9" s="2807">
        <v>25</v>
      </c>
      <c r="O9" s="2807">
        <v>8</v>
      </c>
      <c r="P9" s="2807">
        <f t="shared" si="1"/>
        <v>769.63</v>
      </c>
      <c r="Q9" s="1414" t="s">
        <v>4517</v>
      </c>
      <c r="R9" s="1414" t="s">
        <v>4516</v>
      </c>
    </row>
    <row r="10" spans="1:18">
      <c r="A10" s="2807">
        <v>8</v>
      </c>
      <c r="B10" s="2807" t="s">
        <v>4333</v>
      </c>
      <c r="C10" s="2807">
        <v>769.63</v>
      </c>
      <c r="J10" s="2807">
        <f t="shared" si="0"/>
        <v>9</v>
      </c>
      <c r="K10" s="2807" t="s">
        <v>4519</v>
      </c>
      <c r="L10" s="2807" t="s">
        <v>4501</v>
      </c>
      <c r="M10" s="2807">
        <v>901</v>
      </c>
      <c r="N10" s="2807">
        <v>25</v>
      </c>
      <c r="O10" s="2807">
        <v>9</v>
      </c>
      <c r="P10" s="2807">
        <f t="shared" si="1"/>
        <v>725.98</v>
      </c>
      <c r="Q10" s="1414" t="s">
        <v>4517</v>
      </c>
      <c r="R10" s="1414" t="s">
        <v>4516</v>
      </c>
    </row>
    <row r="11" spans="1:18">
      <c r="A11" s="2807">
        <v>9</v>
      </c>
      <c r="B11" s="2807" t="s">
        <v>4334</v>
      </c>
      <c r="C11" s="2807">
        <v>725.98</v>
      </c>
      <c r="J11" s="2807">
        <f t="shared" si="0"/>
        <v>10</v>
      </c>
      <c r="K11" s="2807" t="s">
        <v>4519</v>
      </c>
      <c r="L11" s="2807" t="s">
        <v>4501</v>
      </c>
      <c r="M11" s="2807">
        <v>902</v>
      </c>
      <c r="N11" s="2807">
        <v>25</v>
      </c>
      <c r="O11" s="2807">
        <v>9</v>
      </c>
      <c r="P11" s="2807">
        <f t="shared" si="1"/>
        <v>769.63</v>
      </c>
      <c r="Q11" s="1414" t="s">
        <v>4517</v>
      </c>
      <c r="R11" s="1414" t="s">
        <v>4516</v>
      </c>
    </row>
    <row r="12" spans="1:18">
      <c r="A12" s="2807">
        <v>10</v>
      </c>
      <c r="B12" s="2807" t="s">
        <v>4335</v>
      </c>
      <c r="C12" s="2807">
        <v>769.63</v>
      </c>
      <c r="J12" s="2807">
        <f t="shared" si="0"/>
        <v>11</v>
      </c>
      <c r="K12" s="2807" t="s">
        <v>4519</v>
      </c>
      <c r="L12" s="2807" t="s">
        <v>4501</v>
      </c>
      <c r="M12" s="2807" t="s">
        <v>4520</v>
      </c>
      <c r="N12" s="2807">
        <v>25</v>
      </c>
      <c r="O12" s="2807">
        <v>10</v>
      </c>
      <c r="P12" s="2807">
        <f t="shared" si="1"/>
        <v>725.98</v>
      </c>
      <c r="Q12" s="1414" t="s">
        <v>4517</v>
      </c>
      <c r="R12" s="1414" t="s">
        <v>4516</v>
      </c>
    </row>
    <row r="13" spans="1:18">
      <c r="A13" s="2807">
        <v>11</v>
      </c>
      <c r="B13" s="2807" t="s">
        <v>4336</v>
      </c>
      <c r="C13" s="2807">
        <v>725.98</v>
      </c>
      <c r="J13" s="2807">
        <f t="shared" si="0"/>
        <v>12</v>
      </c>
      <c r="K13" s="2807" t="s">
        <v>4519</v>
      </c>
      <c r="L13" s="2807" t="s">
        <v>4501</v>
      </c>
      <c r="M13" s="2807" t="s">
        <v>4521</v>
      </c>
      <c r="N13" s="2807">
        <v>25</v>
      </c>
      <c r="O13" s="2807">
        <v>10</v>
      </c>
      <c r="P13" s="2807">
        <f t="shared" si="1"/>
        <v>769.63</v>
      </c>
      <c r="Q13" s="1414" t="s">
        <v>4517</v>
      </c>
      <c r="R13" s="1414" t="s">
        <v>4516</v>
      </c>
    </row>
    <row r="14" spans="1:18">
      <c r="A14" s="2807">
        <v>12</v>
      </c>
      <c r="B14" s="2807" t="s">
        <v>4337</v>
      </c>
      <c r="C14" s="2807">
        <v>769.63</v>
      </c>
      <c r="J14" s="2807">
        <f t="shared" si="0"/>
        <v>13</v>
      </c>
      <c r="K14" s="2807" t="s">
        <v>4519</v>
      </c>
      <c r="L14" s="2807" t="s">
        <v>4501</v>
      </c>
      <c r="M14" s="2807" t="s">
        <v>4522</v>
      </c>
      <c r="N14" s="2807">
        <v>25</v>
      </c>
      <c r="O14" s="2807">
        <v>11</v>
      </c>
      <c r="P14" s="2807">
        <f t="shared" si="1"/>
        <v>725.98</v>
      </c>
      <c r="Q14" s="1414" t="s">
        <v>4517</v>
      </c>
      <c r="R14" s="1414" t="s">
        <v>4516</v>
      </c>
    </row>
    <row r="15" spans="1:18">
      <c r="A15" s="2807">
        <v>13</v>
      </c>
      <c r="B15" s="2807" t="s">
        <v>4338</v>
      </c>
      <c r="C15" s="2807">
        <v>725.98</v>
      </c>
      <c r="J15" s="2807">
        <f t="shared" si="0"/>
        <v>14</v>
      </c>
      <c r="K15" s="2807" t="s">
        <v>4519</v>
      </c>
      <c r="L15" s="2807" t="s">
        <v>4501</v>
      </c>
      <c r="M15" s="2807" t="s">
        <v>4523</v>
      </c>
      <c r="N15" s="2807">
        <v>25</v>
      </c>
      <c r="O15" s="2807">
        <v>11</v>
      </c>
      <c r="P15" s="2807">
        <f t="shared" si="1"/>
        <v>769.63</v>
      </c>
      <c r="Q15" s="1414" t="s">
        <v>4517</v>
      </c>
      <c r="R15" s="1414" t="s">
        <v>4516</v>
      </c>
    </row>
    <row r="16" spans="1:18">
      <c r="A16" s="2807">
        <v>14</v>
      </c>
      <c r="B16" s="2807" t="s">
        <v>4339</v>
      </c>
      <c r="C16" s="2807">
        <v>769.63</v>
      </c>
      <c r="J16" s="2807">
        <f t="shared" si="0"/>
        <v>15</v>
      </c>
      <c r="K16" s="2807" t="s">
        <v>4519</v>
      </c>
      <c r="L16" s="2807" t="s">
        <v>4501</v>
      </c>
      <c r="M16" s="2807" t="s">
        <v>4524</v>
      </c>
      <c r="N16" s="2807">
        <v>25</v>
      </c>
      <c r="O16" s="2807">
        <v>12</v>
      </c>
      <c r="P16" s="2807">
        <f t="shared" si="1"/>
        <v>725.98</v>
      </c>
      <c r="Q16" s="1414" t="s">
        <v>4517</v>
      </c>
      <c r="R16" s="1414" t="s">
        <v>4516</v>
      </c>
    </row>
    <row r="17" spans="1:18">
      <c r="A17" s="2807">
        <v>15</v>
      </c>
      <c r="B17" s="2807" t="s">
        <v>4340</v>
      </c>
      <c r="C17" s="2807">
        <v>725.98</v>
      </c>
      <c r="J17" s="2807">
        <f t="shared" si="0"/>
        <v>16</v>
      </c>
      <c r="K17" s="2807" t="s">
        <v>4519</v>
      </c>
      <c r="L17" s="2807" t="s">
        <v>4501</v>
      </c>
      <c r="M17" s="2807" t="s">
        <v>4525</v>
      </c>
      <c r="N17" s="2807">
        <v>25</v>
      </c>
      <c r="O17" s="2807">
        <v>12</v>
      </c>
      <c r="P17" s="2807">
        <f t="shared" si="1"/>
        <v>769.63</v>
      </c>
      <c r="Q17" s="1414" t="s">
        <v>4517</v>
      </c>
      <c r="R17" s="1414" t="s">
        <v>4516</v>
      </c>
    </row>
    <row r="18" spans="1:18">
      <c r="A18" s="2807">
        <v>16</v>
      </c>
      <c r="B18" s="2807" t="s">
        <v>4341</v>
      </c>
      <c r="C18" s="2807">
        <v>769.63</v>
      </c>
      <c r="J18" s="2807">
        <f t="shared" si="0"/>
        <v>17</v>
      </c>
      <c r="K18" s="2807" t="s">
        <v>4519</v>
      </c>
      <c r="L18" s="2807" t="s">
        <v>4501</v>
      </c>
      <c r="M18" s="2807" t="s">
        <v>4526</v>
      </c>
      <c r="N18" s="2807">
        <v>25</v>
      </c>
      <c r="O18" s="2807">
        <v>13</v>
      </c>
      <c r="P18" s="2807">
        <f t="shared" si="1"/>
        <v>725.98</v>
      </c>
      <c r="Q18" s="1414" t="s">
        <v>4517</v>
      </c>
      <c r="R18" s="1414" t="s">
        <v>4516</v>
      </c>
    </row>
    <row r="19" spans="1:18">
      <c r="A19" s="2807">
        <v>17</v>
      </c>
      <c r="B19" s="2807" t="s">
        <v>4342</v>
      </c>
      <c r="C19" s="2807">
        <v>725.98</v>
      </c>
      <c r="J19" s="2807">
        <f t="shared" si="0"/>
        <v>18</v>
      </c>
      <c r="K19" s="2807" t="s">
        <v>4519</v>
      </c>
      <c r="L19" s="2807" t="s">
        <v>4501</v>
      </c>
      <c r="M19" s="2807" t="s">
        <v>4527</v>
      </c>
      <c r="N19" s="2807">
        <v>25</v>
      </c>
      <c r="O19" s="2807">
        <v>13</v>
      </c>
      <c r="P19" s="2807">
        <f t="shared" si="1"/>
        <v>769.63</v>
      </c>
      <c r="Q19" s="1414" t="s">
        <v>4517</v>
      </c>
      <c r="R19" s="1414" t="s">
        <v>4516</v>
      </c>
    </row>
    <row r="20" spans="1:18">
      <c r="A20" s="2807">
        <v>18</v>
      </c>
      <c r="B20" s="2807" t="s">
        <v>4343</v>
      </c>
      <c r="C20" s="2807">
        <v>769.63</v>
      </c>
      <c r="J20" s="2807">
        <f t="shared" si="0"/>
        <v>19</v>
      </c>
      <c r="K20" s="2807" t="s">
        <v>4519</v>
      </c>
      <c r="L20" s="2807" t="s">
        <v>4501</v>
      </c>
      <c r="M20" s="2807" t="s">
        <v>4528</v>
      </c>
      <c r="N20" s="2807">
        <v>25</v>
      </c>
      <c r="O20" s="2807">
        <v>14</v>
      </c>
      <c r="P20" s="2807">
        <f t="shared" si="1"/>
        <v>725.98</v>
      </c>
      <c r="Q20" s="1414" t="s">
        <v>4517</v>
      </c>
      <c r="R20" s="1414" t="s">
        <v>4516</v>
      </c>
    </row>
    <row r="21" spans="1:18">
      <c r="A21" s="2807">
        <v>19</v>
      </c>
      <c r="B21" s="2807" t="s">
        <v>4344</v>
      </c>
      <c r="C21" s="2807">
        <v>725.98</v>
      </c>
      <c r="J21" s="2807">
        <f t="shared" si="0"/>
        <v>20</v>
      </c>
      <c r="K21" s="2807" t="s">
        <v>4519</v>
      </c>
      <c r="L21" s="2807" t="s">
        <v>4501</v>
      </c>
      <c r="M21" s="2807" t="s">
        <v>4529</v>
      </c>
      <c r="N21" s="2807">
        <v>25</v>
      </c>
      <c r="O21" s="2807">
        <v>14</v>
      </c>
      <c r="P21" s="2807">
        <f t="shared" si="1"/>
        <v>769.63</v>
      </c>
      <c r="Q21" s="1414" t="s">
        <v>4517</v>
      </c>
      <c r="R21" s="1414" t="s">
        <v>4516</v>
      </c>
    </row>
    <row r="22" spans="1:18">
      <c r="A22" s="2807">
        <v>20</v>
      </c>
      <c r="B22" s="2807" t="s">
        <v>4345</v>
      </c>
      <c r="C22" s="2807">
        <v>769.63</v>
      </c>
      <c r="J22" s="2807">
        <f t="shared" si="0"/>
        <v>21</v>
      </c>
      <c r="K22" s="2807" t="s">
        <v>4519</v>
      </c>
      <c r="L22" s="2807" t="s">
        <v>4501</v>
      </c>
      <c r="M22" s="2807" t="s">
        <v>4530</v>
      </c>
      <c r="N22" s="2807">
        <v>25</v>
      </c>
      <c r="O22" s="2807">
        <v>15</v>
      </c>
      <c r="P22" s="2807">
        <f t="shared" si="1"/>
        <v>725.98</v>
      </c>
      <c r="Q22" s="1414" t="s">
        <v>4517</v>
      </c>
      <c r="R22" s="1414" t="s">
        <v>4516</v>
      </c>
    </row>
    <row r="23" spans="1:18">
      <c r="A23" s="2807">
        <v>21</v>
      </c>
      <c r="B23" s="2807" t="s">
        <v>4346</v>
      </c>
      <c r="C23" s="2807">
        <v>725.98</v>
      </c>
      <c r="J23" s="2807">
        <f t="shared" si="0"/>
        <v>22</v>
      </c>
      <c r="K23" s="2807" t="s">
        <v>4519</v>
      </c>
      <c r="L23" s="2807" t="s">
        <v>4501</v>
      </c>
      <c r="M23" s="2807" t="s">
        <v>4531</v>
      </c>
      <c r="N23" s="2807">
        <v>25</v>
      </c>
      <c r="O23" s="2807">
        <v>15</v>
      </c>
      <c r="P23" s="2807">
        <f t="shared" si="1"/>
        <v>769.63</v>
      </c>
      <c r="Q23" s="1414" t="s">
        <v>4517</v>
      </c>
      <c r="R23" s="1414" t="s">
        <v>4516</v>
      </c>
    </row>
    <row r="24" spans="1:18">
      <c r="A24" s="2807">
        <v>22</v>
      </c>
      <c r="B24" s="2807" t="s">
        <v>4347</v>
      </c>
      <c r="C24" s="2807">
        <v>769.63</v>
      </c>
      <c r="J24" s="2807">
        <f t="shared" si="0"/>
        <v>23</v>
      </c>
      <c r="K24" s="2807" t="s">
        <v>4519</v>
      </c>
      <c r="L24" s="2807" t="s">
        <v>4501</v>
      </c>
      <c r="M24" s="2807" t="s">
        <v>4532</v>
      </c>
      <c r="N24" s="2807">
        <v>25</v>
      </c>
      <c r="O24" s="2807">
        <v>16</v>
      </c>
      <c r="P24" s="2807">
        <f t="shared" si="1"/>
        <v>725.98</v>
      </c>
      <c r="Q24" s="1414" t="s">
        <v>4517</v>
      </c>
      <c r="R24" s="1414" t="s">
        <v>4516</v>
      </c>
    </row>
    <row r="25" spans="1:18">
      <c r="A25" s="2807">
        <v>23</v>
      </c>
      <c r="B25" s="2807" t="s">
        <v>4348</v>
      </c>
      <c r="C25" s="2807">
        <v>725.98</v>
      </c>
      <c r="J25" s="2807">
        <f t="shared" si="0"/>
        <v>24</v>
      </c>
      <c r="K25" s="2807" t="s">
        <v>4519</v>
      </c>
      <c r="L25" s="2807" t="s">
        <v>4501</v>
      </c>
      <c r="M25" s="2807" t="s">
        <v>4533</v>
      </c>
      <c r="N25" s="2807">
        <v>25</v>
      </c>
      <c r="O25" s="2807">
        <v>16</v>
      </c>
      <c r="P25" s="2807">
        <f t="shared" si="1"/>
        <v>769.63</v>
      </c>
      <c r="Q25" s="1414" t="s">
        <v>4517</v>
      </c>
      <c r="R25" s="1414" t="s">
        <v>4516</v>
      </c>
    </row>
    <row r="26" spans="1:18">
      <c r="A26" s="2807">
        <v>24</v>
      </c>
      <c r="B26" s="2807" t="s">
        <v>4349</v>
      </c>
      <c r="C26" s="2807">
        <v>769.63</v>
      </c>
      <c r="J26" s="2807">
        <f t="shared" si="0"/>
        <v>25</v>
      </c>
      <c r="K26" s="2807" t="s">
        <v>4519</v>
      </c>
      <c r="L26" s="2807" t="s">
        <v>4501</v>
      </c>
      <c r="M26" s="2807" t="s">
        <v>4534</v>
      </c>
      <c r="N26" s="2807">
        <v>25</v>
      </c>
      <c r="O26" s="2807">
        <v>17</v>
      </c>
      <c r="P26" s="2807">
        <f t="shared" si="1"/>
        <v>725.98</v>
      </c>
      <c r="Q26" s="1414" t="s">
        <v>4517</v>
      </c>
      <c r="R26" s="1414" t="s">
        <v>4516</v>
      </c>
    </row>
    <row r="27" spans="1:18">
      <c r="A27" s="2807">
        <v>25</v>
      </c>
      <c r="B27" s="2807" t="s">
        <v>4350</v>
      </c>
      <c r="C27" s="2807">
        <v>725.98</v>
      </c>
      <c r="J27" s="2807">
        <f t="shared" si="0"/>
        <v>26</v>
      </c>
      <c r="K27" s="2807" t="s">
        <v>4519</v>
      </c>
      <c r="L27" s="2807" t="s">
        <v>4501</v>
      </c>
      <c r="M27" s="2807" t="s">
        <v>4535</v>
      </c>
      <c r="N27" s="2807">
        <v>25</v>
      </c>
      <c r="O27" s="2807">
        <v>17</v>
      </c>
      <c r="P27" s="2807">
        <f t="shared" si="1"/>
        <v>769.63</v>
      </c>
      <c r="Q27" s="1414" t="s">
        <v>4517</v>
      </c>
      <c r="R27" s="1414" t="s">
        <v>4516</v>
      </c>
    </row>
    <row r="28" spans="1:18">
      <c r="A28" s="2807">
        <v>26</v>
      </c>
      <c r="B28" s="2807" t="s">
        <v>4351</v>
      </c>
      <c r="C28" s="2807">
        <v>769.63</v>
      </c>
      <c r="J28" s="2807">
        <f t="shared" si="0"/>
        <v>27</v>
      </c>
      <c r="K28" s="2807" t="s">
        <v>4519</v>
      </c>
      <c r="L28" s="2807" t="s">
        <v>4501</v>
      </c>
      <c r="M28" s="2807" t="s">
        <v>4536</v>
      </c>
      <c r="N28" s="2807">
        <v>25</v>
      </c>
      <c r="O28" s="2807">
        <v>18</v>
      </c>
      <c r="P28" s="2807">
        <f t="shared" si="1"/>
        <v>725.98</v>
      </c>
      <c r="Q28" s="1414" t="s">
        <v>4517</v>
      </c>
      <c r="R28" s="1414" t="s">
        <v>4516</v>
      </c>
    </row>
    <row r="29" spans="1:18">
      <c r="A29" s="2807">
        <v>27</v>
      </c>
      <c r="B29" s="2807" t="s">
        <v>4352</v>
      </c>
      <c r="C29" s="2807">
        <v>725.98</v>
      </c>
      <c r="J29" s="2807">
        <f t="shared" si="0"/>
        <v>28</v>
      </c>
      <c r="K29" s="2807" t="s">
        <v>4519</v>
      </c>
      <c r="L29" s="2807" t="s">
        <v>4501</v>
      </c>
      <c r="M29" s="2807" t="s">
        <v>4537</v>
      </c>
      <c r="N29" s="2807">
        <v>25</v>
      </c>
      <c r="O29" s="2807">
        <v>18</v>
      </c>
      <c r="P29" s="2807">
        <f t="shared" si="1"/>
        <v>769.63</v>
      </c>
      <c r="Q29" s="1414" t="s">
        <v>4517</v>
      </c>
      <c r="R29" s="1414" t="s">
        <v>4516</v>
      </c>
    </row>
    <row r="30" spans="1:18">
      <c r="A30" s="2807">
        <v>28</v>
      </c>
      <c r="B30" s="2807" t="s">
        <v>4353</v>
      </c>
      <c r="C30" s="2807">
        <v>769.63</v>
      </c>
      <c r="J30" s="2807">
        <f t="shared" si="0"/>
        <v>29</v>
      </c>
      <c r="K30" s="2807" t="s">
        <v>4519</v>
      </c>
      <c r="L30" s="2807" t="s">
        <v>4501</v>
      </c>
      <c r="M30" s="2807" t="s">
        <v>4538</v>
      </c>
      <c r="N30" s="2807">
        <v>25</v>
      </c>
      <c r="O30" s="2807">
        <v>19</v>
      </c>
      <c r="P30" s="2807">
        <f t="shared" si="1"/>
        <v>725.98</v>
      </c>
      <c r="Q30" s="1414" t="s">
        <v>4517</v>
      </c>
      <c r="R30" s="1414" t="s">
        <v>4516</v>
      </c>
    </row>
    <row r="31" spans="1:18">
      <c r="A31" s="2807">
        <v>29</v>
      </c>
      <c r="B31" s="2807" t="s">
        <v>4354</v>
      </c>
      <c r="C31" s="2807">
        <v>725.98</v>
      </c>
      <c r="J31" s="2807">
        <f t="shared" si="0"/>
        <v>30</v>
      </c>
      <c r="K31" s="2807" t="s">
        <v>4519</v>
      </c>
      <c r="L31" s="2807" t="s">
        <v>4501</v>
      </c>
      <c r="M31" s="2807" t="s">
        <v>4539</v>
      </c>
      <c r="N31" s="2807">
        <v>25</v>
      </c>
      <c r="O31" s="2807">
        <v>19</v>
      </c>
      <c r="P31" s="2807">
        <f t="shared" si="1"/>
        <v>769.63</v>
      </c>
      <c r="Q31" s="1414" t="s">
        <v>4517</v>
      </c>
      <c r="R31" s="1414" t="s">
        <v>4516</v>
      </c>
    </row>
    <row r="32" spans="1:18">
      <c r="A32" s="2807">
        <v>30</v>
      </c>
      <c r="B32" s="2807" t="s">
        <v>4355</v>
      </c>
      <c r="C32" s="2807">
        <v>769.63</v>
      </c>
      <c r="J32" s="2807">
        <f t="shared" si="0"/>
        <v>31</v>
      </c>
      <c r="K32" s="2807" t="s">
        <v>4519</v>
      </c>
      <c r="L32" s="2807" t="s">
        <v>4501</v>
      </c>
      <c r="M32" s="2807" t="s">
        <v>4540</v>
      </c>
      <c r="N32" s="2807">
        <v>25</v>
      </c>
      <c r="O32" s="2807">
        <v>20</v>
      </c>
      <c r="P32" s="2807">
        <f t="shared" si="1"/>
        <v>725.98</v>
      </c>
      <c r="Q32" s="1414" t="s">
        <v>4517</v>
      </c>
      <c r="R32" s="1414" t="s">
        <v>4516</v>
      </c>
    </row>
    <row r="33" spans="1:18">
      <c r="A33" s="2807">
        <v>31</v>
      </c>
      <c r="B33" s="2807" t="s">
        <v>4356</v>
      </c>
      <c r="C33" s="2807">
        <v>725.98</v>
      </c>
      <c r="J33" s="2807">
        <f t="shared" si="0"/>
        <v>32</v>
      </c>
      <c r="K33" s="2807" t="s">
        <v>4519</v>
      </c>
      <c r="L33" s="2807" t="s">
        <v>4501</v>
      </c>
      <c r="M33" s="2807" t="s">
        <v>4541</v>
      </c>
      <c r="N33" s="2807">
        <v>25</v>
      </c>
      <c r="O33" s="2807">
        <v>20</v>
      </c>
      <c r="P33" s="2807">
        <f t="shared" si="1"/>
        <v>769.63</v>
      </c>
      <c r="Q33" s="1414" t="s">
        <v>4517</v>
      </c>
      <c r="R33" s="1414" t="s">
        <v>4516</v>
      </c>
    </row>
    <row r="34" spans="1:18">
      <c r="A34" s="2807">
        <v>32</v>
      </c>
      <c r="B34" s="2807" t="s">
        <v>4357</v>
      </c>
      <c r="C34" s="2807">
        <v>769.63</v>
      </c>
      <c r="J34" s="2807">
        <f t="shared" si="0"/>
        <v>33</v>
      </c>
      <c r="K34" s="2807" t="s">
        <v>4519</v>
      </c>
      <c r="L34" s="2807" t="s">
        <v>4501</v>
      </c>
      <c r="M34" s="2807" t="s">
        <v>4542</v>
      </c>
      <c r="N34" s="2807">
        <v>25</v>
      </c>
      <c r="O34" s="2807">
        <v>21</v>
      </c>
      <c r="P34" s="2807">
        <f t="shared" si="1"/>
        <v>725.98</v>
      </c>
      <c r="Q34" s="1414" t="s">
        <v>4517</v>
      </c>
      <c r="R34" s="1414" t="s">
        <v>4516</v>
      </c>
    </row>
    <row r="35" spans="1:18">
      <c r="A35" s="2807">
        <v>33</v>
      </c>
      <c r="B35" s="2807" t="s">
        <v>4358</v>
      </c>
      <c r="C35" s="2807">
        <v>725.98</v>
      </c>
      <c r="J35" s="2807">
        <f t="shared" si="0"/>
        <v>34</v>
      </c>
      <c r="K35" s="2807" t="s">
        <v>4519</v>
      </c>
      <c r="L35" s="2807" t="s">
        <v>4501</v>
      </c>
      <c r="M35" s="2807" t="s">
        <v>4543</v>
      </c>
      <c r="N35" s="2807">
        <v>25</v>
      </c>
      <c r="O35" s="2807">
        <v>21</v>
      </c>
      <c r="P35" s="2807">
        <f t="shared" si="1"/>
        <v>769.63</v>
      </c>
      <c r="Q35" s="1414" t="s">
        <v>4517</v>
      </c>
      <c r="R35" s="1414" t="s">
        <v>4516</v>
      </c>
    </row>
    <row r="36" spans="1:18">
      <c r="A36" s="2807">
        <v>34</v>
      </c>
      <c r="B36" s="2807" t="s">
        <v>4359</v>
      </c>
      <c r="C36" s="2807">
        <v>769.63</v>
      </c>
      <c r="J36" s="1414" t="s">
        <v>4563</v>
      </c>
      <c r="P36" s="2807">
        <f>SUM(P2:P35)</f>
        <v>25425.37</v>
      </c>
    </row>
    <row r="37" spans="1:18">
      <c r="C37" s="2807">
        <f>SUM(C3:C36)</f>
        <v>25425.37</v>
      </c>
    </row>
  </sheetData>
  <phoneticPr fontId="13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57"/>
  <sheetViews>
    <sheetView workbookViewId="0">
      <selection activeCell="R56" sqref="J2:R56"/>
    </sheetView>
  </sheetViews>
  <sheetFormatPr defaultRowHeight="13.5"/>
  <cols>
    <col min="1" max="16384" width="9" style="2807"/>
  </cols>
  <sheetData>
    <row r="1" spans="1:18" ht="26.25" thickBot="1">
      <c r="A1" s="1414" t="s">
        <v>3385</v>
      </c>
      <c r="J1" s="3187" t="s">
        <v>4456</v>
      </c>
      <c r="K1" s="3188" t="s">
        <v>4515</v>
      </c>
      <c r="L1" s="3188" t="s">
        <v>4507</v>
      </c>
      <c r="M1" s="3189" t="s">
        <v>4508</v>
      </c>
      <c r="N1" s="3189" t="s">
        <v>4509</v>
      </c>
      <c r="O1" s="3189" t="s">
        <v>4510</v>
      </c>
      <c r="P1" s="3189" t="s">
        <v>4511</v>
      </c>
      <c r="Q1" s="3189" t="s">
        <v>4512</v>
      </c>
      <c r="R1" s="3189" t="s">
        <v>4513</v>
      </c>
    </row>
    <row r="2" spans="1:18">
      <c r="A2" s="1414" t="s">
        <v>3382</v>
      </c>
      <c r="B2" s="1414" t="s">
        <v>3380</v>
      </c>
      <c r="C2" s="1414" t="s">
        <v>3381</v>
      </c>
      <c r="J2" s="2807">
        <f>A3</f>
        <v>1</v>
      </c>
      <c r="K2" s="1414" t="s">
        <v>4544</v>
      </c>
      <c r="L2" s="1414" t="s">
        <v>4503</v>
      </c>
      <c r="M2" s="2807">
        <v>501</v>
      </c>
      <c r="N2" s="2807">
        <v>37</v>
      </c>
      <c r="O2" s="2807">
        <v>5</v>
      </c>
      <c r="P2" s="2807">
        <f>C3</f>
        <v>800.8</v>
      </c>
      <c r="Q2" s="1414" t="s">
        <v>4517</v>
      </c>
      <c r="R2" s="1414" t="s">
        <v>4516</v>
      </c>
    </row>
    <row r="3" spans="1:18">
      <c r="A3" s="2807">
        <v>1</v>
      </c>
      <c r="B3" s="2807" t="s">
        <v>4360</v>
      </c>
      <c r="C3" s="2807">
        <v>800.8</v>
      </c>
      <c r="J3" s="2807">
        <f t="shared" ref="J3:J55" si="0">A4</f>
        <v>2</v>
      </c>
      <c r="K3" s="1414" t="s">
        <v>4544</v>
      </c>
      <c r="L3" s="1414" t="s">
        <v>4503</v>
      </c>
      <c r="M3" s="2807">
        <v>502</v>
      </c>
      <c r="N3" s="2807">
        <v>37</v>
      </c>
      <c r="O3" s="2807">
        <v>5</v>
      </c>
      <c r="P3" s="2807">
        <f t="shared" ref="P3:P55" si="1">C4</f>
        <v>775.93</v>
      </c>
      <c r="Q3" s="1414" t="s">
        <v>4517</v>
      </c>
      <c r="R3" s="1414" t="s">
        <v>4516</v>
      </c>
    </row>
    <row r="4" spans="1:18">
      <c r="A4" s="2807">
        <v>2</v>
      </c>
      <c r="B4" s="2807" t="s">
        <v>4361</v>
      </c>
      <c r="C4" s="2807">
        <v>775.93</v>
      </c>
      <c r="J4" s="2807">
        <f t="shared" si="0"/>
        <v>3</v>
      </c>
      <c r="K4" s="1414" t="s">
        <v>4544</v>
      </c>
      <c r="L4" s="1414" t="s">
        <v>4503</v>
      </c>
      <c r="M4" s="2807">
        <v>601</v>
      </c>
      <c r="N4" s="2807">
        <v>37</v>
      </c>
      <c r="O4" s="2807">
        <v>6</v>
      </c>
      <c r="P4" s="2807">
        <f t="shared" si="1"/>
        <v>803.05</v>
      </c>
      <c r="Q4" s="1414" t="s">
        <v>4517</v>
      </c>
      <c r="R4" s="1414" t="s">
        <v>4516</v>
      </c>
    </row>
    <row r="5" spans="1:18">
      <c r="A5" s="2807">
        <v>3</v>
      </c>
      <c r="B5" s="2807" t="s">
        <v>4362</v>
      </c>
      <c r="C5" s="2807">
        <v>803.05</v>
      </c>
      <c r="J5" s="2807">
        <f t="shared" si="0"/>
        <v>4</v>
      </c>
      <c r="K5" s="1414" t="s">
        <v>4544</v>
      </c>
      <c r="L5" s="1414" t="s">
        <v>4503</v>
      </c>
      <c r="M5" s="2807">
        <v>602</v>
      </c>
      <c r="N5" s="2807">
        <v>37</v>
      </c>
      <c r="O5" s="2807">
        <v>6</v>
      </c>
      <c r="P5" s="2807">
        <f t="shared" si="1"/>
        <v>795.71</v>
      </c>
      <c r="Q5" s="1414" t="s">
        <v>4517</v>
      </c>
      <c r="R5" s="1414" t="s">
        <v>4516</v>
      </c>
    </row>
    <row r="6" spans="1:18">
      <c r="A6" s="2807">
        <v>4</v>
      </c>
      <c r="B6" s="2807" t="s">
        <v>4363</v>
      </c>
      <c r="C6" s="2807">
        <v>795.71</v>
      </c>
      <c r="J6" s="2807">
        <f t="shared" si="0"/>
        <v>5</v>
      </c>
      <c r="K6" s="1414" t="s">
        <v>4544</v>
      </c>
      <c r="L6" s="1414" t="s">
        <v>4503</v>
      </c>
      <c r="M6" s="2807">
        <v>701</v>
      </c>
      <c r="N6" s="2807">
        <v>37</v>
      </c>
      <c r="O6" s="2807">
        <v>7</v>
      </c>
      <c r="P6" s="2807">
        <f t="shared" si="1"/>
        <v>803.05</v>
      </c>
      <c r="Q6" s="1414" t="s">
        <v>4517</v>
      </c>
      <c r="R6" s="1414" t="s">
        <v>4516</v>
      </c>
    </row>
    <row r="7" spans="1:18">
      <c r="A7" s="2807">
        <v>5</v>
      </c>
      <c r="B7" s="2807" t="s">
        <v>4364</v>
      </c>
      <c r="C7" s="2807">
        <v>803.05</v>
      </c>
      <c r="J7" s="2807">
        <f t="shared" si="0"/>
        <v>6</v>
      </c>
      <c r="K7" s="1414" t="s">
        <v>4544</v>
      </c>
      <c r="L7" s="1414" t="s">
        <v>4503</v>
      </c>
      <c r="M7" s="2807">
        <v>702</v>
      </c>
      <c r="N7" s="2807">
        <v>37</v>
      </c>
      <c r="O7" s="2807">
        <v>7</v>
      </c>
      <c r="P7" s="2807">
        <f t="shared" si="1"/>
        <v>795.71</v>
      </c>
      <c r="Q7" s="1414" t="s">
        <v>4517</v>
      </c>
      <c r="R7" s="1414" t="s">
        <v>4516</v>
      </c>
    </row>
    <row r="8" spans="1:18">
      <c r="A8" s="2807">
        <v>6</v>
      </c>
      <c r="B8" s="2807" t="s">
        <v>4365</v>
      </c>
      <c r="C8" s="2807">
        <v>795.71</v>
      </c>
      <c r="J8" s="2807">
        <f t="shared" si="0"/>
        <v>7</v>
      </c>
      <c r="K8" s="1414" t="s">
        <v>4544</v>
      </c>
      <c r="L8" s="1414" t="s">
        <v>4503</v>
      </c>
      <c r="M8" s="2807">
        <v>801</v>
      </c>
      <c r="N8" s="2807">
        <v>37</v>
      </c>
      <c r="O8" s="2807">
        <v>8</v>
      </c>
      <c r="P8" s="2807">
        <f t="shared" si="1"/>
        <v>803.05</v>
      </c>
      <c r="Q8" s="1414" t="s">
        <v>4517</v>
      </c>
      <c r="R8" s="1414" t="s">
        <v>4516</v>
      </c>
    </row>
    <row r="9" spans="1:18">
      <c r="A9" s="2807">
        <v>7</v>
      </c>
      <c r="B9" s="2807" t="s">
        <v>4366</v>
      </c>
      <c r="C9" s="2807">
        <v>803.05</v>
      </c>
      <c r="J9" s="2807">
        <f t="shared" si="0"/>
        <v>8</v>
      </c>
      <c r="K9" s="1414" t="s">
        <v>4544</v>
      </c>
      <c r="L9" s="1414" t="s">
        <v>4503</v>
      </c>
      <c r="M9" s="2807">
        <v>802</v>
      </c>
      <c r="N9" s="2807">
        <v>37</v>
      </c>
      <c r="O9" s="2807">
        <v>8</v>
      </c>
      <c r="P9" s="2807">
        <f t="shared" si="1"/>
        <v>795.71</v>
      </c>
      <c r="Q9" s="1414" t="s">
        <v>4517</v>
      </c>
      <c r="R9" s="1414" t="s">
        <v>4516</v>
      </c>
    </row>
    <row r="10" spans="1:18">
      <c r="A10" s="2807">
        <v>8</v>
      </c>
      <c r="B10" s="2807" t="s">
        <v>4367</v>
      </c>
      <c r="C10" s="2807">
        <v>795.71</v>
      </c>
      <c r="J10" s="2807">
        <f t="shared" si="0"/>
        <v>9</v>
      </c>
      <c r="K10" s="1414" t="s">
        <v>4544</v>
      </c>
      <c r="L10" s="1414" t="s">
        <v>4503</v>
      </c>
      <c r="M10" s="2807">
        <v>901</v>
      </c>
      <c r="N10" s="2807">
        <v>37</v>
      </c>
      <c r="O10" s="2807">
        <v>9</v>
      </c>
      <c r="P10" s="2807">
        <f t="shared" si="1"/>
        <v>803.05</v>
      </c>
      <c r="Q10" s="1414" t="s">
        <v>4517</v>
      </c>
      <c r="R10" s="1414" t="s">
        <v>4516</v>
      </c>
    </row>
    <row r="11" spans="1:18">
      <c r="A11" s="2807">
        <v>9</v>
      </c>
      <c r="B11" s="2807" t="s">
        <v>4368</v>
      </c>
      <c r="C11" s="2807">
        <v>803.05</v>
      </c>
      <c r="J11" s="2807">
        <f t="shared" si="0"/>
        <v>10</v>
      </c>
      <c r="K11" s="1414" t="s">
        <v>4544</v>
      </c>
      <c r="L11" s="1414" t="s">
        <v>4503</v>
      </c>
      <c r="M11" s="2807">
        <v>902</v>
      </c>
      <c r="N11" s="2807">
        <v>37</v>
      </c>
      <c r="O11" s="2807">
        <v>9</v>
      </c>
      <c r="P11" s="2807">
        <f t="shared" si="1"/>
        <v>795.71</v>
      </c>
      <c r="Q11" s="1414" t="s">
        <v>4517</v>
      </c>
      <c r="R11" s="1414" t="s">
        <v>4516</v>
      </c>
    </row>
    <row r="12" spans="1:18">
      <c r="A12" s="2807">
        <v>10</v>
      </c>
      <c r="B12" s="2807" t="s">
        <v>4369</v>
      </c>
      <c r="C12" s="2807">
        <v>795.71</v>
      </c>
      <c r="J12" s="2807">
        <f t="shared" si="0"/>
        <v>11</v>
      </c>
      <c r="K12" s="1414" t="s">
        <v>4544</v>
      </c>
      <c r="L12" s="1414" t="s">
        <v>4503</v>
      </c>
      <c r="M12" s="2807" t="str">
        <f t="shared" ref="M12:M55" si="2">RIGHT(B13,4)</f>
        <v>1001</v>
      </c>
      <c r="N12" s="2807">
        <v>37</v>
      </c>
      <c r="O12" s="2807">
        <v>10</v>
      </c>
      <c r="P12" s="2807">
        <f t="shared" si="1"/>
        <v>803.05</v>
      </c>
      <c r="Q12" s="1414" t="s">
        <v>4517</v>
      </c>
      <c r="R12" s="1414" t="s">
        <v>4516</v>
      </c>
    </row>
    <row r="13" spans="1:18">
      <c r="A13" s="2807">
        <v>11</v>
      </c>
      <c r="B13" s="2807" t="s">
        <v>4370</v>
      </c>
      <c r="C13" s="2807">
        <v>803.05</v>
      </c>
      <c r="J13" s="2807">
        <f t="shared" si="0"/>
        <v>12</v>
      </c>
      <c r="K13" s="1414" t="s">
        <v>4544</v>
      </c>
      <c r="L13" s="1414" t="s">
        <v>4503</v>
      </c>
      <c r="M13" s="2807" t="str">
        <f t="shared" si="2"/>
        <v>1002</v>
      </c>
      <c r="N13" s="2807">
        <v>37</v>
      </c>
      <c r="O13" s="2807">
        <v>10</v>
      </c>
      <c r="P13" s="2807">
        <f t="shared" si="1"/>
        <v>795.71</v>
      </c>
      <c r="Q13" s="1414" t="s">
        <v>4517</v>
      </c>
      <c r="R13" s="1414" t="s">
        <v>4516</v>
      </c>
    </row>
    <row r="14" spans="1:18">
      <c r="A14" s="2807">
        <v>12</v>
      </c>
      <c r="B14" s="2807" t="s">
        <v>4371</v>
      </c>
      <c r="C14" s="2807">
        <v>795.71</v>
      </c>
      <c r="J14" s="2807">
        <f t="shared" si="0"/>
        <v>13</v>
      </c>
      <c r="K14" s="1414" t="s">
        <v>4544</v>
      </c>
      <c r="L14" s="1414" t="s">
        <v>4503</v>
      </c>
      <c r="M14" s="2807" t="str">
        <f t="shared" si="2"/>
        <v>1201</v>
      </c>
      <c r="N14" s="2807">
        <v>37</v>
      </c>
      <c r="O14" s="2807">
        <v>12</v>
      </c>
      <c r="P14" s="2807">
        <f t="shared" si="1"/>
        <v>803.05</v>
      </c>
      <c r="Q14" s="1414" t="s">
        <v>4517</v>
      </c>
      <c r="R14" s="1414" t="s">
        <v>4516</v>
      </c>
    </row>
    <row r="15" spans="1:18">
      <c r="A15" s="2807">
        <v>13</v>
      </c>
      <c r="B15" s="2807" t="s">
        <v>4372</v>
      </c>
      <c r="C15" s="2807">
        <v>803.05</v>
      </c>
      <c r="J15" s="2807">
        <f t="shared" si="0"/>
        <v>14</v>
      </c>
      <c r="K15" s="1414" t="s">
        <v>4544</v>
      </c>
      <c r="L15" s="1414" t="s">
        <v>4503</v>
      </c>
      <c r="M15" s="2807" t="str">
        <f t="shared" si="2"/>
        <v>1202</v>
      </c>
      <c r="N15" s="2807">
        <v>37</v>
      </c>
      <c r="O15" s="2807">
        <v>12</v>
      </c>
      <c r="P15" s="2807">
        <f t="shared" si="1"/>
        <v>795.71</v>
      </c>
      <c r="Q15" s="1414" t="s">
        <v>4517</v>
      </c>
      <c r="R15" s="1414" t="s">
        <v>4516</v>
      </c>
    </row>
    <row r="16" spans="1:18">
      <c r="A16" s="2807">
        <v>14</v>
      </c>
      <c r="B16" s="2807" t="s">
        <v>4373</v>
      </c>
      <c r="C16" s="2807">
        <v>795.71</v>
      </c>
      <c r="J16" s="2807">
        <f t="shared" si="0"/>
        <v>15</v>
      </c>
      <c r="K16" s="1414" t="s">
        <v>4544</v>
      </c>
      <c r="L16" s="1414" t="s">
        <v>4503</v>
      </c>
      <c r="M16" s="2807" t="str">
        <f t="shared" si="2"/>
        <v>1301</v>
      </c>
      <c r="N16" s="2807">
        <v>37</v>
      </c>
      <c r="O16" s="2807">
        <v>13</v>
      </c>
      <c r="P16" s="2807">
        <f t="shared" si="1"/>
        <v>803.05</v>
      </c>
      <c r="Q16" s="1414" t="s">
        <v>4517</v>
      </c>
      <c r="R16" s="1414" t="s">
        <v>4516</v>
      </c>
    </row>
    <row r="17" spans="1:18">
      <c r="A17" s="2807">
        <v>15</v>
      </c>
      <c r="B17" s="2807" t="s">
        <v>4374</v>
      </c>
      <c r="C17" s="2807">
        <v>803.05</v>
      </c>
      <c r="J17" s="2807">
        <f t="shared" si="0"/>
        <v>16</v>
      </c>
      <c r="K17" s="1414" t="s">
        <v>4544</v>
      </c>
      <c r="L17" s="1414" t="s">
        <v>4503</v>
      </c>
      <c r="M17" s="2807" t="str">
        <f t="shared" si="2"/>
        <v>1302</v>
      </c>
      <c r="N17" s="2807">
        <v>37</v>
      </c>
      <c r="O17" s="2807">
        <v>13</v>
      </c>
      <c r="P17" s="2807">
        <f t="shared" si="1"/>
        <v>795.71</v>
      </c>
      <c r="Q17" s="1414" t="s">
        <v>4517</v>
      </c>
      <c r="R17" s="1414" t="s">
        <v>4516</v>
      </c>
    </row>
    <row r="18" spans="1:18">
      <c r="A18" s="2807">
        <v>16</v>
      </c>
      <c r="B18" s="2807" t="s">
        <v>4375</v>
      </c>
      <c r="C18" s="2807">
        <v>795.71</v>
      </c>
      <c r="J18" s="2807">
        <f t="shared" si="0"/>
        <v>17</v>
      </c>
      <c r="K18" s="1414" t="s">
        <v>4544</v>
      </c>
      <c r="L18" s="1414" t="s">
        <v>4503</v>
      </c>
      <c r="M18" s="2807" t="str">
        <f t="shared" si="2"/>
        <v>1401</v>
      </c>
      <c r="N18" s="2807">
        <v>37</v>
      </c>
      <c r="O18" s="2807">
        <v>14</v>
      </c>
      <c r="P18" s="2807">
        <f t="shared" si="1"/>
        <v>803.05</v>
      </c>
      <c r="Q18" s="1414" t="s">
        <v>4517</v>
      </c>
      <c r="R18" s="1414" t="s">
        <v>4516</v>
      </c>
    </row>
    <row r="19" spans="1:18">
      <c r="A19" s="2807">
        <v>17</v>
      </c>
      <c r="B19" s="2807" t="s">
        <v>4376</v>
      </c>
      <c r="C19" s="2807">
        <v>803.05</v>
      </c>
      <c r="J19" s="2807">
        <f t="shared" si="0"/>
        <v>18</v>
      </c>
      <c r="K19" s="1414" t="s">
        <v>4544</v>
      </c>
      <c r="L19" s="1414" t="s">
        <v>4503</v>
      </c>
      <c r="M19" s="2807" t="str">
        <f t="shared" si="2"/>
        <v>1402</v>
      </c>
      <c r="N19" s="2807">
        <v>37</v>
      </c>
      <c r="O19" s="2807">
        <v>14</v>
      </c>
      <c r="P19" s="2807">
        <f t="shared" si="1"/>
        <v>795.71</v>
      </c>
      <c r="Q19" s="1414" t="s">
        <v>4517</v>
      </c>
      <c r="R19" s="1414" t="s">
        <v>4516</v>
      </c>
    </row>
    <row r="20" spans="1:18">
      <c r="A20" s="2807">
        <v>18</v>
      </c>
      <c r="B20" s="2807" t="s">
        <v>4377</v>
      </c>
      <c r="C20" s="2807">
        <v>795.71</v>
      </c>
      <c r="J20" s="2807">
        <f t="shared" si="0"/>
        <v>19</v>
      </c>
      <c r="K20" s="1414" t="s">
        <v>4544</v>
      </c>
      <c r="L20" s="1414" t="s">
        <v>4503</v>
      </c>
      <c r="M20" s="2807" t="str">
        <f t="shared" si="2"/>
        <v>1501</v>
      </c>
      <c r="N20" s="2807">
        <v>37</v>
      </c>
      <c r="O20" s="2807">
        <v>15</v>
      </c>
      <c r="P20" s="2807">
        <f t="shared" si="1"/>
        <v>803.05</v>
      </c>
      <c r="Q20" s="1414" t="s">
        <v>4517</v>
      </c>
      <c r="R20" s="1414" t="s">
        <v>4516</v>
      </c>
    </row>
    <row r="21" spans="1:18">
      <c r="A21" s="2807">
        <v>19</v>
      </c>
      <c r="B21" s="2807" t="s">
        <v>4378</v>
      </c>
      <c r="C21" s="2807">
        <v>803.05</v>
      </c>
      <c r="J21" s="2807">
        <f t="shared" si="0"/>
        <v>20</v>
      </c>
      <c r="K21" s="1414" t="s">
        <v>4544</v>
      </c>
      <c r="L21" s="1414" t="s">
        <v>4503</v>
      </c>
      <c r="M21" s="2807" t="str">
        <f t="shared" si="2"/>
        <v>1502</v>
      </c>
      <c r="N21" s="2807">
        <v>37</v>
      </c>
      <c r="O21" s="2807">
        <v>15</v>
      </c>
      <c r="P21" s="2807">
        <f t="shared" si="1"/>
        <v>795.71</v>
      </c>
      <c r="Q21" s="1414" t="s">
        <v>4517</v>
      </c>
      <c r="R21" s="1414" t="s">
        <v>4516</v>
      </c>
    </row>
    <row r="22" spans="1:18">
      <c r="A22" s="2807">
        <v>20</v>
      </c>
      <c r="B22" s="2807" t="s">
        <v>4379</v>
      </c>
      <c r="C22" s="2807">
        <v>795.71</v>
      </c>
      <c r="J22" s="2807">
        <f t="shared" si="0"/>
        <v>21</v>
      </c>
      <c r="K22" s="1414" t="s">
        <v>4544</v>
      </c>
      <c r="L22" s="1414" t="s">
        <v>4503</v>
      </c>
      <c r="M22" s="2807" t="str">
        <f t="shared" si="2"/>
        <v>1601</v>
      </c>
      <c r="N22" s="2807">
        <v>37</v>
      </c>
      <c r="O22" s="2807">
        <v>16</v>
      </c>
      <c r="P22" s="2807">
        <f t="shared" si="1"/>
        <v>803.05</v>
      </c>
      <c r="Q22" s="1414" t="s">
        <v>4517</v>
      </c>
      <c r="R22" s="1414" t="s">
        <v>4516</v>
      </c>
    </row>
    <row r="23" spans="1:18">
      <c r="A23" s="2807">
        <v>21</v>
      </c>
      <c r="B23" s="2807" t="s">
        <v>4380</v>
      </c>
      <c r="C23" s="2807">
        <v>803.05</v>
      </c>
      <c r="J23" s="2807">
        <f t="shared" si="0"/>
        <v>22</v>
      </c>
      <c r="K23" s="1414" t="s">
        <v>4544</v>
      </c>
      <c r="L23" s="1414" t="s">
        <v>4503</v>
      </c>
      <c r="M23" s="2807" t="str">
        <f t="shared" si="2"/>
        <v>1602</v>
      </c>
      <c r="N23" s="2807">
        <v>37</v>
      </c>
      <c r="O23" s="2807">
        <v>16</v>
      </c>
      <c r="P23" s="2807">
        <f t="shared" si="1"/>
        <v>795.71</v>
      </c>
      <c r="Q23" s="1414" t="s">
        <v>4517</v>
      </c>
      <c r="R23" s="1414" t="s">
        <v>4516</v>
      </c>
    </row>
    <row r="24" spans="1:18">
      <c r="A24" s="2807">
        <v>22</v>
      </c>
      <c r="B24" s="2807" t="s">
        <v>4381</v>
      </c>
      <c r="C24" s="2807">
        <v>795.71</v>
      </c>
      <c r="J24" s="2807">
        <f t="shared" si="0"/>
        <v>23</v>
      </c>
      <c r="K24" s="1414" t="s">
        <v>4544</v>
      </c>
      <c r="L24" s="1414" t="s">
        <v>4503</v>
      </c>
      <c r="M24" s="2807" t="str">
        <f t="shared" si="2"/>
        <v>1701</v>
      </c>
      <c r="N24" s="2807">
        <v>37</v>
      </c>
      <c r="O24" s="2807">
        <v>17</v>
      </c>
      <c r="P24" s="2807">
        <f t="shared" si="1"/>
        <v>803.05</v>
      </c>
      <c r="Q24" s="1414" t="s">
        <v>4517</v>
      </c>
      <c r="R24" s="1414" t="s">
        <v>4516</v>
      </c>
    </row>
    <row r="25" spans="1:18">
      <c r="A25" s="2807">
        <v>23</v>
      </c>
      <c r="B25" s="2807" t="s">
        <v>4382</v>
      </c>
      <c r="C25" s="2807">
        <v>803.05</v>
      </c>
      <c r="J25" s="2807">
        <f t="shared" si="0"/>
        <v>24</v>
      </c>
      <c r="K25" s="1414" t="s">
        <v>4544</v>
      </c>
      <c r="L25" s="1414" t="s">
        <v>4503</v>
      </c>
      <c r="M25" s="2807" t="str">
        <f t="shared" si="2"/>
        <v>1702</v>
      </c>
      <c r="N25" s="2807">
        <v>37</v>
      </c>
      <c r="O25" s="2807">
        <v>17</v>
      </c>
      <c r="P25" s="2807">
        <f t="shared" si="1"/>
        <v>795.71</v>
      </c>
      <c r="Q25" s="1414" t="s">
        <v>4517</v>
      </c>
      <c r="R25" s="1414" t="s">
        <v>4516</v>
      </c>
    </row>
    <row r="26" spans="1:18">
      <c r="A26" s="2807">
        <v>24</v>
      </c>
      <c r="B26" s="2807" t="s">
        <v>4383</v>
      </c>
      <c r="C26" s="2807">
        <v>795.71</v>
      </c>
      <c r="J26" s="2807">
        <f t="shared" si="0"/>
        <v>25</v>
      </c>
      <c r="K26" s="1414" t="s">
        <v>4544</v>
      </c>
      <c r="L26" s="1414" t="s">
        <v>4503</v>
      </c>
      <c r="M26" s="2807" t="str">
        <f t="shared" si="2"/>
        <v>1801</v>
      </c>
      <c r="N26" s="2807">
        <v>37</v>
      </c>
      <c r="O26" s="2807">
        <v>18</v>
      </c>
      <c r="P26" s="2807">
        <f t="shared" si="1"/>
        <v>812.21</v>
      </c>
      <c r="Q26" s="1414" t="s">
        <v>4517</v>
      </c>
      <c r="R26" s="1414" t="s">
        <v>4516</v>
      </c>
    </row>
    <row r="27" spans="1:18">
      <c r="A27" s="2807">
        <v>25</v>
      </c>
      <c r="B27" s="2807" t="s">
        <v>4384</v>
      </c>
      <c r="C27" s="2807">
        <v>812.21</v>
      </c>
      <c r="J27" s="2807">
        <f t="shared" si="0"/>
        <v>26</v>
      </c>
      <c r="K27" s="1414" t="s">
        <v>4544</v>
      </c>
      <c r="L27" s="1414" t="s">
        <v>4503</v>
      </c>
      <c r="M27" s="2807" t="str">
        <f t="shared" si="2"/>
        <v>1802</v>
      </c>
      <c r="N27" s="2807">
        <v>37</v>
      </c>
      <c r="O27" s="2807">
        <v>18</v>
      </c>
      <c r="P27" s="2807">
        <f t="shared" si="1"/>
        <v>803.63</v>
      </c>
      <c r="Q27" s="1414" t="s">
        <v>4517</v>
      </c>
      <c r="R27" s="1414" t="s">
        <v>4516</v>
      </c>
    </row>
    <row r="28" spans="1:18">
      <c r="A28" s="2807">
        <v>26</v>
      </c>
      <c r="B28" s="2807" t="s">
        <v>4385</v>
      </c>
      <c r="C28" s="2807">
        <v>803.63</v>
      </c>
      <c r="J28" s="2807">
        <f t="shared" si="0"/>
        <v>27</v>
      </c>
      <c r="K28" s="1414" t="s">
        <v>4544</v>
      </c>
      <c r="L28" s="1414" t="s">
        <v>4503</v>
      </c>
      <c r="M28" s="2807" t="str">
        <f t="shared" si="2"/>
        <v>1901</v>
      </c>
      <c r="N28" s="2807">
        <v>37</v>
      </c>
      <c r="O28" s="2807">
        <v>19</v>
      </c>
      <c r="P28" s="2807">
        <f t="shared" si="1"/>
        <v>812.21</v>
      </c>
      <c r="Q28" s="1414" t="s">
        <v>4517</v>
      </c>
      <c r="R28" s="1414" t="s">
        <v>4516</v>
      </c>
    </row>
    <row r="29" spans="1:18">
      <c r="A29" s="2807">
        <v>27</v>
      </c>
      <c r="B29" s="2807" t="s">
        <v>4386</v>
      </c>
      <c r="C29" s="2807">
        <v>812.21</v>
      </c>
      <c r="J29" s="2807">
        <f t="shared" si="0"/>
        <v>28</v>
      </c>
      <c r="K29" s="1414" t="s">
        <v>4544</v>
      </c>
      <c r="L29" s="1414" t="s">
        <v>4503</v>
      </c>
      <c r="M29" s="2807" t="str">
        <f t="shared" si="2"/>
        <v>1902</v>
      </c>
      <c r="N29" s="2807">
        <v>37</v>
      </c>
      <c r="O29" s="2807">
        <v>19</v>
      </c>
      <c r="P29" s="2807">
        <f t="shared" si="1"/>
        <v>803.63</v>
      </c>
      <c r="Q29" s="1414" t="s">
        <v>4517</v>
      </c>
      <c r="R29" s="1414" t="s">
        <v>4516</v>
      </c>
    </row>
    <row r="30" spans="1:18">
      <c r="A30" s="2807">
        <v>28</v>
      </c>
      <c r="B30" s="2807" t="s">
        <v>4387</v>
      </c>
      <c r="C30" s="2807">
        <v>803.63</v>
      </c>
      <c r="J30" s="2807">
        <f t="shared" si="0"/>
        <v>29</v>
      </c>
      <c r="K30" s="1414" t="s">
        <v>4544</v>
      </c>
      <c r="L30" s="1414" t="s">
        <v>4503</v>
      </c>
      <c r="M30" s="2807" t="str">
        <f t="shared" si="2"/>
        <v>2001</v>
      </c>
      <c r="N30" s="2807">
        <v>37</v>
      </c>
      <c r="O30" s="2807">
        <v>20</v>
      </c>
      <c r="P30" s="2807">
        <f t="shared" si="1"/>
        <v>812.21</v>
      </c>
      <c r="Q30" s="1414" t="s">
        <v>4517</v>
      </c>
      <c r="R30" s="1414" t="s">
        <v>4516</v>
      </c>
    </row>
    <row r="31" spans="1:18">
      <c r="A31" s="2807">
        <v>29</v>
      </c>
      <c r="B31" s="2807" t="s">
        <v>4388</v>
      </c>
      <c r="C31" s="2807">
        <v>812.21</v>
      </c>
      <c r="J31" s="2807">
        <f t="shared" si="0"/>
        <v>30</v>
      </c>
      <c r="K31" s="1414" t="s">
        <v>4544</v>
      </c>
      <c r="L31" s="1414" t="s">
        <v>4503</v>
      </c>
      <c r="M31" s="2807" t="str">
        <f t="shared" si="2"/>
        <v>2002</v>
      </c>
      <c r="N31" s="2807">
        <v>37</v>
      </c>
      <c r="O31" s="2807">
        <v>20</v>
      </c>
      <c r="P31" s="2807">
        <f t="shared" si="1"/>
        <v>803.63</v>
      </c>
      <c r="Q31" s="1414" t="s">
        <v>4517</v>
      </c>
      <c r="R31" s="1414" t="s">
        <v>4516</v>
      </c>
    </row>
    <row r="32" spans="1:18">
      <c r="A32" s="2807">
        <v>30</v>
      </c>
      <c r="B32" s="2807" t="s">
        <v>4389</v>
      </c>
      <c r="C32" s="2807">
        <v>803.63</v>
      </c>
      <c r="J32" s="2807">
        <f t="shared" si="0"/>
        <v>31</v>
      </c>
      <c r="K32" s="1414" t="s">
        <v>4544</v>
      </c>
      <c r="L32" s="1414" t="s">
        <v>4503</v>
      </c>
      <c r="M32" s="2807" t="str">
        <f t="shared" si="2"/>
        <v>2101</v>
      </c>
      <c r="N32" s="2807">
        <v>37</v>
      </c>
      <c r="O32" s="2807">
        <v>21</v>
      </c>
      <c r="P32" s="2807">
        <f t="shared" si="1"/>
        <v>812.21</v>
      </c>
      <c r="Q32" s="1414" t="s">
        <v>4517</v>
      </c>
      <c r="R32" s="1414" t="s">
        <v>4516</v>
      </c>
    </row>
    <row r="33" spans="1:18">
      <c r="A33" s="2807">
        <v>31</v>
      </c>
      <c r="B33" s="2807" t="s">
        <v>4390</v>
      </c>
      <c r="C33" s="2807">
        <v>812.21</v>
      </c>
      <c r="J33" s="2807">
        <f t="shared" si="0"/>
        <v>32</v>
      </c>
      <c r="K33" s="1414" t="s">
        <v>4544</v>
      </c>
      <c r="L33" s="1414" t="s">
        <v>4503</v>
      </c>
      <c r="M33" s="2807" t="str">
        <f t="shared" si="2"/>
        <v>2102</v>
      </c>
      <c r="N33" s="2807">
        <v>37</v>
      </c>
      <c r="O33" s="2807">
        <v>21</v>
      </c>
      <c r="P33" s="2807">
        <f t="shared" si="1"/>
        <v>803.63</v>
      </c>
      <c r="Q33" s="1414" t="s">
        <v>4517</v>
      </c>
      <c r="R33" s="1414" t="s">
        <v>4516</v>
      </c>
    </row>
    <row r="34" spans="1:18">
      <c r="A34" s="2807">
        <v>32</v>
      </c>
      <c r="B34" s="2807" t="s">
        <v>4391</v>
      </c>
      <c r="C34" s="2807">
        <v>803.63</v>
      </c>
      <c r="J34" s="2807">
        <f t="shared" si="0"/>
        <v>33</v>
      </c>
      <c r="K34" s="1414" t="s">
        <v>4544</v>
      </c>
      <c r="L34" s="1414" t="s">
        <v>4503</v>
      </c>
      <c r="M34" s="2807" t="str">
        <f t="shared" si="2"/>
        <v>2201</v>
      </c>
      <c r="N34" s="2807">
        <v>37</v>
      </c>
      <c r="O34" s="2807">
        <v>22</v>
      </c>
      <c r="P34" s="2807">
        <f t="shared" si="1"/>
        <v>812.84</v>
      </c>
      <c r="Q34" s="1414" t="s">
        <v>4517</v>
      </c>
      <c r="R34" s="1414" t="s">
        <v>4516</v>
      </c>
    </row>
    <row r="35" spans="1:18">
      <c r="A35" s="2807">
        <v>33</v>
      </c>
      <c r="B35" s="2807" t="s">
        <v>4392</v>
      </c>
      <c r="C35" s="2807">
        <v>812.84</v>
      </c>
      <c r="J35" s="2807">
        <f t="shared" si="0"/>
        <v>34</v>
      </c>
      <c r="K35" s="1414" t="s">
        <v>4544</v>
      </c>
      <c r="L35" s="1414" t="s">
        <v>4503</v>
      </c>
      <c r="M35" s="2807" t="str">
        <f t="shared" si="2"/>
        <v>2202</v>
      </c>
      <c r="N35" s="2807">
        <v>37</v>
      </c>
      <c r="O35" s="2807">
        <v>22</v>
      </c>
      <c r="P35" s="2807">
        <f t="shared" si="1"/>
        <v>804.26</v>
      </c>
      <c r="Q35" s="1414" t="s">
        <v>4517</v>
      </c>
      <c r="R35" s="1414" t="s">
        <v>4516</v>
      </c>
    </row>
    <row r="36" spans="1:18">
      <c r="A36" s="2807">
        <v>34</v>
      </c>
      <c r="B36" s="2807" t="s">
        <v>4393</v>
      </c>
      <c r="C36" s="2807">
        <v>804.26</v>
      </c>
      <c r="J36" s="2807">
        <f t="shared" si="0"/>
        <v>35</v>
      </c>
      <c r="K36" s="1414" t="s">
        <v>4544</v>
      </c>
      <c r="L36" s="1414" t="s">
        <v>4503</v>
      </c>
      <c r="M36" s="2807" t="str">
        <f t="shared" si="2"/>
        <v>2401</v>
      </c>
      <c r="N36" s="2807">
        <v>37</v>
      </c>
      <c r="O36" s="2807">
        <v>24</v>
      </c>
      <c r="P36" s="2807">
        <f t="shared" si="1"/>
        <v>812.84</v>
      </c>
      <c r="Q36" s="1414" t="s">
        <v>4517</v>
      </c>
      <c r="R36" s="1414" t="s">
        <v>4516</v>
      </c>
    </row>
    <row r="37" spans="1:18">
      <c r="A37" s="2807">
        <v>35</v>
      </c>
      <c r="B37" s="2807" t="s">
        <v>4394</v>
      </c>
      <c r="C37" s="2807">
        <v>812.84</v>
      </c>
      <c r="J37" s="2807">
        <f t="shared" si="0"/>
        <v>36</v>
      </c>
      <c r="K37" s="1414" t="s">
        <v>4544</v>
      </c>
      <c r="L37" s="1414" t="s">
        <v>4503</v>
      </c>
      <c r="M37" s="2807" t="str">
        <f t="shared" si="2"/>
        <v>2402</v>
      </c>
      <c r="N37" s="2807">
        <v>37</v>
      </c>
      <c r="O37" s="2807">
        <v>24</v>
      </c>
      <c r="P37" s="2807">
        <f t="shared" si="1"/>
        <v>804.26</v>
      </c>
      <c r="Q37" s="1414" t="s">
        <v>4517</v>
      </c>
      <c r="R37" s="1414" t="s">
        <v>4516</v>
      </c>
    </row>
    <row r="38" spans="1:18">
      <c r="A38" s="2807">
        <v>36</v>
      </c>
      <c r="B38" s="2807" t="s">
        <v>4395</v>
      </c>
      <c r="C38" s="2807">
        <v>804.26</v>
      </c>
      <c r="J38" s="2807">
        <f t="shared" si="0"/>
        <v>37</v>
      </c>
      <c r="K38" s="1414" t="s">
        <v>4544</v>
      </c>
      <c r="L38" s="1414" t="s">
        <v>4503</v>
      </c>
      <c r="M38" s="2807" t="str">
        <f t="shared" si="2"/>
        <v>2501</v>
      </c>
      <c r="N38" s="2807">
        <v>37</v>
      </c>
      <c r="O38" s="2807">
        <v>25</v>
      </c>
      <c r="P38" s="2807">
        <f t="shared" si="1"/>
        <v>812.84</v>
      </c>
      <c r="Q38" s="1414" t="s">
        <v>4517</v>
      </c>
      <c r="R38" s="1414" t="s">
        <v>4516</v>
      </c>
    </row>
    <row r="39" spans="1:18">
      <c r="A39" s="2807">
        <v>37</v>
      </c>
      <c r="B39" s="2807" t="s">
        <v>4396</v>
      </c>
      <c r="C39" s="2807">
        <v>812.84</v>
      </c>
      <c r="J39" s="2807">
        <f t="shared" si="0"/>
        <v>38</v>
      </c>
      <c r="K39" s="1414" t="s">
        <v>4544</v>
      </c>
      <c r="L39" s="1414" t="s">
        <v>4503</v>
      </c>
      <c r="M39" s="2807" t="str">
        <f t="shared" si="2"/>
        <v>2502</v>
      </c>
      <c r="N39" s="2807">
        <v>37</v>
      </c>
      <c r="O39" s="2807">
        <v>25</v>
      </c>
      <c r="P39" s="2807">
        <f t="shared" si="1"/>
        <v>804.26</v>
      </c>
      <c r="Q39" s="1414" t="s">
        <v>4517</v>
      </c>
      <c r="R39" s="1414" t="s">
        <v>4516</v>
      </c>
    </row>
    <row r="40" spans="1:18">
      <c r="A40" s="2807">
        <v>38</v>
      </c>
      <c r="B40" s="2807" t="s">
        <v>4397</v>
      </c>
      <c r="C40" s="2807">
        <v>804.26</v>
      </c>
      <c r="J40" s="2807">
        <f t="shared" si="0"/>
        <v>39</v>
      </c>
      <c r="K40" s="1414" t="s">
        <v>4544</v>
      </c>
      <c r="L40" s="1414" t="s">
        <v>4503</v>
      </c>
      <c r="M40" s="2807" t="str">
        <f t="shared" si="2"/>
        <v>2601</v>
      </c>
      <c r="N40" s="2807">
        <v>37</v>
      </c>
      <c r="O40" s="2807">
        <v>26</v>
      </c>
      <c r="P40" s="2807">
        <f t="shared" si="1"/>
        <v>812.84</v>
      </c>
      <c r="Q40" s="1414" t="s">
        <v>4517</v>
      </c>
      <c r="R40" s="1414" t="s">
        <v>4516</v>
      </c>
    </row>
    <row r="41" spans="1:18">
      <c r="A41" s="2807">
        <v>39</v>
      </c>
      <c r="B41" s="2807" t="s">
        <v>4398</v>
      </c>
      <c r="C41" s="2807">
        <v>812.84</v>
      </c>
      <c r="J41" s="2807">
        <f t="shared" si="0"/>
        <v>40</v>
      </c>
      <c r="K41" s="1414" t="s">
        <v>4544</v>
      </c>
      <c r="L41" s="1414" t="s">
        <v>4503</v>
      </c>
      <c r="M41" s="2807" t="str">
        <f t="shared" si="2"/>
        <v>2602</v>
      </c>
      <c r="N41" s="2807">
        <v>37</v>
      </c>
      <c r="O41" s="2807">
        <v>26</v>
      </c>
      <c r="P41" s="2807">
        <f t="shared" si="1"/>
        <v>804.26</v>
      </c>
      <c r="Q41" s="1414" t="s">
        <v>4517</v>
      </c>
      <c r="R41" s="1414" t="s">
        <v>4516</v>
      </c>
    </row>
    <row r="42" spans="1:18">
      <c r="A42" s="2807">
        <v>40</v>
      </c>
      <c r="B42" s="2807" t="s">
        <v>4399</v>
      </c>
      <c r="C42" s="2807">
        <v>804.26</v>
      </c>
      <c r="J42" s="2807">
        <f t="shared" si="0"/>
        <v>41</v>
      </c>
      <c r="K42" s="1414" t="s">
        <v>4544</v>
      </c>
      <c r="L42" s="1414" t="s">
        <v>4503</v>
      </c>
      <c r="M42" s="2807" t="str">
        <f t="shared" si="2"/>
        <v>2701</v>
      </c>
      <c r="N42" s="2807">
        <v>37</v>
      </c>
      <c r="O42" s="2807">
        <v>27</v>
      </c>
      <c r="P42" s="2807">
        <f t="shared" si="1"/>
        <v>812.84</v>
      </c>
      <c r="Q42" s="1414" t="s">
        <v>4517</v>
      </c>
      <c r="R42" s="1414" t="s">
        <v>4516</v>
      </c>
    </row>
    <row r="43" spans="1:18">
      <c r="A43" s="2807">
        <v>41</v>
      </c>
      <c r="B43" s="2807" t="s">
        <v>4400</v>
      </c>
      <c r="C43" s="2807">
        <v>812.84</v>
      </c>
      <c r="J43" s="2807">
        <f t="shared" si="0"/>
        <v>42</v>
      </c>
      <c r="K43" s="1414" t="s">
        <v>4544</v>
      </c>
      <c r="L43" s="1414" t="s">
        <v>4503</v>
      </c>
      <c r="M43" s="2807" t="str">
        <f t="shared" si="2"/>
        <v>2702</v>
      </c>
      <c r="N43" s="2807">
        <v>37</v>
      </c>
      <c r="O43" s="2807">
        <v>27</v>
      </c>
      <c r="P43" s="2807">
        <f t="shared" si="1"/>
        <v>804.26</v>
      </c>
      <c r="Q43" s="1414" t="s">
        <v>4517</v>
      </c>
      <c r="R43" s="1414" t="s">
        <v>4516</v>
      </c>
    </row>
    <row r="44" spans="1:18">
      <c r="A44" s="2807">
        <v>42</v>
      </c>
      <c r="B44" s="2807" t="s">
        <v>4401</v>
      </c>
      <c r="C44" s="2807">
        <v>804.26</v>
      </c>
      <c r="J44" s="2807">
        <f t="shared" si="0"/>
        <v>43</v>
      </c>
      <c r="K44" s="1414" t="s">
        <v>4544</v>
      </c>
      <c r="L44" s="1414" t="s">
        <v>4503</v>
      </c>
      <c r="M44" s="2807" t="str">
        <f t="shared" si="2"/>
        <v>2801</v>
      </c>
      <c r="N44" s="2807">
        <v>37</v>
      </c>
      <c r="O44" s="2807">
        <v>28</v>
      </c>
      <c r="P44" s="2807">
        <f t="shared" si="1"/>
        <v>812.84</v>
      </c>
      <c r="Q44" s="1414" t="s">
        <v>4517</v>
      </c>
      <c r="R44" s="1414" t="s">
        <v>4516</v>
      </c>
    </row>
    <row r="45" spans="1:18">
      <c r="A45" s="2807">
        <v>43</v>
      </c>
      <c r="B45" s="2807" t="s">
        <v>4402</v>
      </c>
      <c r="C45" s="2807">
        <v>812.84</v>
      </c>
      <c r="J45" s="2807">
        <f t="shared" si="0"/>
        <v>44</v>
      </c>
      <c r="K45" s="1414" t="s">
        <v>4544</v>
      </c>
      <c r="L45" s="1414" t="s">
        <v>4503</v>
      </c>
      <c r="M45" s="2807" t="str">
        <f t="shared" si="2"/>
        <v>2802</v>
      </c>
      <c r="N45" s="2807">
        <v>37</v>
      </c>
      <c r="O45" s="2807">
        <v>28</v>
      </c>
      <c r="P45" s="2807">
        <f t="shared" si="1"/>
        <v>804.26</v>
      </c>
      <c r="Q45" s="1414" t="s">
        <v>4517</v>
      </c>
      <c r="R45" s="1414" t="s">
        <v>4516</v>
      </c>
    </row>
    <row r="46" spans="1:18">
      <c r="A46" s="2807">
        <v>44</v>
      </c>
      <c r="B46" s="2807" t="s">
        <v>4403</v>
      </c>
      <c r="C46" s="2807">
        <v>804.26</v>
      </c>
      <c r="J46" s="2807">
        <f t="shared" si="0"/>
        <v>45</v>
      </c>
      <c r="K46" s="1414" t="s">
        <v>4544</v>
      </c>
      <c r="L46" s="1414" t="s">
        <v>4503</v>
      </c>
      <c r="M46" s="2807" t="str">
        <f t="shared" si="2"/>
        <v>2901</v>
      </c>
      <c r="N46" s="2807">
        <v>37</v>
      </c>
      <c r="O46" s="2807">
        <v>29</v>
      </c>
      <c r="P46" s="2807">
        <f t="shared" si="1"/>
        <v>812.84</v>
      </c>
      <c r="Q46" s="1414" t="s">
        <v>4517</v>
      </c>
      <c r="R46" s="1414" t="s">
        <v>4516</v>
      </c>
    </row>
    <row r="47" spans="1:18">
      <c r="A47" s="2807">
        <v>45</v>
      </c>
      <c r="B47" s="2807" t="s">
        <v>4404</v>
      </c>
      <c r="C47" s="2807">
        <v>812.84</v>
      </c>
      <c r="J47" s="2807">
        <f t="shared" si="0"/>
        <v>46</v>
      </c>
      <c r="K47" s="1414" t="s">
        <v>4544</v>
      </c>
      <c r="L47" s="1414" t="s">
        <v>4503</v>
      </c>
      <c r="M47" s="2807" t="str">
        <f t="shared" si="2"/>
        <v>2902</v>
      </c>
      <c r="N47" s="2807">
        <v>37</v>
      </c>
      <c r="O47" s="2807">
        <v>29</v>
      </c>
      <c r="P47" s="2807">
        <f t="shared" si="1"/>
        <v>804.26</v>
      </c>
      <c r="Q47" s="1414" t="s">
        <v>4517</v>
      </c>
      <c r="R47" s="1414" t="s">
        <v>4516</v>
      </c>
    </row>
    <row r="48" spans="1:18">
      <c r="A48" s="2807">
        <v>46</v>
      </c>
      <c r="B48" s="2807" t="s">
        <v>4405</v>
      </c>
      <c r="C48" s="2807">
        <v>804.26</v>
      </c>
      <c r="J48" s="2807">
        <f t="shared" si="0"/>
        <v>47</v>
      </c>
      <c r="K48" s="1414" t="s">
        <v>4544</v>
      </c>
      <c r="L48" s="1414" t="s">
        <v>4503</v>
      </c>
      <c r="M48" s="2807" t="str">
        <f t="shared" si="2"/>
        <v>3001</v>
      </c>
      <c r="N48" s="2807">
        <v>37</v>
      </c>
      <c r="O48" s="2807">
        <v>30</v>
      </c>
      <c r="P48" s="2807">
        <f t="shared" si="1"/>
        <v>812.84</v>
      </c>
      <c r="Q48" s="1414" t="s">
        <v>4517</v>
      </c>
      <c r="R48" s="1414" t="s">
        <v>4516</v>
      </c>
    </row>
    <row r="49" spans="1:18">
      <c r="A49" s="2807">
        <v>47</v>
      </c>
      <c r="B49" s="2807" t="s">
        <v>4406</v>
      </c>
      <c r="C49" s="2807">
        <v>812.84</v>
      </c>
      <c r="J49" s="2807">
        <f t="shared" si="0"/>
        <v>48</v>
      </c>
      <c r="K49" s="1414" t="s">
        <v>4544</v>
      </c>
      <c r="L49" s="1414" t="s">
        <v>4503</v>
      </c>
      <c r="M49" s="2807" t="str">
        <f t="shared" si="2"/>
        <v>3002</v>
      </c>
      <c r="N49" s="2807">
        <v>37</v>
      </c>
      <c r="O49" s="2807">
        <v>30</v>
      </c>
      <c r="P49" s="2807">
        <f t="shared" si="1"/>
        <v>804.26</v>
      </c>
      <c r="Q49" s="1414" t="s">
        <v>4517</v>
      </c>
      <c r="R49" s="1414" t="s">
        <v>4516</v>
      </c>
    </row>
    <row r="50" spans="1:18">
      <c r="A50" s="2807">
        <v>48</v>
      </c>
      <c r="B50" s="2807" t="s">
        <v>4407</v>
      </c>
      <c r="C50" s="2807">
        <v>804.26</v>
      </c>
      <c r="J50" s="2807">
        <f t="shared" si="0"/>
        <v>49</v>
      </c>
      <c r="K50" s="1414" t="s">
        <v>4544</v>
      </c>
      <c r="L50" s="1414" t="s">
        <v>4503</v>
      </c>
      <c r="M50" s="2807" t="str">
        <f t="shared" si="2"/>
        <v>3101</v>
      </c>
      <c r="N50" s="2807">
        <v>37</v>
      </c>
      <c r="O50" s="2807">
        <v>31</v>
      </c>
      <c r="P50" s="2807">
        <f t="shared" si="1"/>
        <v>812.84</v>
      </c>
      <c r="Q50" s="1414" t="s">
        <v>4517</v>
      </c>
      <c r="R50" s="1414" t="s">
        <v>4516</v>
      </c>
    </row>
    <row r="51" spans="1:18">
      <c r="A51" s="2807">
        <v>49</v>
      </c>
      <c r="B51" s="2807" t="s">
        <v>4408</v>
      </c>
      <c r="C51" s="2807">
        <v>812.84</v>
      </c>
      <c r="J51" s="2807">
        <f t="shared" si="0"/>
        <v>50</v>
      </c>
      <c r="K51" s="1414" t="s">
        <v>4544</v>
      </c>
      <c r="L51" s="1414" t="s">
        <v>4503</v>
      </c>
      <c r="M51" s="2807" t="str">
        <f t="shared" si="2"/>
        <v>3102</v>
      </c>
      <c r="N51" s="2807">
        <v>37</v>
      </c>
      <c r="O51" s="2807">
        <v>31</v>
      </c>
      <c r="P51" s="2807">
        <f t="shared" si="1"/>
        <v>804.26</v>
      </c>
      <c r="Q51" s="1414" t="s">
        <v>4517</v>
      </c>
      <c r="R51" s="1414" t="s">
        <v>4516</v>
      </c>
    </row>
    <row r="52" spans="1:18">
      <c r="A52" s="2807">
        <v>50</v>
      </c>
      <c r="B52" s="2807" t="s">
        <v>4409</v>
      </c>
      <c r="C52" s="2807">
        <v>804.26</v>
      </c>
      <c r="J52" s="2807">
        <f t="shared" si="0"/>
        <v>51</v>
      </c>
      <c r="K52" s="1414" t="s">
        <v>4544</v>
      </c>
      <c r="L52" s="1414" t="s">
        <v>4503</v>
      </c>
      <c r="M52" s="2807" t="str">
        <f t="shared" si="2"/>
        <v>3201</v>
      </c>
      <c r="N52" s="2807">
        <v>37</v>
      </c>
      <c r="O52" s="2807">
        <v>32</v>
      </c>
      <c r="P52" s="2807">
        <f t="shared" si="1"/>
        <v>812.84</v>
      </c>
      <c r="Q52" s="1414" t="s">
        <v>4517</v>
      </c>
      <c r="R52" s="1414" t="s">
        <v>4516</v>
      </c>
    </row>
    <row r="53" spans="1:18">
      <c r="A53" s="2807">
        <v>51</v>
      </c>
      <c r="B53" s="2807" t="s">
        <v>4410</v>
      </c>
      <c r="C53" s="2807">
        <v>812.84</v>
      </c>
      <c r="J53" s="2807">
        <f t="shared" si="0"/>
        <v>52</v>
      </c>
      <c r="K53" s="1414" t="s">
        <v>4544</v>
      </c>
      <c r="L53" s="1414" t="s">
        <v>4503</v>
      </c>
      <c r="M53" s="2807" t="str">
        <f t="shared" si="2"/>
        <v>3202</v>
      </c>
      <c r="N53" s="2807">
        <v>37</v>
      </c>
      <c r="O53" s="2807">
        <v>32</v>
      </c>
      <c r="P53" s="2807">
        <f t="shared" si="1"/>
        <v>804.26</v>
      </c>
      <c r="Q53" s="1414" t="s">
        <v>4517</v>
      </c>
      <c r="R53" s="1414" t="s">
        <v>4516</v>
      </c>
    </row>
    <row r="54" spans="1:18">
      <c r="A54" s="2807">
        <v>52</v>
      </c>
      <c r="B54" s="2807" t="s">
        <v>4411</v>
      </c>
      <c r="C54" s="2807">
        <v>804.26</v>
      </c>
      <c r="J54" s="2807">
        <f t="shared" si="0"/>
        <v>53</v>
      </c>
      <c r="K54" s="1414" t="s">
        <v>4544</v>
      </c>
      <c r="L54" s="1414" t="s">
        <v>4503</v>
      </c>
      <c r="M54" s="2807" t="str">
        <f t="shared" si="2"/>
        <v>3301</v>
      </c>
      <c r="N54" s="2807">
        <v>37</v>
      </c>
      <c r="O54" s="2807">
        <v>33</v>
      </c>
      <c r="P54" s="2807">
        <f t="shared" si="1"/>
        <v>812.84</v>
      </c>
      <c r="Q54" s="1414" t="s">
        <v>4517</v>
      </c>
      <c r="R54" s="1414" t="s">
        <v>4516</v>
      </c>
    </row>
    <row r="55" spans="1:18">
      <c r="A55" s="2807">
        <v>53</v>
      </c>
      <c r="B55" s="2807" t="s">
        <v>4412</v>
      </c>
      <c r="C55" s="2807">
        <v>812.84</v>
      </c>
      <c r="J55" s="2807">
        <f t="shared" si="0"/>
        <v>54</v>
      </c>
      <c r="K55" s="1414" t="s">
        <v>4544</v>
      </c>
      <c r="L55" s="1414" t="s">
        <v>4503</v>
      </c>
      <c r="M55" s="2807" t="str">
        <f t="shared" si="2"/>
        <v>3302</v>
      </c>
      <c r="N55" s="2807">
        <v>37</v>
      </c>
      <c r="O55" s="2807">
        <v>33</v>
      </c>
      <c r="P55" s="2807">
        <f t="shared" si="1"/>
        <v>804.26</v>
      </c>
      <c r="Q55" s="1414" t="s">
        <v>4517</v>
      </c>
      <c r="R55" s="1414" t="s">
        <v>4516</v>
      </c>
    </row>
    <row r="56" spans="1:18">
      <c r="A56" s="2807">
        <v>54</v>
      </c>
      <c r="B56" s="2807" t="s">
        <v>4413</v>
      </c>
      <c r="C56" s="2807">
        <v>804.26</v>
      </c>
      <c r="J56" s="1414" t="s">
        <v>4563</v>
      </c>
      <c r="P56" s="2807">
        <f>SUM(P2:P55)</f>
        <v>43414.549999999974</v>
      </c>
    </row>
    <row r="57" spans="1:18">
      <c r="C57" s="2807">
        <f>SUM(C3:C56)</f>
        <v>43414.549999999974</v>
      </c>
    </row>
  </sheetData>
  <phoneticPr fontId="13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03" t="str">
        <f>项目基本情况!B1</f>
        <v>北京市房地产抵押价值预评估</v>
      </c>
      <c r="C37" s="3203"/>
      <c r="D37" s="3203"/>
      <c r="E37" s="3203"/>
      <c r="F37" s="3203"/>
      <c r="G37" s="3203"/>
      <c r="H37" s="3203"/>
      <c r="I37" s="3203"/>
    </row>
    <row r="38" spans="1:9">
      <c r="A38" s="790"/>
      <c r="B38" s="790"/>
    </row>
    <row r="39" spans="1:9">
      <c r="A39" s="788" t="s">
        <v>371</v>
      </c>
      <c r="B39" s="788" t="s">
        <v>373</v>
      </c>
    </row>
    <row r="40" spans="1:9">
      <c r="A40" s="788"/>
      <c r="B40" s="1371">
        <f>项目基本情况!B5</f>
        <v>0</v>
      </c>
    </row>
    <row r="41" spans="1:9">
      <c r="A41" s="788"/>
      <c r="B41" s="788"/>
    </row>
    <row r="42" spans="1:9">
      <c r="A42" s="788" t="s">
        <v>371</v>
      </c>
      <c r="B42" s="788" t="s">
        <v>374</v>
      </c>
    </row>
    <row r="43" spans="1:9">
      <c r="A43" s="788"/>
      <c r="B43" s="1371" t="s">
        <v>375</v>
      </c>
    </row>
    <row r="44" spans="1:9">
      <c r="A44" s="788"/>
      <c r="B44" s="788"/>
    </row>
    <row r="45" spans="1:9">
      <c r="A45" s="788" t="s">
        <v>371</v>
      </c>
      <c r="B45" s="788" t="s">
        <v>376</v>
      </c>
    </row>
    <row r="46" spans="1:9" s="788" customFormat="1" ht="12.75">
      <c r="B46" s="1371" t="str">
        <f>项目基本情况!K4</f>
        <v>（注册号：0)、（注册号：0)</v>
      </c>
    </row>
    <row r="47" spans="1:9">
      <c r="A47" s="788"/>
      <c r="B47" s="788" t="str">
        <f>项目基本情况!K5</f>
        <v>（注册号：0)、（注册号：0)</v>
      </c>
    </row>
    <row r="48" spans="1:9">
      <c r="A48" s="788" t="s">
        <v>371</v>
      </c>
      <c r="B48" s="788"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753"/>
  <sheetViews>
    <sheetView workbookViewId="0">
      <selection activeCell="B3" sqref="B3"/>
    </sheetView>
  </sheetViews>
  <sheetFormatPr defaultRowHeight="13.5"/>
  <cols>
    <col min="1" max="16384" width="9" style="2807"/>
  </cols>
  <sheetData>
    <row r="1" spans="1:22" ht="26.25" thickBot="1">
      <c r="A1" s="1414" t="s">
        <v>3386</v>
      </c>
      <c r="I1" s="3187" t="s">
        <v>4456</v>
      </c>
      <c r="J1" s="3188" t="s">
        <v>4515</v>
      </c>
      <c r="K1" s="3188" t="s">
        <v>4507</v>
      </c>
      <c r="L1" s="3189" t="s">
        <v>4508</v>
      </c>
      <c r="M1" s="3189" t="s">
        <v>4509</v>
      </c>
      <c r="N1" s="3189" t="s">
        <v>4510</v>
      </c>
      <c r="O1" s="3189" t="s">
        <v>4511</v>
      </c>
      <c r="P1" s="3189" t="s">
        <v>4512</v>
      </c>
      <c r="Q1" s="3189" t="s">
        <v>4513</v>
      </c>
    </row>
    <row r="2" spans="1:22">
      <c r="A2" s="1414" t="s">
        <v>3382</v>
      </c>
      <c r="B2" s="1414" t="s">
        <v>3380</v>
      </c>
      <c r="C2" s="1414" t="s">
        <v>3381</v>
      </c>
      <c r="I2" s="2807">
        <f>A3</f>
        <v>1</v>
      </c>
      <c r="J2" s="2807" t="str">
        <f>A1</f>
        <v>京(2023)昌不动产权第0051730号</v>
      </c>
      <c r="K2" s="1414" t="s">
        <v>4505</v>
      </c>
      <c r="L2" s="2807">
        <f>B3</f>
        <v>101</v>
      </c>
      <c r="M2" s="2807">
        <v>8</v>
      </c>
      <c r="N2" s="2807">
        <v>1</v>
      </c>
      <c r="O2" s="2807">
        <f>C3</f>
        <v>56346.27</v>
      </c>
      <c r="P2" s="1414" t="s">
        <v>4546</v>
      </c>
      <c r="Q2" s="1414" t="s">
        <v>4546</v>
      </c>
    </row>
    <row r="3" spans="1:22">
      <c r="A3" s="1414">
        <v>1</v>
      </c>
      <c r="B3" s="2807">
        <v>101</v>
      </c>
      <c r="C3" s="1414">
        <v>56346.27</v>
      </c>
      <c r="D3" s="1414" t="s">
        <v>4136</v>
      </c>
      <c r="I3" s="2807">
        <f t="shared" ref="I3:I66" si="0">A4</f>
        <v>2</v>
      </c>
      <c r="J3" s="2807" t="s">
        <v>4545</v>
      </c>
      <c r="K3" s="1414" t="s">
        <v>4504</v>
      </c>
      <c r="L3" s="2807" t="str">
        <f t="shared" ref="L3:L66" si="1">B4</f>
        <v>B2001</v>
      </c>
      <c r="M3" s="2807">
        <v>8</v>
      </c>
      <c r="N3" s="2807">
        <v>-2</v>
      </c>
      <c r="O3" s="2807">
        <f t="shared" ref="O3:O66" si="2">C4</f>
        <v>52.93</v>
      </c>
      <c r="P3" s="1414" t="s">
        <v>4547</v>
      </c>
      <c r="Q3" s="1414" t="s">
        <v>4547</v>
      </c>
    </row>
    <row r="4" spans="1:22">
      <c r="A4" s="3140">
        <v>2</v>
      </c>
      <c r="B4" s="3140" t="s">
        <v>3956</v>
      </c>
      <c r="C4" s="3140">
        <v>52.93</v>
      </c>
      <c r="I4" s="2807">
        <f t="shared" si="0"/>
        <v>3</v>
      </c>
      <c r="J4" s="2807" t="s">
        <v>4545</v>
      </c>
      <c r="K4" s="1414" t="s">
        <v>4504</v>
      </c>
      <c r="L4" s="2807" t="str">
        <f t="shared" si="1"/>
        <v>B2002</v>
      </c>
      <c r="M4" s="2807">
        <v>8</v>
      </c>
      <c r="N4" s="2807">
        <v>-2</v>
      </c>
      <c r="O4" s="2807">
        <f t="shared" si="2"/>
        <v>52.93</v>
      </c>
      <c r="P4" s="1414" t="s">
        <v>4547</v>
      </c>
      <c r="Q4" s="1414" t="s">
        <v>4547</v>
      </c>
    </row>
    <row r="5" spans="1:22">
      <c r="A5" s="1414">
        <v>3</v>
      </c>
      <c r="B5" s="1414" t="s">
        <v>3957</v>
      </c>
      <c r="C5" s="1414">
        <v>52.93</v>
      </c>
      <c r="F5" s="1414" t="s">
        <v>4144</v>
      </c>
      <c r="I5" s="2807">
        <f t="shared" si="0"/>
        <v>4</v>
      </c>
      <c r="J5" s="2807" t="s">
        <v>4545</v>
      </c>
      <c r="K5" s="1414" t="s">
        <v>4504</v>
      </c>
      <c r="L5" s="2807" t="str">
        <f t="shared" si="1"/>
        <v>B2003</v>
      </c>
      <c r="M5" s="2807">
        <v>8</v>
      </c>
      <c r="N5" s="2807">
        <v>-2</v>
      </c>
      <c r="O5" s="2807">
        <f t="shared" si="2"/>
        <v>52.93</v>
      </c>
      <c r="P5" s="1414" t="s">
        <v>4547</v>
      </c>
      <c r="Q5" s="1414" t="s">
        <v>4547</v>
      </c>
    </row>
    <row r="6" spans="1:22">
      <c r="A6" s="1414">
        <v>4</v>
      </c>
      <c r="B6" s="1414" t="s">
        <v>3958</v>
      </c>
      <c r="C6" s="1414">
        <v>52.93</v>
      </c>
      <c r="E6" s="1414" t="s">
        <v>4136</v>
      </c>
      <c r="F6" s="2807">
        <f>C3</f>
        <v>56346.27</v>
      </c>
      <c r="I6" s="2807">
        <f t="shared" si="0"/>
        <v>5</v>
      </c>
      <c r="J6" s="2807" t="s">
        <v>4545</v>
      </c>
      <c r="K6" s="1414" t="s">
        <v>4504</v>
      </c>
      <c r="L6" s="2807" t="str">
        <f t="shared" si="1"/>
        <v>B2004</v>
      </c>
      <c r="M6" s="2807">
        <v>8</v>
      </c>
      <c r="N6" s="2807">
        <v>-2</v>
      </c>
      <c r="O6" s="2807">
        <f t="shared" si="2"/>
        <v>52.93</v>
      </c>
      <c r="P6" s="1414" t="s">
        <v>4547</v>
      </c>
      <c r="Q6" s="1414" t="s">
        <v>4547</v>
      </c>
    </row>
    <row r="7" spans="1:22">
      <c r="A7" s="1414">
        <v>5</v>
      </c>
      <c r="B7" s="1414" t="s">
        <v>3959</v>
      </c>
      <c r="C7" s="1414">
        <v>52.93</v>
      </c>
      <c r="E7" s="1414" t="s">
        <v>4141</v>
      </c>
      <c r="F7" s="2807">
        <f>SUM(C4:C183)</f>
        <v>9370.3700000000226</v>
      </c>
      <c r="I7" s="2807">
        <f t="shared" si="0"/>
        <v>6</v>
      </c>
      <c r="J7" s="2807" t="s">
        <v>4545</v>
      </c>
      <c r="K7" s="1414" t="s">
        <v>4504</v>
      </c>
      <c r="L7" s="2807" t="str">
        <f t="shared" si="1"/>
        <v>B2005</v>
      </c>
      <c r="M7" s="2807">
        <v>8</v>
      </c>
      <c r="N7" s="2807">
        <v>-2</v>
      </c>
      <c r="O7" s="2807">
        <f t="shared" si="2"/>
        <v>52.93</v>
      </c>
      <c r="P7" s="1414" t="s">
        <v>4547</v>
      </c>
      <c r="Q7" s="1414" t="s">
        <v>4547</v>
      </c>
    </row>
    <row r="8" spans="1:22">
      <c r="A8" s="1414">
        <v>6</v>
      </c>
      <c r="B8" s="1414" t="s">
        <v>3960</v>
      </c>
      <c r="C8" s="1414">
        <v>52.93</v>
      </c>
      <c r="E8" s="1414" t="s">
        <v>4142</v>
      </c>
      <c r="F8" s="2807">
        <f>SUM(C184:C511)</f>
        <v>17542.890000000061</v>
      </c>
      <c r="I8" s="2807">
        <f t="shared" si="0"/>
        <v>7</v>
      </c>
      <c r="J8" s="2807" t="s">
        <v>4545</v>
      </c>
      <c r="K8" s="1414" t="s">
        <v>4504</v>
      </c>
      <c r="L8" s="2807" t="str">
        <f t="shared" si="1"/>
        <v>B2006</v>
      </c>
      <c r="M8" s="2807">
        <v>8</v>
      </c>
      <c r="N8" s="2807">
        <v>-2</v>
      </c>
      <c r="O8" s="2807">
        <f t="shared" si="2"/>
        <v>52.93</v>
      </c>
      <c r="P8" s="1414" t="s">
        <v>4547</v>
      </c>
      <c r="Q8" s="1414" t="s">
        <v>4547</v>
      </c>
    </row>
    <row r="9" spans="1:22">
      <c r="A9" s="1414">
        <v>7</v>
      </c>
      <c r="B9" s="1414" t="s">
        <v>3961</v>
      </c>
      <c r="C9" s="1414">
        <v>52.93</v>
      </c>
      <c r="E9" s="1414" t="s">
        <v>4143</v>
      </c>
      <c r="F9" s="2807">
        <f>SUM(C512:C752)</f>
        <v>12905.760000000038</v>
      </c>
      <c r="I9" s="2807">
        <f t="shared" si="0"/>
        <v>8</v>
      </c>
      <c r="J9" s="2807" t="s">
        <v>4545</v>
      </c>
      <c r="K9" s="1414" t="s">
        <v>4504</v>
      </c>
      <c r="L9" s="2807" t="str">
        <f t="shared" si="1"/>
        <v>B2007</v>
      </c>
      <c r="M9" s="2807">
        <v>8</v>
      </c>
      <c r="N9" s="2807">
        <v>-2</v>
      </c>
      <c r="O9" s="2807">
        <f t="shared" si="2"/>
        <v>52.93</v>
      </c>
      <c r="P9" s="1414" t="s">
        <v>4547</v>
      </c>
      <c r="Q9" s="1414" t="s">
        <v>4547</v>
      </c>
      <c r="R9" s="1414"/>
      <c r="S9" s="1414"/>
      <c r="T9" s="1414"/>
      <c r="U9" s="1414"/>
      <c r="V9" s="1414"/>
    </row>
    <row r="10" spans="1:22">
      <c r="A10" s="1414">
        <v>8</v>
      </c>
      <c r="B10" s="1414" t="s">
        <v>3962</v>
      </c>
      <c r="C10" s="1414">
        <v>52.93</v>
      </c>
      <c r="E10" s="1414" t="s">
        <v>4145</v>
      </c>
      <c r="F10" s="2807">
        <f>F7+F8+F9</f>
        <v>39819.02000000012</v>
      </c>
      <c r="I10" s="2807">
        <f t="shared" si="0"/>
        <v>9</v>
      </c>
      <c r="J10" s="2807" t="s">
        <v>4545</v>
      </c>
      <c r="K10" s="1414" t="s">
        <v>4504</v>
      </c>
      <c r="L10" s="2807" t="str">
        <f t="shared" si="1"/>
        <v>B2008</v>
      </c>
      <c r="M10" s="2807">
        <v>8</v>
      </c>
      <c r="N10" s="2807">
        <v>-2</v>
      </c>
      <c r="O10" s="2807">
        <f t="shared" si="2"/>
        <v>52.93</v>
      </c>
      <c r="P10" s="1414" t="s">
        <v>4547</v>
      </c>
      <c r="Q10" s="1414" t="s">
        <v>4547</v>
      </c>
      <c r="S10" s="1414"/>
    </row>
    <row r="11" spans="1:22">
      <c r="A11" s="1414">
        <v>9</v>
      </c>
      <c r="B11" s="1414" t="s">
        <v>3963</v>
      </c>
      <c r="C11" s="1414">
        <v>52.93</v>
      </c>
      <c r="E11" s="1414" t="s">
        <v>4146</v>
      </c>
      <c r="F11" s="2807">
        <f>F6+F10</f>
        <v>96165.290000000125</v>
      </c>
      <c r="I11" s="2807">
        <f t="shared" si="0"/>
        <v>10</v>
      </c>
      <c r="J11" s="2807" t="s">
        <v>4545</v>
      </c>
      <c r="K11" s="1414" t="s">
        <v>4504</v>
      </c>
      <c r="L11" s="2807" t="str">
        <f t="shared" si="1"/>
        <v>B2009</v>
      </c>
      <c r="M11" s="2807">
        <v>8</v>
      </c>
      <c r="N11" s="2807">
        <v>-2</v>
      </c>
      <c r="O11" s="2807">
        <f t="shared" si="2"/>
        <v>52.93</v>
      </c>
      <c r="P11" s="1414" t="s">
        <v>4547</v>
      </c>
      <c r="Q11" s="1414" t="s">
        <v>4547</v>
      </c>
      <c r="S11" s="1414"/>
    </row>
    <row r="12" spans="1:22">
      <c r="A12" s="1414">
        <v>10</v>
      </c>
      <c r="B12" s="1414" t="s">
        <v>3964</v>
      </c>
      <c r="C12" s="1414">
        <v>52.93</v>
      </c>
      <c r="I12" s="2807">
        <f t="shared" si="0"/>
        <v>11</v>
      </c>
      <c r="J12" s="2807" t="s">
        <v>4545</v>
      </c>
      <c r="K12" s="1414" t="s">
        <v>4504</v>
      </c>
      <c r="L12" s="2807" t="str">
        <f t="shared" si="1"/>
        <v>B2010</v>
      </c>
      <c r="M12" s="2807">
        <v>8</v>
      </c>
      <c r="N12" s="2807">
        <v>-2</v>
      </c>
      <c r="O12" s="2807">
        <f t="shared" si="2"/>
        <v>52.93</v>
      </c>
      <c r="P12" s="1414" t="s">
        <v>4547</v>
      </c>
      <c r="Q12" s="1414" t="s">
        <v>4547</v>
      </c>
      <c r="S12" s="1414"/>
    </row>
    <row r="13" spans="1:22">
      <c r="A13" s="1414">
        <v>11</v>
      </c>
      <c r="B13" s="1414" t="s">
        <v>3965</v>
      </c>
      <c r="C13" s="1414">
        <v>52.93</v>
      </c>
      <c r="I13" s="2807">
        <f t="shared" si="0"/>
        <v>12</v>
      </c>
      <c r="J13" s="2807" t="s">
        <v>4545</v>
      </c>
      <c r="K13" s="1414" t="s">
        <v>4504</v>
      </c>
      <c r="L13" s="2807" t="str">
        <f t="shared" si="1"/>
        <v>B2011</v>
      </c>
      <c r="M13" s="2807">
        <v>8</v>
      </c>
      <c r="N13" s="2807">
        <v>-2</v>
      </c>
      <c r="O13" s="2807">
        <f t="shared" si="2"/>
        <v>52.93</v>
      </c>
      <c r="P13" s="1414" t="s">
        <v>4547</v>
      </c>
      <c r="Q13" s="1414" t="s">
        <v>4547</v>
      </c>
      <c r="S13" s="1414"/>
    </row>
    <row r="14" spans="1:22">
      <c r="A14" s="1414">
        <v>12</v>
      </c>
      <c r="B14" s="1414" t="s">
        <v>3966</v>
      </c>
      <c r="C14" s="1414">
        <v>52.93</v>
      </c>
      <c r="I14" s="2807">
        <f t="shared" si="0"/>
        <v>13</v>
      </c>
      <c r="J14" s="2807" t="s">
        <v>4545</v>
      </c>
      <c r="K14" s="1414" t="s">
        <v>4504</v>
      </c>
      <c r="L14" s="2807" t="str">
        <f t="shared" si="1"/>
        <v>B2012</v>
      </c>
      <c r="M14" s="2807">
        <v>8</v>
      </c>
      <c r="N14" s="2807">
        <v>-2</v>
      </c>
      <c r="O14" s="2807">
        <f t="shared" si="2"/>
        <v>52.93</v>
      </c>
      <c r="P14" s="1414" t="s">
        <v>4547</v>
      </c>
      <c r="Q14" s="1414" t="s">
        <v>4547</v>
      </c>
      <c r="S14" s="1414"/>
    </row>
    <row r="15" spans="1:22">
      <c r="A15" s="1414">
        <v>13</v>
      </c>
      <c r="B15" s="1414" t="s">
        <v>3967</v>
      </c>
      <c r="C15" s="1414">
        <v>52.93</v>
      </c>
      <c r="I15" s="2807">
        <f t="shared" si="0"/>
        <v>14</v>
      </c>
      <c r="J15" s="2807" t="s">
        <v>4545</v>
      </c>
      <c r="K15" s="1414" t="s">
        <v>4504</v>
      </c>
      <c r="L15" s="2807" t="str">
        <f t="shared" si="1"/>
        <v>B2013</v>
      </c>
      <c r="M15" s="2807">
        <v>8</v>
      </c>
      <c r="N15" s="2807">
        <v>-2</v>
      </c>
      <c r="O15" s="2807">
        <f t="shared" si="2"/>
        <v>52.93</v>
      </c>
      <c r="P15" s="1414" t="s">
        <v>4547</v>
      </c>
      <c r="Q15" s="1414" t="s">
        <v>4547</v>
      </c>
      <c r="S15" s="1414"/>
    </row>
    <row r="16" spans="1:22">
      <c r="A16" s="1414">
        <v>14</v>
      </c>
      <c r="B16" s="1414" t="s">
        <v>3968</v>
      </c>
      <c r="C16" s="1414">
        <v>52.93</v>
      </c>
      <c r="I16" s="2807">
        <f t="shared" si="0"/>
        <v>15</v>
      </c>
      <c r="J16" s="2807" t="s">
        <v>4545</v>
      </c>
      <c r="K16" s="1414" t="s">
        <v>4504</v>
      </c>
      <c r="L16" s="2807" t="str">
        <f t="shared" si="1"/>
        <v>B2014</v>
      </c>
      <c r="M16" s="2807">
        <v>8</v>
      </c>
      <c r="N16" s="2807">
        <v>-2</v>
      </c>
      <c r="O16" s="2807">
        <f t="shared" si="2"/>
        <v>52.93</v>
      </c>
      <c r="P16" s="1414" t="s">
        <v>4547</v>
      </c>
      <c r="Q16" s="1414" t="s">
        <v>4547</v>
      </c>
    </row>
    <row r="17" spans="1:17">
      <c r="A17" s="1414">
        <v>15</v>
      </c>
      <c r="B17" s="1414" t="s">
        <v>3969</v>
      </c>
      <c r="C17" s="1414">
        <v>52.93</v>
      </c>
      <c r="I17" s="2807">
        <f t="shared" si="0"/>
        <v>16</v>
      </c>
      <c r="J17" s="2807" t="s">
        <v>4545</v>
      </c>
      <c r="K17" s="1414" t="s">
        <v>4504</v>
      </c>
      <c r="L17" s="2807" t="str">
        <f t="shared" si="1"/>
        <v>B2015</v>
      </c>
      <c r="M17" s="2807">
        <v>8</v>
      </c>
      <c r="N17" s="2807">
        <v>-2</v>
      </c>
      <c r="O17" s="2807">
        <f t="shared" si="2"/>
        <v>52.93</v>
      </c>
      <c r="P17" s="1414" t="s">
        <v>4547</v>
      </c>
      <c r="Q17" s="1414" t="s">
        <v>4547</v>
      </c>
    </row>
    <row r="18" spans="1:17">
      <c r="A18" s="1414">
        <v>16</v>
      </c>
      <c r="B18" s="1414" t="s">
        <v>3970</v>
      </c>
      <c r="C18" s="1414">
        <v>52.93</v>
      </c>
      <c r="I18" s="2807">
        <f t="shared" si="0"/>
        <v>17</v>
      </c>
      <c r="J18" s="2807" t="s">
        <v>4545</v>
      </c>
      <c r="K18" s="1414" t="s">
        <v>4504</v>
      </c>
      <c r="L18" s="2807" t="str">
        <f t="shared" si="1"/>
        <v>B2016</v>
      </c>
      <c r="M18" s="2807">
        <v>8</v>
      </c>
      <c r="N18" s="2807">
        <v>-2</v>
      </c>
      <c r="O18" s="2807">
        <f t="shared" si="2"/>
        <v>52.93</v>
      </c>
      <c r="P18" s="1414" t="s">
        <v>4547</v>
      </c>
      <c r="Q18" s="1414" t="s">
        <v>4547</v>
      </c>
    </row>
    <row r="19" spans="1:17">
      <c r="A19" s="1414">
        <v>17</v>
      </c>
      <c r="B19" s="1414" t="s">
        <v>3971</v>
      </c>
      <c r="C19" s="1414">
        <v>52.93</v>
      </c>
      <c r="I19" s="2807">
        <f t="shared" si="0"/>
        <v>18</v>
      </c>
      <c r="J19" s="2807" t="s">
        <v>4545</v>
      </c>
      <c r="K19" s="1414" t="s">
        <v>4504</v>
      </c>
      <c r="L19" s="2807" t="str">
        <f t="shared" si="1"/>
        <v>B2017</v>
      </c>
      <c r="M19" s="2807">
        <v>8</v>
      </c>
      <c r="N19" s="2807">
        <v>-2</v>
      </c>
      <c r="O19" s="2807">
        <f t="shared" si="2"/>
        <v>52.93</v>
      </c>
      <c r="P19" s="1414" t="s">
        <v>4547</v>
      </c>
      <c r="Q19" s="1414" t="s">
        <v>4547</v>
      </c>
    </row>
    <row r="20" spans="1:17">
      <c r="A20" s="1414">
        <v>18</v>
      </c>
      <c r="B20" s="1414" t="s">
        <v>3972</v>
      </c>
      <c r="C20" s="1414">
        <v>52.93</v>
      </c>
      <c r="I20" s="2807">
        <f t="shared" si="0"/>
        <v>19</v>
      </c>
      <c r="J20" s="2807" t="s">
        <v>4545</v>
      </c>
      <c r="K20" s="1414" t="s">
        <v>4504</v>
      </c>
      <c r="L20" s="2807" t="str">
        <f t="shared" si="1"/>
        <v>B2018</v>
      </c>
      <c r="M20" s="2807">
        <v>8</v>
      </c>
      <c r="N20" s="2807">
        <v>-2</v>
      </c>
      <c r="O20" s="2807">
        <f t="shared" si="2"/>
        <v>52.93</v>
      </c>
      <c r="P20" s="1414" t="s">
        <v>4547</v>
      </c>
      <c r="Q20" s="1414" t="s">
        <v>4547</v>
      </c>
    </row>
    <row r="21" spans="1:17">
      <c r="A21" s="1414">
        <v>19</v>
      </c>
      <c r="B21" s="1414" t="s">
        <v>3973</v>
      </c>
      <c r="C21" s="1414">
        <v>52.93</v>
      </c>
      <c r="I21" s="2807">
        <f t="shared" si="0"/>
        <v>20</v>
      </c>
      <c r="J21" s="2807" t="s">
        <v>4545</v>
      </c>
      <c r="K21" s="1414" t="s">
        <v>4504</v>
      </c>
      <c r="L21" s="2807" t="str">
        <f t="shared" si="1"/>
        <v>B2019</v>
      </c>
      <c r="M21" s="2807">
        <v>8</v>
      </c>
      <c r="N21" s="2807">
        <v>-2</v>
      </c>
      <c r="O21" s="2807">
        <f t="shared" si="2"/>
        <v>52.93</v>
      </c>
      <c r="P21" s="1414" t="s">
        <v>4547</v>
      </c>
      <c r="Q21" s="1414" t="s">
        <v>4547</v>
      </c>
    </row>
    <row r="22" spans="1:17">
      <c r="A22" s="1414">
        <v>20</v>
      </c>
      <c r="B22" s="1414" t="s">
        <v>3974</v>
      </c>
      <c r="C22" s="1414">
        <v>52.93</v>
      </c>
      <c r="I22" s="2807">
        <f t="shared" si="0"/>
        <v>21</v>
      </c>
      <c r="J22" s="2807" t="s">
        <v>4545</v>
      </c>
      <c r="K22" s="1414" t="s">
        <v>4504</v>
      </c>
      <c r="L22" s="2807" t="str">
        <f t="shared" si="1"/>
        <v>B2020</v>
      </c>
      <c r="M22" s="2807">
        <v>8</v>
      </c>
      <c r="N22" s="2807">
        <v>-2</v>
      </c>
      <c r="O22" s="2807">
        <f t="shared" si="2"/>
        <v>52.93</v>
      </c>
      <c r="P22" s="1414" t="s">
        <v>4547</v>
      </c>
      <c r="Q22" s="1414" t="s">
        <v>4547</v>
      </c>
    </row>
    <row r="23" spans="1:17">
      <c r="A23" s="1414">
        <v>21</v>
      </c>
      <c r="B23" s="1414" t="s">
        <v>3975</v>
      </c>
      <c r="C23" s="1414">
        <v>52.93</v>
      </c>
      <c r="I23" s="2807">
        <f t="shared" si="0"/>
        <v>22</v>
      </c>
      <c r="J23" s="2807" t="s">
        <v>4545</v>
      </c>
      <c r="K23" s="1414" t="s">
        <v>4504</v>
      </c>
      <c r="L23" s="2807" t="str">
        <f t="shared" si="1"/>
        <v>B2021</v>
      </c>
      <c r="M23" s="2807">
        <v>8</v>
      </c>
      <c r="N23" s="2807">
        <v>-2</v>
      </c>
      <c r="O23" s="2807">
        <f t="shared" si="2"/>
        <v>52.93</v>
      </c>
      <c r="P23" s="1414" t="s">
        <v>4547</v>
      </c>
      <c r="Q23" s="1414" t="s">
        <v>4547</v>
      </c>
    </row>
    <row r="24" spans="1:17">
      <c r="A24" s="1414">
        <v>22</v>
      </c>
      <c r="B24" s="1414" t="s">
        <v>3976</v>
      </c>
      <c r="C24" s="1414">
        <v>52.93</v>
      </c>
      <c r="I24" s="2807">
        <f t="shared" si="0"/>
        <v>23</v>
      </c>
      <c r="J24" s="2807" t="s">
        <v>4545</v>
      </c>
      <c r="K24" s="1414" t="s">
        <v>4504</v>
      </c>
      <c r="L24" s="2807" t="str">
        <f t="shared" si="1"/>
        <v>B2022</v>
      </c>
      <c r="M24" s="2807">
        <v>8</v>
      </c>
      <c r="N24" s="2807">
        <v>-2</v>
      </c>
      <c r="O24" s="2807">
        <f t="shared" si="2"/>
        <v>52.93</v>
      </c>
      <c r="P24" s="1414" t="s">
        <v>4547</v>
      </c>
      <c r="Q24" s="1414" t="s">
        <v>4547</v>
      </c>
    </row>
    <row r="25" spans="1:17">
      <c r="A25" s="1414">
        <v>23</v>
      </c>
      <c r="B25" s="1414" t="s">
        <v>3977</v>
      </c>
      <c r="C25" s="1414">
        <v>52.93</v>
      </c>
      <c r="I25" s="2807">
        <f t="shared" si="0"/>
        <v>24</v>
      </c>
      <c r="J25" s="2807" t="s">
        <v>4545</v>
      </c>
      <c r="K25" s="1414" t="s">
        <v>4504</v>
      </c>
      <c r="L25" s="2807" t="str">
        <f t="shared" si="1"/>
        <v>B2023</v>
      </c>
      <c r="M25" s="2807">
        <v>8</v>
      </c>
      <c r="N25" s="2807">
        <v>-2</v>
      </c>
      <c r="O25" s="2807">
        <f t="shared" si="2"/>
        <v>52.93</v>
      </c>
      <c r="P25" s="1414" t="s">
        <v>4547</v>
      </c>
      <c r="Q25" s="1414" t="s">
        <v>4547</v>
      </c>
    </row>
    <row r="26" spans="1:17">
      <c r="A26" s="1414">
        <v>24</v>
      </c>
      <c r="B26" s="1414" t="s">
        <v>3978</v>
      </c>
      <c r="C26" s="1414">
        <v>52.93</v>
      </c>
      <c r="I26" s="2807">
        <f t="shared" si="0"/>
        <v>25</v>
      </c>
      <c r="J26" s="2807" t="s">
        <v>4545</v>
      </c>
      <c r="K26" s="1414" t="s">
        <v>4504</v>
      </c>
      <c r="L26" s="2807" t="str">
        <f t="shared" si="1"/>
        <v>B2024</v>
      </c>
      <c r="M26" s="2807">
        <v>8</v>
      </c>
      <c r="N26" s="2807">
        <v>-2</v>
      </c>
      <c r="O26" s="2807">
        <f t="shared" si="2"/>
        <v>52.93</v>
      </c>
      <c r="P26" s="1414" t="s">
        <v>4547</v>
      </c>
      <c r="Q26" s="1414" t="s">
        <v>4547</v>
      </c>
    </row>
    <row r="27" spans="1:17">
      <c r="A27" s="1414">
        <v>25</v>
      </c>
      <c r="B27" s="1414" t="s">
        <v>3979</v>
      </c>
      <c r="C27" s="1414">
        <v>52.93</v>
      </c>
      <c r="I27" s="2807">
        <f t="shared" si="0"/>
        <v>26</v>
      </c>
      <c r="J27" s="2807" t="s">
        <v>4545</v>
      </c>
      <c r="K27" s="1414" t="s">
        <v>4504</v>
      </c>
      <c r="L27" s="2807" t="str">
        <f t="shared" si="1"/>
        <v>B2025</v>
      </c>
      <c r="M27" s="2807">
        <v>8</v>
      </c>
      <c r="N27" s="2807">
        <v>-2</v>
      </c>
      <c r="O27" s="2807">
        <f t="shared" si="2"/>
        <v>50.93</v>
      </c>
      <c r="P27" s="1414" t="s">
        <v>4547</v>
      </c>
      <c r="Q27" s="1414" t="s">
        <v>4547</v>
      </c>
    </row>
    <row r="28" spans="1:17">
      <c r="A28" s="1414">
        <v>26</v>
      </c>
      <c r="B28" s="1414" t="s">
        <v>3980</v>
      </c>
      <c r="C28" s="1414">
        <v>50.93</v>
      </c>
      <c r="I28" s="2807">
        <f t="shared" si="0"/>
        <v>27</v>
      </c>
      <c r="J28" s="2807" t="s">
        <v>4545</v>
      </c>
      <c r="K28" s="1414" t="s">
        <v>4504</v>
      </c>
      <c r="L28" s="2807" t="str">
        <f t="shared" si="1"/>
        <v>B2026</v>
      </c>
      <c r="M28" s="2807">
        <v>8</v>
      </c>
      <c r="N28" s="2807">
        <v>-2</v>
      </c>
      <c r="O28" s="2807">
        <f t="shared" si="2"/>
        <v>50.93</v>
      </c>
      <c r="P28" s="1414" t="s">
        <v>4547</v>
      </c>
      <c r="Q28" s="1414" t="s">
        <v>4547</v>
      </c>
    </row>
    <row r="29" spans="1:17">
      <c r="A29" s="1414">
        <v>27</v>
      </c>
      <c r="B29" s="1414" t="s">
        <v>3981</v>
      </c>
      <c r="C29" s="1414">
        <v>50.93</v>
      </c>
      <c r="I29" s="2807">
        <f t="shared" si="0"/>
        <v>28</v>
      </c>
      <c r="J29" s="2807" t="s">
        <v>4545</v>
      </c>
      <c r="K29" s="1414" t="s">
        <v>4504</v>
      </c>
      <c r="L29" s="2807" t="str">
        <f t="shared" si="1"/>
        <v>B2027</v>
      </c>
      <c r="M29" s="2807">
        <v>8</v>
      </c>
      <c r="N29" s="2807">
        <v>-2</v>
      </c>
      <c r="O29" s="2807">
        <f t="shared" si="2"/>
        <v>50.93</v>
      </c>
      <c r="P29" s="1414" t="s">
        <v>4547</v>
      </c>
      <c r="Q29" s="1414" t="s">
        <v>4547</v>
      </c>
    </row>
    <row r="30" spans="1:17">
      <c r="A30" s="1414">
        <v>28</v>
      </c>
      <c r="B30" s="1414" t="s">
        <v>3982</v>
      </c>
      <c r="C30" s="1414">
        <v>50.93</v>
      </c>
      <c r="I30" s="2807">
        <f t="shared" si="0"/>
        <v>29</v>
      </c>
      <c r="J30" s="2807" t="s">
        <v>4545</v>
      </c>
      <c r="K30" s="1414" t="s">
        <v>4504</v>
      </c>
      <c r="L30" s="2807" t="str">
        <f t="shared" si="1"/>
        <v>B2028</v>
      </c>
      <c r="M30" s="2807">
        <v>8</v>
      </c>
      <c r="N30" s="2807">
        <v>-2</v>
      </c>
      <c r="O30" s="2807">
        <f t="shared" si="2"/>
        <v>50.93</v>
      </c>
      <c r="P30" s="1414" t="s">
        <v>4547</v>
      </c>
      <c r="Q30" s="1414" t="s">
        <v>4547</v>
      </c>
    </row>
    <row r="31" spans="1:17">
      <c r="A31" s="1414">
        <v>29</v>
      </c>
      <c r="B31" s="1414" t="s">
        <v>3983</v>
      </c>
      <c r="C31" s="1414">
        <v>50.93</v>
      </c>
      <c r="I31" s="2807">
        <f t="shared" si="0"/>
        <v>30</v>
      </c>
      <c r="J31" s="2807" t="s">
        <v>4545</v>
      </c>
      <c r="K31" s="1414" t="s">
        <v>4504</v>
      </c>
      <c r="L31" s="2807" t="str">
        <f t="shared" si="1"/>
        <v>B2029</v>
      </c>
      <c r="M31" s="2807">
        <v>8</v>
      </c>
      <c r="N31" s="2807">
        <v>-2</v>
      </c>
      <c r="O31" s="2807">
        <f t="shared" si="2"/>
        <v>50.93</v>
      </c>
      <c r="P31" s="1414" t="s">
        <v>4547</v>
      </c>
      <c r="Q31" s="1414" t="s">
        <v>4547</v>
      </c>
    </row>
    <row r="32" spans="1:17">
      <c r="A32" s="1414">
        <v>30</v>
      </c>
      <c r="B32" s="1414" t="s">
        <v>3984</v>
      </c>
      <c r="C32" s="1414">
        <v>50.93</v>
      </c>
      <c r="I32" s="2807">
        <f t="shared" si="0"/>
        <v>31</v>
      </c>
      <c r="J32" s="2807" t="s">
        <v>4545</v>
      </c>
      <c r="K32" s="1414" t="s">
        <v>4504</v>
      </c>
      <c r="L32" s="2807" t="str">
        <f t="shared" si="1"/>
        <v>B2030</v>
      </c>
      <c r="M32" s="2807">
        <v>8</v>
      </c>
      <c r="N32" s="2807">
        <v>-2</v>
      </c>
      <c r="O32" s="2807">
        <f t="shared" si="2"/>
        <v>50.93</v>
      </c>
      <c r="P32" s="1414" t="s">
        <v>4547</v>
      </c>
      <c r="Q32" s="1414" t="s">
        <v>4547</v>
      </c>
    </row>
    <row r="33" spans="1:17">
      <c r="A33" s="1414">
        <v>31</v>
      </c>
      <c r="B33" s="1414" t="s">
        <v>3985</v>
      </c>
      <c r="C33" s="1414">
        <v>50.93</v>
      </c>
      <c r="I33" s="2807">
        <f t="shared" si="0"/>
        <v>32</v>
      </c>
      <c r="J33" s="2807" t="s">
        <v>4545</v>
      </c>
      <c r="K33" s="1414" t="s">
        <v>4504</v>
      </c>
      <c r="L33" s="2807" t="str">
        <f t="shared" si="1"/>
        <v>B2031</v>
      </c>
      <c r="M33" s="2807">
        <v>8</v>
      </c>
      <c r="N33" s="2807">
        <v>-2</v>
      </c>
      <c r="O33" s="2807">
        <f t="shared" si="2"/>
        <v>50.93</v>
      </c>
      <c r="P33" s="1414" t="s">
        <v>4547</v>
      </c>
      <c r="Q33" s="1414" t="s">
        <v>4547</v>
      </c>
    </row>
    <row r="34" spans="1:17">
      <c r="A34" s="1414">
        <v>32</v>
      </c>
      <c r="B34" s="1414" t="s">
        <v>3986</v>
      </c>
      <c r="C34" s="1414">
        <v>50.93</v>
      </c>
      <c r="I34" s="2807">
        <f t="shared" si="0"/>
        <v>33</v>
      </c>
      <c r="J34" s="2807" t="s">
        <v>4545</v>
      </c>
      <c r="K34" s="1414" t="s">
        <v>4504</v>
      </c>
      <c r="L34" s="2807" t="str">
        <f t="shared" si="1"/>
        <v>B2032</v>
      </c>
      <c r="M34" s="2807">
        <v>8</v>
      </c>
      <c r="N34" s="2807">
        <v>-2</v>
      </c>
      <c r="O34" s="2807">
        <f t="shared" si="2"/>
        <v>50.93</v>
      </c>
      <c r="P34" s="1414" t="s">
        <v>4547</v>
      </c>
      <c r="Q34" s="1414" t="s">
        <v>4547</v>
      </c>
    </row>
    <row r="35" spans="1:17">
      <c r="A35" s="1414">
        <v>33</v>
      </c>
      <c r="B35" s="1414" t="s">
        <v>3987</v>
      </c>
      <c r="C35" s="1414">
        <v>50.93</v>
      </c>
      <c r="I35" s="2807">
        <f t="shared" si="0"/>
        <v>34</v>
      </c>
      <c r="J35" s="2807" t="s">
        <v>4545</v>
      </c>
      <c r="K35" s="1414" t="s">
        <v>4504</v>
      </c>
      <c r="L35" s="2807" t="str">
        <f t="shared" si="1"/>
        <v>B2033</v>
      </c>
      <c r="M35" s="2807">
        <v>8</v>
      </c>
      <c r="N35" s="2807">
        <v>-2</v>
      </c>
      <c r="O35" s="2807">
        <f t="shared" si="2"/>
        <v>50.93</v>
      </c>
      <c r="P35" s="1414" t="s">
        <v>4547</v>
      </c>
      <c r="Q35" s="1414" t="s">
        <v>4547</v>
      </c>
    </row>
    <row r="36" spans="1:17">
      <c r="A36" s="1414">
        <v>34</v>
      </c>
      <c r="B36" s="1414" t="s">
        <v>3988</v>
      </c>
      <c r="C36" s="1414">
        <v>50.93</v>
      </c>
      <c r="I36" s="2807">
        <f t="shared" si="0"/>
        <v>35</v>
      </c>
      <c r="J36" s="2807" t="s">
        <v>4545</v>
      </c>
      <c r="K36" s="1414" t="s">
        <v>4504</v>
      </c>
      <c r="L36" s="2807" t="str">
        <f t="shared" si="1"/>
        <v>B2034</v>
      </c>
      <c r="M36" s="2807">
        <v>8</v>
      </c>
      <c r="N36" s="2807">
        <v>-2</v>
      </c>
      <c r="O36" s="2807">
        <f t="shared" si="2"/>
        <v>50.93</v>
      </c>
      <c r="P36" s="1414" t="s">
        <v>4547</v>
      </c>
      <c r="Q36" s="1414" t="s">
        <v>4547</v>
      </c>
    </row>
    <row r="37" spans="1:17">
      <c r="A37" s="1414">
        <v>35</v>
      </c>
      <c r="B37" s="1414" t="s">
        <v>3989</v>
      </c>
      <c r="C37" s="1414">
        <v>50.93</v>
      </c>
      <c r="I37" s="2807">
        <f t="shared" si="0"/>
        <v>36</v>
      </c>
      <c r="J37" s="2807" t="s">
        <v>4545</v>
      </c>
      <c r="K37" s="1414" t="s">
        <v>4504</v>
      </c>
      <c r="L37" s="2807" t="str">
        <f t="shared" si="1"/>
        <v>B2035</v>
      </c>
      <c r="M37" s="2807">
        <v>8</v>
      </c>
      <c r="N37" s="2807">
        <v>-2</v>
      </c>
      <c r="O37" s="2807">
        <f t="shared" si="2"/>
        <v>50.93</v>
      </c>
      <c r="P37" s="1414" t="s">
        <v>4547</v>
      </c>
      <c r="Q37" s="1414" t="s">
        <v>4547</v>
      </c>
    </row>
    <row r="38" spans="1:17">
      <c r="A38" s="1414">
        <v>36</v>
      </c>
      <c r="B38" s="1414" t="s">
        <v>3990</v>
      </c>
      <c r="C38" s="1414">
        <v>50.93</v>
      </c>
      <c r="I38" s="2807">
        <f t="shared" si="0"/>
        <v>37</v>
      </c>
      <c r="J38" s="2807" t="s">
        <v>4545</v>
      </c>
      <c r="K38" s="1414" t="s">
        <v>4504</v>
      </c>
      <c r="L38" s="2807" t="str">
        <f t="shared" si="1"/>
        <v>B2036</v>
      </c>
      <c r="M38" s="2807">
        <v>8</v>
      </c>
      <c r="N38" s="2807">
        <v>-2</v>
      </c>
      <c r="O38" s="2807">
        <f t="shared" si="2"/>
        <v>50.93</v>
      </c>
      <c r="P38" s="1414" t="s">
        <v>4547</v>
      </c>
      <c r="Q38" s="1414" t="s">
        <v>4547</v>
      </c>
    </row>
    <row r="39" spans="1:17">
      <c r="A39" s="1414">
        <v>37</v>
      </c>
      <c r="B39" s="1414" t="s">
        <v>3991</v>
      </c>
      <c r="C39" s="1414">
        <v>50.93</v>
      </c>
      <c r="I39" s="2807">
        <f t="shared" si="0"/>
        <v>38</v>
      </c>
      <c r="J39" s="2807" t="s">
        <v>4545</v>
      </c>
      <c r="K39" s="1414" t="s">
        <v>4504</v>
      </c>
      <c r="L39" s="2807" t="str">
        <f t="shared" si="1"/>
        <v>B2037</v>
      </c>
      <c r="M39" s="2807">
        <v>8</v>
      </c>
      <c r="N39" s="2807">
        <v>-2</v>
      </c>
      <c r="O39" s="2807">
        <f t="shared" si="2"/>
        <v>50.93</v>
      </c>
      <c r="P39" s="1414" t="s">
        <v>4547</v>
      </c>
      <c r="Q39" s="1414" t="s">
        <v>4547</v>
      </c>
    </row>
    <row r="40" spans="1:17">
      <c r="A40" s="1414">
        <v>38</v>
      </c>
      <c r="B40" s="1414" t="s">
        <v>3992</v>
      </c>
      <c r="C40" s="1414">
        <v>50.93</v>
      </c>
      <c r="I40" s="2807">
        <f t="shared" si="0"/>
        <v>39</v>
      </c>
      <c r="J40" s="2807" t="s">
        <v>4545</v>
      </c>
      <c r="K40" s="1414" t="s">
        <v>4504</v>
      </c>
      <c r="L40" s="2807" t="str">
        <f t="shared" si="1"/>
        <v>B2038</v>
      </c>
      <c r="M40" s="2807">
        <v>8</v>
      </c>
      <c r="N40" s="2807">
        <v>-2</v>
      </c>
      <c r="O40" s="2807">
        <f t="shared" si="2"/>
        <v>50.93</v>
      </c>
      <c r="P40" s="1414" t="s">
        <v>4547</v>
      </c>
      <c r="Q40" s="1414" t="s">
        <v>4547</v>
      </c>
    </row>
    <row r="41" spans="1:17">
      <c r="A41" s="1414">
        <v>39</v>
      </c>
      <c r="B41" s="1414" t="s">
        <v>3993</v>
      </c>
      <c r="C41" s="1414">
        <v>50.93</v>
      </c>
      <c r="I41" s="2807">
        <f t="shared" si="0"/>
        <v>40</v>
      </c>
      <c r="J41" s="2807" t="s">
        <v>4545</v>
      </c>
      <c r="K41" s="1414" t="s">
        <v>4504</v>
      </c>
      <c r="L41" s="2807" t="str">
        <f t="shared" si="1"/>
        <v>B2039</v>
      </c>
      <c r="M41" s="2807">
        <v>8</v>
      </c>
      <c r="N41" s="2807">
        <v>-2</v>
      </c>
      <c r="O41" s="2807">
        <f t="shared" si="2"/>
        <v>50.93</v>
      </c>
      <c r="P41" s="1414" t="s">
        <v>4547</v>
      </c>
      <c r="Q41" s="1414" t="s">
        <v>4547</v>
      </c>
    </row>
    <row r="42" spans="1:17">
      <c r="A42" s="1414">
        <v>40</v>
      </c>
      <c r="B42" s="1414" t="s">
        <v>3994</v>
      </c>
      <c r="C42" s="1414">
        <v>50.93</v>
      </c>
      <c r="I42" s="2807">
        <f t="shared" si="0"/>
        <v>41</v>
      </c>
      <c r="J42" s="2807" t="s">
        <v>4545</v>
      </c>
      <c r="K42" s="1414" t="s">
        <v>4504</v>
      </c>
      <c r="L42" s="2807" t="str">
        <f t="shared" si="1"/>
        <v>B2040</v>
      </c>
      <c r="M42" s="2807">
        <v>8</v>
      </c>
      <c r="N42" s="2807">
        <v>-2</v>
      </c>
      <c r="O42" s="2807">
        <f t="shared" si="2"/>
        <v>50.93</v>
      </c>
      <c r="P42" s="1414" t="s">
        <v>4547</v>
      </c>
      <c r="Q42" s="1414" t="s">
        <v>4547</v>
      </c>
    </row>
    <row r="43" spans="1:17">
      <c r="A43" s="1414">
        <v>41</v>
      </c>
      <c r="B43" s="1414" t="s">
        <v>3995</v>
      </c>
      <c r="C43" s="1414">
        <v>50.93</v>
      </c>
      <c r="I43" s="2807">
        <f t="shared" si="0"/>
        <v>42</v>
      </c>
      <c r="J43" s="2807" t="s">
        <v>4545</v>
      </c>
      <c r="K43" s="1414" t="s">
        <v>4504</v>
      </c>
      <c r="L43" s="2807" t="str">
        <f t="shared" si="1"/>
        <v>B2041</v>
      </c>
      <c r="M43" s="2807">
        <v>8</v>
      </c>
      <c r="N43" s="2807">
        <v>-2</v>
      </c>
      <c r="O43" s="2807">
        <f t="shared" si="2"/>
        <v>50.93</v>
      </c>
      <c r="P43" s="1414" t="s">
        <v>4547</v>
      </c>
      <c r="Q43" s="1414" t="s">
        <v>4547</v>
      </c>
    </row>
    <row r="44" spans="1:17">
      <c r="A44" s="1414">
        <v>42</v>
      </c>
      <c r="B44" s="1414" t="s">
        <v>3996</v>
      </c>
      <c r="C44" s="1414">
        <v>50.93</v>
      </c>
      <c r="I44" s="2807">
        <f t="shared" si="0"/>
        <v>43</v>
      </c>
      <c r="J44" s="2807" t="s">
        <v>4545</v>
      </c>
      <c r="K44" s="1414" t="s">
        <v>4504</v>
      </c>
      <c r="L44" s="2807" t="str">
        <f t="shared" si="1"/>
        <v>B2042</v>
      </c>
      <c r="M44" s="2807">
        <v>8</v>
      </c>
      <c r="N44" s="2807">
        <v>-2</v>
      </c>
      <c r="O44" s="2807">
        <f t="shared" si="2"/>
        <v>50.93</v>
      </c>
      <c r="P44" s="1414" t="s">
        <v>4547</v>
      </c>
      <c r="Q44" s="1414" t="s">
        <v>4547</v>
      </c>
    </row>
    <row r="45" spans="1:17">
      <c r="A45" s="1414">
        <v>43</v>
      </c>
      <c r="B45" s="1414" t="s">
        <v>3997</v>
      </c>
      <c r="C45" s="1414">
        <v>50.93</v>
      </c>
      <c r="I45" s="2807">
        <f t="shared" si="0"/>
        <v>44</v>
      </c>
      <c r="J45" s="2807" t="s">
        <v>4545</v>
      </c>
      <c r="K45" s="1414" t="s">
        <v>4504</v>
      </c>
      <c r="L45" s="2807" t="str">
        <f t="shared" si="1"/>
        <v>B2043</v>
      </c>
      <c r="M45" s="2807">
        <v>8</v>
      </c>
      <c r="N45" s="2807">
        <v>-2</v>
      </c>
      <c r="O45" s="2807">
        <f t="shared" si="2"/>
        <v>50.93</v>
      </c>
      <c r="P45" s="1414" t="s">
        <v>4547</v>
      </c>
      <c r="Q45" s="1414" t="s">
        <v>4547</v>
      </c>
    </row>
    <row r="46" spans="1:17">
      <c r="A46" s="1414">
        <v>44</v>
      </c>
      <c r="B46" s="1414" t="s">
        <v>3998</v>
      </c>
      <c r="C46" s="1414">
        <v>50.93</v>
      </c>
      <c r="I46" s="2807">
        <f t="shared" si="0"/>
        <v>45</v>
      </c>
      <c r="J46" s="2807" t="s">
        <v>4545</v>
      </c>
      <c r="K46" s="1414" t="s">
        <v>4504</v>
      </c>
      <c r="L46" s="2807" t="str">
        <f t="shared" si="1"/>
        <v>B2044</v>
      </c>
      <c r="M46" s="2807">
        <v>8</v>
      </c>
      <c r="N46" s="2807">
        <v>-2</v>
      </c>
      <c r="O46" s="2807">
        <f t="shared" si="2"/>
        <v>50.93</v>
      </c>
      <c r="P46" s="1414" t="s">
        <v>4547</v>
      </c>
      <c r="Q46" s="1414" t="s">
        <v>4547</v>
      </c>
    </row>
    <row r="47" spans="1:17">
      <c r="A47" s="1414">
        <v>45</v>
      </c>
      <c r="B47" s="1414" t="s">
        <v>3999</v>
      </c>
      <c r="C47" s="1414">
        <v>50.93</v>
      </c>
      <c r="I47" s="2807">
        <f t="shared" si="0"/>
        <v>46</v>
      </c>
      <c r="J47" s="2807" t="s">
        <v>4545</v>
      </c>
      <c r="K47" s="1414" t="s">
        <v>4504</v>
      </c>
      <c r="L47" s="2807" t="str">
        <f t="shared" si="1"/>
        <v>B2045</v>
      </c>
      <c r="M47" s="2807">
        <v>8</v>
      </c>
      <c r="N47" s="2807">
        <v>-2</v>
      </c>
      <c r="O47" s="2807">
        <f t="shared" si="2"/>
        <v>50.93</v>
      </c>
      <c r="P47" s="1414" t="s">
        <v>4547</v>
      </c>
      <c r="Q47" s="1414" t="s">
        <v>4547</v>
      </c>
    </row>
    <row r="48" spans="1:17">
      <c r="A48" s="1414">
        <v>46</v>
      </c>
      <c r="B48" s="1414" t="s">
        <v>4000</v>
      </c>
      <c r="C48" s="1414">
        <v>50.93</v>
      </c>
      <c r="I48" s="2807">
        <f t="shared" si="0"/>
        <v>47</v>
      </c>
      <c r="J48" s="2807" t="s">
        <v>4545</v>
      </c>
      <c r="K48" s="1414" t="s">
        <v>4504</v>
      </c>
      <c r="L48" s="2807" t="str">
        <f t="shared" si="1"/>
        <v>B2046</v>
      </c>
      <c r="M48" s="2807">
        <v>8</v>
      </c>
      <c r="N48" s="2807">
        <v>-2</v>
      </c>
      <c r="O48" s="2807">
        <f t="shared" si="2"/>
        <v>52.93</v>
      </c>
      <c r="P48" s="1414" t="s">
        <v>4547</v>
      </c>
      <c r="Q48" s="1414" t="s">
        <v>4547</v>
      </c>
    </row>
    <row r="49" spans="1:17">
      <c r="A49" s="1414">
        <v>47</v>
      </c>
      <c r="B49" s="1414" t="s">
        <v>4001</v>
      </c>
      <c r="C49" s="1414">
        <v>52.93</v>
      </c>
      <c r="I49" s="2807">
        <f t="shared" si="0"/>
        <v>48</v>
      </c>
      <c r="J49" s="2807" t="s">
        <v>4545</v>
      </c>
      <c r="K49" s="1414" t="s">
        <v>4504</v>
      </c>
      <c r="L49" s="2807" t="str">
        <f t="shared" si="1"/>
        <v>B2047</v>
      </c>
      <c r="M49" s="2807">
        <v>8</v>
      </c>
      <c r="N49" s="2807">
        <v>-2</v>
      </c>
      <c r="O49" s="2807">
        <f t="shared" si="2"/>
        <v>52.93</v>
      </c>
      <c r="P49" s="1414" t="s">
        <v>4547</v>
      </c>
      <c r="Q49" s="1414" t="s">
        <v>4547</v>
      </c>
    </row>
    <row r="50" spans="1:17">
      <c r="A50" s="1414">
        <v>48</v>
      </c>
      <c r="B50" s="1414" t="s">
        <v>4002</v>
      </c>
      <c r="C50" s="1414">
        <v>52.93</v>
      </c>
      <c r="I50" s="2807">
        <f t="shared" si="0"/>
        <v>49</v>
      </c>
      <c r="J50" s="2807" t="s">
        <v>4545</v>
      </c>
      <c r="K50" s="1414" t="s">
        <v>4504</v>
      </c>
      <c r="L50" s="2807" t="str">
        <f t="shared" si="1"/>
        <v>B2048</v>
      </c>
      <c r="M50" s="2807">
        <v>8</v>
      </c>
      <c r="N50" s="2807">
        <v>-2</v>
      </c>
      <c r="O50" s="2807">
        <f t="shared" si="2"/>
        <v>52.93</v>
      </c>
      <c r="P50" s="1414" t="s">
        <v>4547</v>
      </c>
      <c r="Q50" s="1414" t="s">
        <v>4547</v>
      </c>
    </row>
    <row r="51" spans="1:17">
      <c r="A51" s="1414">
        <v>49</v>
      </c>
      <c r="B51" s="1414" t="s">
        <v>4003</v>
      </c>
      <c r="C51" s="1414">
        <v>52.93</v>
      </c>
      <c r="I51" s="2807">
        <f t="shared" si="0"/>
        <v>50</v>
      </c>
      <c r="J51" s="2807" t="s">
        <v>4545</v>
      </c>
      <c r="K51" s="1414" t="s">
        <v>4504</v>
      </c>
      <c r="L51" s="2807" t="str">
        <f t="shared" si="1"/>
        <v>B2049</v>
      </c>
      <c r="M51" s="2807">
        <v>8</v>
      </c>
      <c r="N51" s="2807">
        <v>-2</v>
      </c>
      <c r="O51" s="2807">
        <f t="shared" si="2"/>
        <v>52.93</v>
      </c>
      <c r="P51" s="1414" t="s">
        <v>4547</v>
      </c>
      <c r="Q51" s="1414" t="s">
        <v>4547</v>
      </c>
    </row>
    <row r="52" spans="1:17">
      <c r="A52" s="1414">
        <v>50</v>
      </c>
      <c r="B52" s="1414" t="s">
        <v>4004</v>
      </c>
      <c r="C52" s="1414">
        <v>52.93</v>
      </c>
      <c r="I52" s="2807">
        <f t="shared" si="0"/>
        <v>51</v>
      </c>
      <c r="J52" s="2807" t="s">
        <v>4545</v>
      </c>
      <c r="K52" s="1414" t="s">
        <v>4504</v>
      </c>
      <c r="L52" s="2807" t="str">
        <f t="shared" si="1"/>
        <v>B2050</v>
      </c>
      <c r="M52" s="2807">
        <v>8</v>
      </c>
      <c r="N52" s="2807">
        <v>-2</v>
      </c>
      <c r="O52" s="2807">
        <f t="shared" si="2"/>
        <v>52.93</v>
      </c>
      <c r="P52" s="1414" t="s">
        <v>4547</v>
      </c>
      <c r="Q52" s="1414" t="s">
        <v>4547</v>
      </c>
    </row>
    <row r="53" spans="1:17">
      <c r="A53" s="1414">
        <v>51</v>
      </c>
      <c r="B53" s="1414" t="s">
        <v>4005</v>
      </c>
      <c r="C53" s="1414">
        <v>52.93</v>
      </c>
      <c r="I53" s="2807">
        <f t="shared" si="0"/>
        <v>52</v>
      </c>
      <c r="J53" s="2807" t="s">
        <v>4545</v>
      </c>
      <c r="K53" s="1414" t="s">
        <v>4504</v>
      </c>
      <c r="L53" s="2807" t="str">
        <f t="shared" si="1"/>
        <v>B2051</v>
      </c>
      <c r="M53" s="2807">
        <v>8</v>
      </c>
      <c r="N53" s="2807">
        <v>-2</v>
      </c>
      <c r="O53" s="2807">
        <f t="shared" si="2"/>
        <v>52.93</v>
      </c>
      <c r="P53" s="1414" t="s">
        <v>4547</v>
      </c>
      <c r="Q53" s="1414" t="s">
        <v>4547</v>
      </c>
    </row>
    <row r="54" spans="1:17">
      <c r="A54" s="1414">
        <v>52</v>
      </c>
      <c r="B54" s="1414" t="s">
        <v>4006</v>
      </c>
      <c r="C54" s="1414">
        <v>52.93</v>
      </c>
      <c r="I54" s="2807">
        <f t="shared" si="0"/>
        <v>53</v>
      </c>
      <c r="J54" s="2807" t="s">
        <v>4545</v>
      </c>
      <c r="K54" s="1414" t="s">
        <v>4504</v>
      </c>
      <c r="L54" s="2807" t="str">
        <f t="shared" si="1"/>
        <v>B2052</v>
      </c>
      <c r="M54" s="2807">
        <v>8</v>
      </c>
      <c r="N54" s="2807">
        <v>-2</v>
      </c>
      <c r="O54" s="2807">
        <f t="shared" si="2"/>
        <v>52.93</v>
      </c>
      <c r="P54" s="1414" t="s">
        <v>4547</v>
      </c>
      <c r="Q54" s="1414" t="s">
        <v>4547</v>
      </c>
    </row>
    <row r="55" spans="1:17">
      <c r="A55" s="1414">
        <v>53</v>
      </c>
      <c r="B55" s="1414" t="s">
        <v>4007</v>
      </c>
      <c r="C55" s="1414">
        <v>52.93</v>
      </c>
      <c r="I55" s="2807">
        <f t="shared" si="0"/>
        <v>54</v>
      </c>
      <c r="J55" s="2807" t="s">
        <v>4545</v>
      </c>
      <c r="K55" s="1414" t="s">
        <v>4504</v>
      </c>
      <c r="L55" s="2807" t="str">
        <f t="shared" si="1"/>
        <v>B2053</v>
      </c>
      <c r="M55" s="2807">
        <v>8</v>
      </c>
      <c r="N55" s="2807">
        <v>-2</v>
      </c>
      <c r="O55" s="2807">
        <f t="shared" si="2"/>
        <v>52.93</v>
      </c>
      <c r="P55" s="1414" t="s">
        <v>4547</v>
      </c>
      <c r="Q55" s="1414" t="s">
        <v>4547</v>
      </c>
    </row>
    <row r="56" spans="1:17">
      <c r="A56" s="1414">
        <v>54</v>
      </c>
      <c r="B56" s="1414" t="s">
        <v>4008</v>
      </c>
      <c r="C56" s="1414">
        <v>52.93</v>
      </c>
      <c r="I56" s="2807">
        <f t="shared" si="0"/>
        <v>55</v>
      </c>
      <c r="J56" s="2807" t="s">
        <v>4545</v>
      </c>
      <c r="K56" s="1414" t="s">
        <v>4504</v>
      </c>
      <c r="L56" s="2807" t="str">
        <f t="shared" si="1"/>
        <v>B2054</v>
      </c>
      <c r="M56" s="2807">
        <v>8</v>
      </c>
      <c r="N56" s="2807">
        <v>-2</v>
      </c>
      <c r="O56" s="2807">
        <f t="shared" si="2"/>
        <v>52.93</v>
      </c>
      <c r="P56" s="1414" t="s">
        <v>4547</v>
      </c>
      <c r="Q56" s="1414" t="s">
        <v>4547</v>
      </c>
    </row>
    <row r="57" spans="1:17">
      <c r="A57" s="1414">
        <v>55</v>
      </c>
      <c r="B57" s="1414" t="s">
        <v>4009</v>
      </c>
      <c r="C57" s="1414">
        <v>52.93</v>
      </c>
      <c r="I57" s="2807">
        <f t="shared" si="0"/>
        <v>56</v>
      </c>
      <c r="J57" s="2807" t="s">
        <v>4545</v>
      </c>
      <c r="K57" s="1414" t="s">
        <v>4504</v>
      </c>
      <c r="L57" s="2807" t="str">
        <f t="shared" si="1"/>
        <v>B2055</v>
      </c>
      <c r="M57" s="2807">
        <v>8</v>
      </c>
      <c r="N57" s="2807">
        <v>-2</v>
      </c>
      <c r="O57" s="2807">
        <f t="shared" si="2"/>
        <v>52.93</v>
      </c>
      <c r="P57" s="1414" t="s">
        <v>4547</v>
      </c>
      <c r="Q57" s="1414" t="s">
        <v>4547</v>
      </c>
    </row>
    <row r="58" spans="1:17">
      <c r="A58" s="1414">
        <v>56</v>
      </c>
      <c r="B58" s="1414" t="s">
        <v>4010</v>
      </c>
      <c r="C58" s="1414">
        <v>52.93</v>
      </c>
      <c r="I58" s="2807">
        <f t="shared" si="0"/>
        <v>57</v>
      </c>
      <c r="J58" s="2807" t="s">
        <v>4545</v>
      </c>
      <c r="K58" s="1414" t="s">
        <v>4504</v>
      </c>
      <c r="L58" s="2807" t="str">
        <f t="shared" si="1"/>
        <v>B2056</v>
      </c>
      <c r="M58" s="2807">
        <v>8</v>
      </c>
      <c r="N58" s="2807">
        <v>-2</v>
      </c>
      <c r="O58" s="2807">
        <f t="shared" si="2"/>
        <v>52.93</v>
      </c>
      <c r="P58" s="1414" t="s">
        <v>4547</v>
      </c>
      <c r="Q58" s="1414" t="s">
        <v>4547</v>
      </c>
    </row>
    <row r="59" spans="1:17">
      <c r="A59" s="1414">
        <v>57</v>
      </c>
      <c r="B59" s="1414" t="s">
        <v>4011</v>
      </c>
      <c r="C59" s="1414">
        <v>52.93</v>
      </c>
      <c r="I59" s="2807">
        <f t="shared" si="0"/>
        <v>58</v>
      </c>
      <c r="J59" s="2807" t="s">
        <v>4545</v>
      </c>
      <c r="K59" s="1414" t="s">
        <v>4504</v>
      </c>
      <c r="L59" s="2807" t="str">
        <f t="shared" si="1"/>
        <v>B2057</v>
      </c>
      <c r="M59" s="2807">
        <v>8</v>
      </c>
      <c r="N59" s="2807">
        <v>-2</v>
      </c>
      <c r="O59" s="2807">
        <f t="shared" si="2"/>
        <v>52.93</v>
      </c>
      <c r="P59" s="1414" t="s">
        <v>4547</v>
      </c>
      <c r="Q59" s="1414" t="s">
        <v>4547</v>
      </c>
    </row>
    <row r="60" spans="1:17">
      <c r="A60" s="1414">
        <v>58</v>
      </c>
      <c r="B60" s="1414" t="s">
        <v>4012</v>
      </c>
      <c r="C60" s="1414">
        <v>52.93</v>
      </c>
      <c r="I60" s="2807">
        <f t="shared" si="0"/>
        <v>59</v>
      </c>
      <c r="J60" s="2807" t="s">
        <v>4545</v>
      </c>
      <c r="K60" s="1414" t="s">
        <v>4504</v>
      </c>
      <c r="L60" s="2807" t="str">
        <f t="shared" si="1"/>
        <v>B2058</v>
      </c>
      <c r="M60" s="2807">
        <v>8</v>
      </c>
      <c r="N60" s="2807">
        <v>-2</v>
      </c>
      <c r="O60" s="2807">
        <f t="shared" si="2"/>
        <v>52.93</v>
      </c>
      <c r="P60" s="1414" t="s">
        <v>4547</v>
      </c>
      <c r="Q60" s="1414" t="s">
        <v>4547</v>
      </c>
    </row>
    <row r="61" spans="1:17">
      <c r="A61" s="1414">
        <v>59</v>
      </c>
      <c r="B61" s="1414" t="s">
        <v>4013</v>
      </c>
      <c r="C61" s="1414">
        <v>52.93</v>
      </c>
      <c r="I61" s="2807">
        <f t="shared" si="0"/>
        <v>60</v>
      </c>
      <c r="J61" s="2807" t="s">
        <v>4545</v>
      </c>
      <c r="K61" s="1414" t="s">
        <v>4504</v>
      </c>
      <c r="L61" s="2807" t="str">
        <f t="shared" si="1"/>
        <v>B2059</v>
      </c>
      <c r="M61" s="2807">
        <v>8</v>
      </c>
      <c r="N61" s="2807">
        <v>-2</v>
      </c>
      <c r="O61" s="2807">
        <f t="shared" si="2"/>
        <v>52.93</v>
      </c>
      <c r="P61" s="1414" t="s">
        <v>4547</v>
      </c>
      <c r="Q61" s="1414" t="s">
        <v>4547</v>
      </c>
    </row>
    <row r="62" spans="1:17">
      <c r="A62" s="1414">
        <v>60</v>
      </c>
      <c r="B62" s="1414" t="s">
        <v>4014</v>
      </c>
      <c r="C62" s="1414">
        <v>52.93</v>
      </c>
      <c r="I62" s="2807">
        <f t="shared" si="0"/>
        <v>61</v>
      </c>
      <c r="J62" s="2807" t="s">
        <v>4545</v>
      </c>
      <c r="K62" s="1414" t="s">
        <v>4504</v>
      </c>
      <c r="L62" s="2807" t="str">
        <f t="shared" si="1"/>
        <v>B2060</v>
      </c>
      <c r="M62" s="2807">
        <v>8</v>
      </c>
      <c r="N62" s="2807">
        <v>-2</v>
      </c>
      <c r="O62" s="2807">
        <f t="shared" si="2"/>
        <v>52.93</v>
      </c>
      <c r="P62" s="1414" t="s">
        <v>4547</v>
      </c>
      <c r="Q62" s="1414" t="s">
        <v>4547</v>
      </c>
    </row>
    <row r="63" spans="1:17">
      <c r="A63" s="1414">
        <v>61</v>
      </c>
      <c r="B63" s="1414" t="s">
        <v>4015</v>
      </c>
      <c r="C63" s="1414">
        <v>52.93</v>
      </c>
      <c r="I63" s="2807">
        <f t="shared" si="0"/>
        <v>62</v>
      </c>
      <c r="J63" s="2807" t="s">
        <v>4545</v>
      </c>
      <c r="K63" s="1414" t="s">
        <v>4504</v>
      </c>
      <c r="L63" s="2807" t="str">
        <f t="shared" si="1"/>
        <v>B2061</v>
      </c>
      <c r="M63" s="2807">
        <v>8</v>
      </c>
      <c r="N63" s="2807">
        <v>-2</v>
      </c>
      <c r="O63" s="2807">
        <f t="shared" si="2"/>
        <v>52.93</v>
      </c>
      <c r="P63" s="1414" t="s">
        <v>4547</v>
      </c>
      <c r="Q63" s="1414" t="s">
        <v>4547</v>
      </c>
    </row>
    <row r="64" spans="1:17">
      <c r="A64" s="1414">
        <v>62</v>
      </c>
      <c r="B64" s="1414" t="s">
        <v>4016</v>
      </c>
      <c r="C64" s="1414">
        <v>52.93</v>
      </c>
      <c r="I64" s="2807">
        <f t="shared" si="0"/>
        <v>63</v>
      </c>
      <c r="J64" s="2807" t="s">
        <v>4545</v>
      </c>
      <c r="K64" s="1414" t="s">
        <v>4504</v>
      </c>
      <c r="L64" s="2807" t="str">
        <f t="shared" si="1"/>
        <v>B2062</v>
      </c>
      <c r="M64" s="2807">
        <v>8</v>
      </c>
      <c r="N64" s="2807">
        <v>-2</v>
      </c>
      <c r="O64" s="2807">
        <f t="shared" si="2"/>
        <v>52.93</v>
      </c>
      <c r="P64" s="1414" t="s">
        <v>4547</v>
      </c>
      <c r="Q64" s="1414" t="s">
        <v>4547</v>
      </c>
    </row>
    <row r="65" spans="1:17">
      <c r="A65" s="1414">
        <v>63</v>
      </c>
      <c r="B65" s="1414" t="s">
        <v>4017</v>
      </c>
      <c r="C65" s="1414">
        <v>52.93</v>
      </c>
      <c r="I65" s="2807">
        <f t="shared" si="0"/>
        <v>64</v>
      </c>
      <c r="J65" s="2807" t="s">
        <v>4545</v>
      </c>
      <c r="K65" s="1414" t="s">
        <v>4504</v>
      </c>
      <c r="L65" s="2807" t="str">
        <f t="shared" si="1"/>
        <v>B2063</v>
      </c>
      <c r="M65" s="2807">
        <v>8</v>
      </c>
      <c r="N65" s="2807">
        <v>-2</v>
      </c>
      <c r="O65" s="2807">
        <f t="shared" si="2"/>
        <v>52.93</v>
      </c>
      <c r="P65" s="1414" t="s">
        <v>4547</v>
      </c>
      <c r="Q65" s="1414" t="s">
        <v>4547</v>
      </c>
    </row>
    <row r="66" spans="1:17">
      <c r="A66" s="1414">
        <v>64</v>
      </c>
      <c r="B66" s="1414" t="s">
        <v>4018</v>
      </c>
      <c r="C66" s="1414">
        <v>52.93</v>
      </c>
      <c r="I66" s="2807">
        <f t="shared" si="0"/>
        <v>65</v>
      </c>
      <c r="J66" s="2807" t="s">
        <v>4545</v>
      </c>
      <c r="K66" s="1414" t="s">
        <v>4504</v>
      </c>
      <c r="L66" s="2807" t="str">
        <f t="shared" si="1"/>
        <v>B2064</v>
      </c>
      <c r="M66" s="2807">
        <v>8</v>
      </c>
      <c r="N66" s="2807">
        <v>-2</v>
      </c>
      <c r="O66" s="2807">
        <f t="shared" si="2"/>
        <v>52.93</v>
      </c>
      <c r="P66" s="1414" t="s">
        <v>4547</v>
      </c>
      <c r="Q66" s="1414" t="s">
        <v>4547</v>
      </c>
    </row>
    <row r="67" spans="1:17">
      <c r="A67" s="1414">
        <v>65</v>
      </c>
      <c r="B67" s="1414" t="s">
        <v>4019</v>
      </c>
      <c r="C67" s="1414">
        <v>52.93</v>
      </c>
      <c r="I67" s="2807">
        <f t="shared" ref="I67:I130" si="3">A68</f>
        <v>66</v>
      </c>
      <c r="J67" s="2807" t="s">
        <v>4545</v>
      </c>
      <c r="K67" s="1414" t="s">
        <v>4504</v>
      </c>
      <c r="L67" s="2807" t="str">
        <f t="shared" ref="L67:L130" si="4">B68</f>
        <v>B2065</v>
      </c>
      <c r="M67" s="2807">
        <v>8</v>
      </c>
      <c r="N67" s="2807">
        <v>-2</v>
      </c>
      <c r="O67" s="2807">
        <f t="shared" ref="O67:O130" si="5">C68</f>
        <v>52.93</v>
      </c>
      <c r="P67" s="1414" t="s">
        <v>4547</v>
      </c>
      <c r="Q67" s="1414" t="s">
        <v>4547</v>
      </c>
    </row>
    <row r="68" spans="1:17">
      <c r="A68" s="1414">
        <v>66</v>
      </c>
      <c r="B68" s="1414" t="s">
        <v>4020</v>
      </c>
      <c r="C68" s="1414">
        <v>52.93</v>
      </c>
      <c r="I68" s="2807">
        <f t="shared" si="3"/>
        <v>67</v>
      </c>
      <c r="J68" s="2807" t="s">
        <v>4545</v>
      </c>
      <c r="K68" s="1414" t="s">
        <v>4504</v>
      </c>
      <c r="L68" s="2807" t="str">
        <f t="shared" si="4"/>
        <v>B2066</v>
      </c>
      <c r="M68" s="2807">
        <v>8</v>
      </c>
      <c r="N68" s="2807">
        <v>-2</v>
      </c>
      <c r="O68" s="2807">
        <f t="shared" si="5"/>
        <v>52.93</v>
      </c>
      <c r="P68" s="1414" t="s">
        <v>4547</v>
      </c>
      <c r="Q68" s="1414" t="s">
        <v>4547</v>
      </c>
    </row>
    <row r="69" spans="1:17">
      <c r="A69" s="1414">
        <v>67</v>
      </c>
      <c r="B69" s="1414" t="s">
        <v>4021</v>
      </c>
      <c r="C69" s="1414">
        <v>52.93</v>
      </c>
      <c r="I69" s="2807">
        <f t="shared" si="3"/>
        <v>68</v>
      </c>
      <c r="J69" s="2807" t="s">
        <v>4545</v>
      </c>
      <c r="K69" s="1414" t="s">
        <v>4504</v>
      </c>
      <c r="L69" s="2807" t="str">
        <f t="shared" si="4"/>
        <v>B2067</v>
      </c>
      <c r="M69" s="2807">
        <v>8</v>
      </c>
      <c r="N69" s="2807">
        <v>-2</v>
      </c>
      <c r="O69" s="2807">
        <f t="shared" si="5"/>
        <v>52.93</v>
      </c>
      <c r="P69" s="1414" t="s">
        <v>4547</v>
      </c>
      <c r="Q69" s="1414" t="s">
        <v>4547</v>
      </c>
    </row>
    <row r="70" spans="1:17">
      <c r="A70" s="1414">
        <v>68</v>
      </c>
      <c r="B70" s="1414" t="s">
        <v>4022</v>
      </c>
      <c r="C70" s="1414">
        <v>52.93</v>
      </c>
      <c r="I70" s="2807">
        <f t="shared" si="3"/>
        <v>69</v>
      </c>
      <c r="J70" s="2807" t="s">
        <v>4545</v>
      </c>
      <c r="K70" s="1414" t="s">
        <v>4504</v>
      </c>
      <c r="L70" s="2807" t="str">
        <f t="shared" si="4"/>
        <v>B2068</v>
      </c>
      <c r="M70" s="2807">
        <v>8</v>
      </c>
      <c r="N70" s="2807">
        <v>-2</v>
      </c>
      <c r="O70" s="2807">
        <f t="shared" si="5"/>
        <v>52.93</v>
      </c>
      <c r="P70" s="1414" t="s">
        <v>4547</v>
      </c>
      <c r="Q70" s="1414" t="s">
        <v>4547</v>
      </c>
    </row>
    <row r="71" spans="1:17">
      <c r="A71" s="1414">
        <v>69</v>
      </c>
      <c r="B71" s="1414" t="s">
        <v>4023</v>
      </c>
      <c r="C71" s="1414">
        <v>52.93</v>
      </c>
      <c r="I71" s="2807">
        <f t="shared" si="3"/>
        <v>70</v>
      </c>
      <c r="J71" s="2807" t="s">
        <v>4545</v>
      </c>
      <c r="K71" s="1414" t="s">
        <v>4504</v>
      </c>
      <c r="L71" s="2807" t="str">
        <f t="shared" si="4"/>
        <v>B2069</v>
      </c>
      <c r="M71" s="2807">
        <v>8</v>
      </c>
      <c r="N71" s="2807">
        <v>-2</v>
      </c>
      <c r="O71" s="2807">
        <f t="shared" si="5"/>
        <v>52.93</v>
      </c>
      <c r="P71" s="1414" t="s">
        <v>4547</v>
      </c>
      <c r="Q71" s="1414" t="s">
        <v>4547</v>
      </c>
    </row>
    <row r="72" spans="1:17">
      <c r="A72" s="1414">
        <v>70</v>
      </c>
      <c r="B72" s="1414" t="s">
        <v>4024</v>
      </c>
      <c r="C72" s="1414">
        <v>52.93</v>
      </c>
      <c r="I72" s="2807">
        <f t="shared" si="3"/>
        <v>71</v>
      </c>
      <c r="J72" s="2807" t="s">
        <v>4545</v>
      </c>
      <c r="K72" s="1414" t="s">
        <v>4504</v>
      </c>
      <c r="L72" s="2807" t="str">
        <f t="shared" si="4"/>
        <v>B2070</v>
      </c>
      <c r="M72" s="2807">
        <v>8</v>
      </c>
      <c r="N72" s="2807">
        <v>-2</v>
      </c>
      <c r="O72" s="2807">
        <f t="shared" si="5"/>
        <v>52.93</v>
      </c>
      <c r="P72" s="1414" t="s">
        <v>4547</v>
      </c>
      <c r="Q72" s="1414" t="s">
        <v>4547</v>
      </c>
    </row>
    <row r="73" spans="1:17">
      <c r="A73" s="1414">
        <v>71</v>
      </c>
      <c r="B73" s="1414" t="s">
        <v>4025</v>
      </c>
      <c r="C73" s="1414">
        <v>52.93</v>
      </c>
      <c r="I73" s="2807">
        <f t="shared" si="3"/>
        <v>72</v>
      </c>
      <c r="J73" s="2807" t="s">
        <v>4545</v>
      </c>
      <c r="K73" s="1414" t="s">
        <v>4504</v>
      </c>
      <c r="L73" s="2807" t="str">
        <f t="shared" si="4"/>
        <v>B2071</v>
      </c>
      <c r="M73" s="2807">
        <v>8</v>
      </c>
      <c r="N73" s="2807">
        <v>-2</v>
      </c>
      <c r="O73" s="2807">
        <f t="shared" si="5"/>
        <v>52.93</v>
      </c>
      <c r="P73" s="1414" t="s">
        <v>4547</v>
      </c>
      <c r="Q73" s="1414" t="s">
        <v>4547</v>
      </c>
    </row>
    <row r="74" spans="1:17">
      <c r="A74" s="1414">
        <v>72</v>
      </c>
      <c r="B74" s="1414" t="s">
        <v>4026</v>
      </c>
      <c r="C74" s="1414">
        <v>52.93</v>
      </c>
      <c r="I74" s="2807">
        <f t="shared" si="3"/>
        <v>73</v>
      </c>
      <c r="J74" s="2807" t="s">
        <v>4545</v>
      </c>
      <c r="K74" s="1414" t="s">
        <v>4504</v>
      </c>
      <c r="L74" s="2807" t="str">
        <f t="shared" si="4"/>
        <v>B2072</v>
      </c>
      <c r="M74" s="2807">
        <v>8</v>
      </c>
      <c r="N74" s="2807">
        <v>-2</v>
      </c>
      <c r="O74" s="2807">
        <f t="shared" si="5"/>
        <v>52.93</v>
      </c>
      <c r="P74" s="1414" t="s">
        <v>4547</v>
      </c>
      <c r="Q74" s="1414" t="s">
        <v>4547</v>
      </c>
    </row>
    <row r="75" spans="1:17">
      <c r="A75" s="1414">
        <v>73</v>
      </c>
      <c r="B75" s="1414" t="s">
        <v>4027</v>
      </c>
      <c r="C75" s="1414">
        <v>52.93</v>
      </c>
      <c r="I75" s="2807">
        <f t="shared" si="3"/>
        <v>74</v>
      </c>
      <c r="J75" s="2807" t="s">
        <v>4545</v>
      </c>
      <c r="K75" s="1414" t="s">
        <v>4504</v>
      </c>
      <c r="L75" s="2807" t="str">
        <f t="shared" si="4"/>
        <v>B2073</v>
      </c>
      <c r="M75" s="2807">
        <v>8</v>
      </c>
      <c r="N75" s="2807">
        <v>-2</v>
      </c>
      <c r="O75" s="2807">
        <f t="shared" si="5"/>
        <v>52.93</v>
      </c>
      <c r="P75" s="1414" t="s">
        <v>4547</v>
      </c>
      <c r="Q75" s="1414" t="s">
        <v>4547</v>
      </c>
    </row>
    <row r="76" spans="1:17">
      <c r="A76" s="1414">
        <v>74</v>
      </c>
      <c r="B76" s="1414" t="s">
        <v>4028</v>
      </c>
      <c r="C76" s="1414">
        <v>52.93</v>
      </c>
      <c r="I76" s="2807">
        <f t="shared" si="3"/>
        <v>75</v>
      </c>
      <c r="J76" s="2807" t="s">
        <v>4545</v>
      </c>
      <c r="K76" s="1414" t="s">
        <v>4504</v>
      </c>
      <c r="L76" s="2807" t="str">
        <f t="shared" si="4"/>
        <v>B2074</v>
      </c>
      <c r="M76" s="2807">
        <v>8</v>
      </c>
      <c r="N76" s="2807">
        <v>-2</v>
      </c>
      <c r="O76" s="2807">
        <f t="shared" si="5"/>
        <v>52.93</v>
      </c>
      <c r="P76" s="1414" t="s">
        <v>4547</v>
      </c>
      <c r="Q76" s="1414" t="s">
        <v>4547</v>
      </c>
    </row>
    <row r="77" spans="1:17">
      <c r="A77" s="1414">
        <v>75</v>
      </c>
      <c r="B77" s="1414" t="s">
        <v>4029</v>
      </c>
      <c r="C77" s="1414">
        <v>52.93</v>
      </c>
      <c r="I77" s="2807">
        <f t="shared" si="3"/>
        <v>76</v>
      </c>
      <c r="J77" s="2807" t="s">
        <v>4545</v>
      </c>
      <c r="K77" s="1414" t="s">
        <v>4504</v>
      </c>
      <c r="L77" s="2807" t="str">
        <f t="shared" si="4"/>
        <v>B2075</v>
      </c>
      <c r="M77" s="2807">
        <v>8</v>
      </c>
      <c r="N77" s="2807">
        <v>-2</v>
      </c>
      <c r="O77" s="2807">
        <f t="shared" si="5"/>
        <v>52.93</v>
      </c>
      <c r="P77" s="1414" t="s">
        <v>4547</v>
      </c>
      <c r="Q77" s="1414" t="s">
        <v>4547</v>
      </c>
    </row>
    <row r="78" spans="1:17">
      <c r="A78" s="1414">
        <v>76</v>
      </c>
      <c r="B78" s="1414" t="s">
        <v>4030</v>
      </c>
      <c r="C78" s="1414">
        <v>52.93</v>
      </c>
      <c r="I78" s="2807">
        <f t="shared" si="3"/>
        <v>77</v>
      </c>
      <c r="J78" s="2807" t="s">
        <v>4545</v>
      </c>
      <c r="K78" s="1414" t="s">
        <v>4504</v>
      </c>
      <c r="L78" s="2807" t="str">
        <f t="shared" si="4"/>
        <v>B2076</v>
      </c>
      <c r="M78" s="2807">
        <v>8</v>
      </c>
      <c r="N78" s="2807">
        <v>-2</v>
      </c>
      <c r="O78" s="2807">
        <f t="shared" si="5"/>
        <v>52.93</v>
      </c>
      <c r="P78" s="1414" t="s">
        <v>4547</v>
      </c>
      <c r="Q78" s="1414" t="s">
        <v>4547</v>
      </c>
    </row>
    <row r="79" spans="1:17">
      <c r="A79" s="1414">
        <v>77</v>
      </c>
      <c r="B79" s="1414" t="s">
        <v>4031</v>
      </c>
      <c r="C79" s="1414">
        <v>52.93</v>
      </c>
      <c r="I79" s="2807">
        <f t="shared" si="3"/>
        <v>78</v>
      </c>
      <c r="J79" s="2807" t="s">
        <v>4545</v>
      </c>
      <c r="K79" s="1414" t="s">
        <v>4504</v>
      </c>
      <c r="L79" s="2807" t="str">
        <f t="shared" si="4"/>
        <v>B2077</v>
      </c>
      <c r="M79" s="2807">
        <v>8</v>
      </c>
      <c r="N79" s="2807">
        <v>-2</v>
      </c>
      <c r="O79" s="2807">
        <f t="shared" si="5"/>
        <v>52.93</v>
      </c>
      <c r="P79" s="1414" t="s">
        <v>4547</v>
      </c>
      <c r="Q79" s="1414" t="s">
        <v>4547</v>
      </c>
    </row>
    <row r="80" spans="1:17">
      <c r="A80" s="1414">
        <v>78</v>
      </c>
      <c r="B80" s="1414" t="s">
        <v>4032</v>
      </c>
      <c r="C80" s="1414">
        <v>52.93</v>
      </c>
      <c r="I80" s="2807">
        <f t="shared" si="3"/>
        <v>79</v>
      </c>
      <c r="J80" s="2807" t="s">
        <v>4545</v>
      </c>
      <c r="K80" s="1414" t="s">
        <v>4504</v>
      </c>
      <c r="L80" s="2807" t="str">
        <f t="shared" si="4"/>
        <v>B2078</v>
      </c>
      <c r="M80" s="2807">
        <v>8</v>
      </c>
      <c r="N80" s="2807">
        <v>-2</v>
      </c>
      <c r="O80" s="2807">
        <f t="shared" si="5"/>
        <v>52.93</v>
      </c>
      <c r="P80" s="1414" t="s">
        <v>4547</v>
      </c>
      <c r="Q80" s="1414" t="s">
        <v>4547</v>
      </c>
    </row>
    <row r="81" spans="1:17">
      <c r="A81" s="1414">
        <v>79</v>
      </c>
      <c r="B81" s="1414" t="s">
        <v>4033</v>
      </c>
      <c r="C81" s="1414">
        <v>52.93</v>
      </c>
      <c r="I81" s="2807">
        <f t="shared" si="3"/>
        <v>80</v>
      </c>
      <c r="J81" s="2807" t="s">
        <v>4545</v>
      </c>
      <c r="K81" s="1414" t="s">
        <v>4504</v>
      </c>
      <c r="L81" s="2807" t="str">
        <f t="shared" si="4"/>
        <v>B2079</v>
      </c>
      <c r="M81" s="2807">
        <v>8</v>
      </c>
      <c r="N81" s="2807">
        <v>-2</v>
      </c>
      <c r="O81" s="2807">
        <f t="shared" si="5"/>
        <v>52.93</v>
      </c>
      <c r="P81" s="1414" t="s">
        <v>4547</v>
      </c>
      <c r="Q81" s="1414" t="s">
        <v>4547</v>
      </c>
    </row>
    <row r="82" spans="1:17">
      <c r="A82" s="1414">
        <v>80</v>
      </c>
      <c r="B82" s="1414" t="s">
        <v>4034</v>
      </c>
      <c r="C82" s="1414">
        <v>52.93</v>
      </c>
      <c r="I82" s="2807">
        <f t="shared" si="3"/>
        <v>81</v>
      </c>
      <c r="J82" s="2807" t="s">
        <v>4545</v>
      </c>
      <c r="K82" s="1414" t="s">
        <v>4504</v>
      </c>
      <c r="L82" s="2807" t="str">
        <f t="shared" si="4"/>
        <v>B2080</v>
      </c>
      <c r="M82" s="2807">
        <v>8</v>
      </c>
      <c r="N82" s="2807">
        <v>-2</v>
      </c>
      <c r="O82" s="2807">
        <f t="shared" si="5"/>
        <v>50.93</v>
      </c>
      <c r="P82" s="1414" t="s">
        <v>4547</v>
      </c>
      <c r="Q82" s="1414" t="s">
        <v>4547</v>
      </c>
    </row>
    <row r="83" spans="1:17">
      <c r="A83" s="1414">
        <v>81</v>
      </c>
      <c r="B83" s="1414" t="s">
        <v>4035</v>
      </c>
      <c r="C83" s="1414">
        <v>50.93</v>
      </c>
      <c r="I83" s="2807">
        <f t="shared" si="3"/>
        <v>82</v>
      </c>
      <c r="J83" s="2807" t="s">
        <v>4545</v>
      </c>
      <c r="K83" s="1414" t="s">
        <v>4504</v>
      </c>
      <c r="L83" s="2807" t="str">
        <f t="shared" si="4"/>
        <v>B2081</v>
      </c>
      <c r="M83" s="2807">
        <v>8</v>
      </c>
      <c r="N83" s="2807">
        <v>-2</v>
      </c>
      <c r="O83" s="2807">
        <f t="shared" si="5"/>
        <v>52.93</v>
      </c>
      <c r="P83" s="1414" t="s">
        <v>4547</v>
      </c>
      <c r="Q83" s="1414" t="s">
        <v>4547</v>
      </c>
    </row>
    <row r="84" spans="1:17">
      <c r="A84" s="1414">
        <v>82</v>
      </c>
      <c r="B84" s="1414" t="s">
        <v>4036</v>
      </c>
      <c r="C84" s="1414">
        <v>52.93</v>
      </c>
      <c r="I84" s="2807">
        <f t="shared" si="3"/>
        <v>83</v>
      </c>
      <c r="J84" s="2807" t="s">
        <v>4545</v>
      </c>
      <c r="K84" s="1414" t="s">
        <v>4504</v>
      </c>
      <c r="L84" s="2807" t="str">
        <f t="shared" si="4"/>
        <v>B2082</v>
      </c>
      <c r="M84" s="2807">
        <v>8</v>
      </c>
      <c r="N84" s="2807">
        <v>-2</v>
      </c>
      <c r="O84" s="2807">
        <f t="shared" si="5"/>
        <v>52.93</v>
      </c>
      <c r="P84" s="1414" t="s">
        <v>4547</v>
      </c>
      <c r="Q84" s="1414" t="s">
        <v>4547</v>
      </c>
    </row>
    <row r="85" spans="1:17">
      <c r="A85" s="1414">
        <v>83</v>
      </c>
      <c r="B85" s="1414" t="s">
        <v>4037</v>
      </c>
      <c r="C85" s="1414">
        <v>52.93</v>
      </c>
      <c r="I85" s="2807">
        <f t="shared" si="3"/>
        <v>84</v>
      </c>
      <c r="J85" s="2807" t="s">
        <v>4545</v>
      </c>
      <c r="K85" s="1414" t="s">
        <v>4504</v>
      </c>
      <c r="L85" s="2807" t="str">
        <f t="shared" si="4"/>
        <v>B2083</v>
      </c>
      <c r="M85" s="2807">
        <v>8</v>
      </c>
      <c r="N85" s="2807">
        <v>-2</v>
      </c>
      <c r="O85" s="2807">
        <f t="shared" si="5"/>
        <v>52.93</v>
      </c>
      <c r="P85" s="1414" t="s">
        <v>4547</v>
      </c>
      <c r="Q85" s="1414" t="s">
        <v>4547</v>
      </c>
    </row>
    <row r="86" spans="1:17">
      <c r="A86" s="1414">
        <v>84</v>
      </c>
      <c r="B86" s="1414" t="s">
        <v>4038</v>
      </c>
      <c r="C86" s="1414">
        <v>52.93</v>
      </c>
      <c r="I86" s="2807">
        <f t="shared" si="3"/>
        <v>85</v>
      </c>
      <c r="J86" s="2807" t="s">
        <v>4545</v>
      </c>
      <c r="K86" s="1414" t="s">
        <v>4504</v>
      </c>
      <c r="L86" s="2807" t="str">
        <f t="shared" si="4"/>
        <v>B2084</v>
      </c>
      <c r="M86" s="2807">
        <v>8</v>
      </c>
      <c r="N86" s="2807">
        <v>-2</v>
      </c>
      <c r="O86" s="2807">
        <f t="shared" si="5"/>
        <v>52.93</v>
      </c>
      <c r="P86" s="1414" t="s">
        <v>4547</v>
      </c>
      <c r="Q86" s="1414" t="s">
        <v>4547</v>
      </c>
    </row>
    <row r="87" spans="1:17">
      <c r="A87" s="1414">
        <v>85</v>
      </c>
      <c r="B87" s="1414" t="s">
        <v>4039</v>
      </c>
      <c r="C87" s="1414">
        <v>52.93</v>
      </c>
      <c r="I87" s="2807">
        <f t="shared" si="3"/>
        <v>86</v>
      </c>
      <c r="J87" s="2807" t="s">
        <v>4545</v>
      </c>
      <c r="K87" s="1414" t="s">
        <v>4504</v>
      </c>
      <c r="L87" s="2807" t="str">
        <f t="shared" si="4"/>
        <v>B2085</v>
      </c>
      <c r="M87" s="2807">
        <v>8</v>
      </c>
      <c r="N87" s="2807">
        <v>-2</v>
      </c>
      <c r="O87" s="2807">
        <f t="shared" si="5"/>
        <v>52.93</v>
      </c>
      <c r="P87" s="1414" t="s">
        <v>4547</v>
      </c>
      <c r="Q87" s="1414" t="s">
        <v>4547</v>
      </c>
    </row>
    <row r="88" spans="1:17">
      <c r="A88" s="1414">
        <v>86</v>
      </c>
      <c r="B88" s="1414" t="s">
        <v>4040</v>
      </c>
      <c r="C88" s="1414">
        <v>52.93</v>
      </c>
      <c r="I88" s="2807">
        <f t="shared" si="3"/>
        <v>87</v>
      </c>
      <c r="J88" s="2807" t="s">
        <v>4545</v>
      </c>
      <c r="K88" s="1414" t="s">
        <v>4504</v>
      </c>
      <c r="L88" s="2807" t="str">
        <f t="shared" si="4"/>
        <v>B2086</v>
      </c>
      <c r="M88" s="2807">
        <v>8</v>
      </c>
      <c r="N88" s="2807">
        <v>-2</v>
      </c>
      <c r="O88" s="2807">
        <f t="shared" si="5"/>
        <v>52.93</v>
      </c>
      <c r="P88" s="1414" t="s">
        <v>4547</v>
      </c>
      <c r="Q88" s="1414" t="s">
        <v>4547</v>
      </c>
    </row>
    <row r="89" spans="1:17">
      <c r="A89" s="1414">
        <v>87</v>
      </c>
      <c r="B89" s="1414" t="s">
        <v>4041</v>
      </c>
      <c r="C89" s="1414">
        <v>52.93</v>
      </c>
      <c r="I89" s="2807">
        <f t="shared" si="3"/>
        <v>88</v>
      </c>
      <c r="J89" s="2807" t="s">
        <v>4545</v>
      </c>
      <c r="K89" s="1414" t="s">
        <v>4504</v>
      </c>
      <c r="L89" s="2807" t="str">
        <f t="shared" si="4"/>
        <v>B2087</v>
      </c>
      <c r="M89" s="2807">
        <v>8</v>
      </c>
      <c r="N89" s="2807">
        <v>-2</v>
      </c>
      <c r="O89" s="2807">
        <f t="shared" si="5"/>
        <v>52.93</v>
      </c>
      <c r="P89" s="1414" t="s">
        <v>4547</v>
      </c>
      <c r="Q89" s="1414" t="s">
        <v>4547</v>
      </c>
    </row>
    <row r="90" spans="1:17">
      <c r="A90" s="1414">
        <v>88</v>
      </c>
      <c r="B90" s="1414" t="s">
        <v>4042</v>
      </c>
      <c r="C90" s="1414">
        <v>52.93</v>
      </c>
      <c r="I90" s="2807">
        <f t="shared" si="3"/>
        <v>89</v>
      </c>
      <c r="J90" s="2807" t="s">
        <v>4545</v>
      </c>
      <c r="K90" s="1414" t="s">
        <v>4504</v>
      </c>
      <c r="L90" s="2807" t="str">
        <f t="shared" si="4"/>
        <v>B2088</v>
      </c>
      <c r="M90" s="2807">
        <v>8</v>
      </c>
      <c r="N90" s="2807">
        <v>-2</v>
      </c>
      <c r="O90" s="2807">
        <f t="shared" si="5"/>
        <v>52.93</v>
      </c>
      <c r="P90" s="1414" t="s">
        <v>4547</v>
      </c>
      <c r="Q90" s="1414" t="s">
        <v>4547</v>
      </c>
    </row>
    <row r="91" spans="1:17">
      <c r="A91" s="1414">
        <v>89</v>
      </c>
      <c r="B91" s="1414" t="s">
        <v>4043</v>
      </c>
      <c r="C91" s="1414">
        <v>52.93</v>
      </c>
      <c r="I91" s="2807">
        <f t="shared" si="3"/>
        <v>90</v>
      </c>
      <c r="J91" s="2807" t="s">
        <v>4545</v>
      </c>
      <c r="K91" s="1414" t="s">
        <v>4504</v>
      </c>
      <c r="L91" s="2807" t="str">
        <f t="shared" si="4"/>
        <v>B2089</v>
      </c>
      <c r="M91" s="2807">
        <v>8</v>
      </c>
      <c r="N91" s="2807">
        <v>-2</v>
      </c>
      <c r="O91" s="2807">
        <f t="shared" si="5"/>
        <v>50.93</v>
      </c>
      <c r="P91" s="1414" t="s">
        <v>4547</v>
      </c>
      <c r="Q91" s="1414" t="s">
        <v>4547</v>
      </c>
    </row>
    <row r="92" spans="1:17">
      <c r="A92" s="1414">
        <v>90</v>
      </c>
      <c r="B92" s="1414" t="s">
        <v>4044</v>
      </c>
      <c r="C92" s="1414">
        <v>50.93</v>
      </c>
      <c r="I92" s="2807">
        <f t="shared" si="3"/>
        <v>91</v>
      </c>
      <c r="J92" s="2807" t="s">
        <v>4545</v>
      </c>
      <c r="K92" s="1414" t="s">
        <v>4504</v>
      </c>
      <c r="L92" s="2807" t="str">
        <f t="shared" si="4"/>
        <v>B2090</v>
      </c>
      <c r="M92" s="2807">
        <v>8</v>
      </c>
      <c r="N92" s="2807">
        <v>-2</v>
      </c>
      <c r="O92" s="2807">
        <f t="shared" si="5"/>
        <v>50.93</v>
      </c>
      <c r="P92" s="1414" t="s">
        <v>4547</v>
      </c>
      <c r="Q92" s="1414" t="s">
        <v>4547</v>
      </c>
    </row>
    <row r="93" spans="1:17">
      <c r="A93" s="1414">
        <v>91</v>
      </c>
      <c r="B93" s="1414" t="s">
        <v>4045</v>
      </c>
      <c r="C93" s="1414">
        <v>50.93</v>
      </c>
      <c r="I93" s="2807">
        <f t="shared" si="3"/>
        <v>92</v>
      </c>
      <c r="J93" s="2807" t="s">
        <v>4545</v>
      </c>
      <c r="K93" s="1414" t="s">
        <v>4504</v>
      </c>
      <c r="L93" s="2807" t="str">
        <f t="shared" si="4"/>
        <v>B2091</v>
      </c>
      <c r="M93" s="2807">
        <v>8</v>
      </c>
      <c r="N93" s="2807">
        <v>-2</v>
      </c>
      <c r="O93" s="2807">
        <f t="shared" si="5"/>
        <v>50.93</v>
      </c>
      <c r="P93" s="1414" t="s">
        <v>4547</v>
      </c>
      <c r="Q93" s="1414" t="s">
        <v>4547</v>
      </c>
    </row>
    <row r="94" spans="1:17">
      <c r="A94" s="1414">
        <v>92</v>
      </c>
      <c r="B94" s="1414" t="s">
        <v>4046</v>
      </c>
      <c r="C94" s="1414">
        <v>50.93</v>
      </c>
      <c r="I94" s="2807">
        <f t="shared" si="3"/>
        <v>93</v>
      </c>
      <c r="J94" s="2807" t="s">
        <v>4545</v>
      </c>
      <c r="K94" s="1414" t="s">
        <v>4504</v>
      </c>
      <c r="L94" s="2807" t="str">
        <f t="shared" si="4"/>
        <v>B2092</v>
      </c>
      <c r="M94" s="2807">
        <v>8</v>
      </c>
      <c r="N94" s="2807">
        <v>-2</v>
      </c>
      <c r="O94" s="2807">
        <f t="shared" si="5"/>
        <v>50.93</v>
      </c>
      <c r="P94" s="1414" t="s">
        <v>4547</v>
      </c>
      <c r="Q94" s="1414" t="s">
        <v>4547</v>
      </c>
    </row>
    <row r="95" spans="1:17">
      <c r="A95" s="1414">
        <v>93</v>
      </c>
      <c r="B95" s="1414" t="s">
        <v>4047</v>
      </c>
      <c r="C95" s="1414">
        <v>50.93</v>
      </c>
      <c r="I95" s="2807">
        <f t="shared" si="3"/>
        <v>94</v>
      </c>
      <c r="J95" s="2807" t="s">
        <v>4545</v>
      </c>
      <c r="K95" s="1414" t="s">
        <v>4504</v>
      </c>
      <c r="L95" s="2807" t="str">
        <f t="shared" si="4"/>
        <v>B2093</v>
      </c>
      <c r="M95" s="2807">
        <v>8</v>
      </c>
      <c r="N95" s="2807">
        <v>-2</v>
      </c>
      <c r="O95" s="2807">
        <f t="shared" si="5"/>
        <v>50.93</v>
      </c>
      <c r="P95" s="1414" t="s">
        <v>4547</v>
      </c>
      <c r="Q95" s="1414" t="s">
        <v>4547</v>
      </c>
    </row>
    <row r="96" spans="1:17">
      <c r="A96" s="1414">
        <v>94</v>
      </c>
      <c r="B96" s="1414" t="s">
        <v>4048</v>
      </c>
      <c r="C96" s="1414">
        <v>50.93</v>
      </c>
      <c r="I96" s="2807">
        <f t="shared" si="3"/>
        <v>95</v>
      </c>
      <c r="J96" s="2807" t="s">
        <v>4545</v>
      </c>
      <c r="K96" s="1414" t="s">
        <v>4504</v>
      </c>
      <c r="L96" s="2807" t="str">
        <f t="shared" si="4"/>
        <v>B2094</v>
      </c>
      <c r="M96" s="2807">
        <v>8</v>
      </c>
      <c r="N96" s="2807">
        <v>-2</v>
      </c>
      <c r="O96" s="2807">
        <f t="shared" si="5"/>
        <v>50.93</v>
      </c>
      <c r="P96" s="1414" t="s">
        <v>4547</v>
      </c>
      <c r="Q96" s="1414" t="s">
        <v>4547</v>
      </c>
    </row>
    <row r="97" spans="1:17">
      <c r="A97" s="1414">
        <v>95</v>
      </c>
      <c r="B97" s="1414" t="s">
        <v>4049</v>
      </c>
      <c r="C97" s="1414">
        <v>50.93</v>
      </c>
      <c r="I97" s="2807">
        <f t="shared" si="3"/>
        <v>96</v>
      </c>
      <c r="J97" s="2807" t="s">
        <v>4545</v>
      </c>
      <c r="K97" s="1414" t="s">
        <v>4504</v>
      </c>
      <c r="L97" s="2807" t="str">
        <f t="shared" si="4"/>
        <v>B2095</v>
      </c>
      <c r="M97" s="2807">
        <v>8</v>
      </c>
      <c r="N97" s="2807">
        <v>-2</v>
      </c>
      <c r="O97" s="2807">
        <f t="shared" si="5"/>
        <v>50.93</v>
      </c>
      <c r="P97" s="1414" t="s">
        <v>4547</v>
      </c>
      <c r="Q97" s="1414" t="s">
        <v>4547</v>
      </c>
    </row>
    <row r="98" spans="1:17">
      <c r="A98" s="1414">
        <v>96</v>
      </c>
      <c r="B98" s="1414" t="s">
        <v>4050</v>
      </c>
      <c r="C98" s="1414">
        <v>50.93</v>
      </c>
      <c r="I98" s="2807">
        <f t="shared" si="3"/>
        <v>97</v>
      </c>
      <c r="J98" s="2807" t="s">
        <v>4545</v>
      </c>
      <c r="K98" s="1414" t="s">
        <v>4504</v>
      </c>
      <c r="L98" s="2807" t="str">
        <f t="shared" si="4"/>
        <v>B2096</v>
      </c>
      <c r="M98" s="2807">
        <v>8</v>
      </c>
      <c r="N98" s="2807">
        <v>-2</v>
      </c>
      <c r="O98" s="2807">
        <f t="shared" si="5"/>
        <v>50.93</v>
      </c>
      <c r="P98" s="1414" t="s">
        <v>4547</v>
      </c>
      <c r="Q98" s="1414" t="s">
        <v>4547</v>
      </c>
    </row>
    <row r="99" spans="1:17">
      <c r="A99" s="1414">
        <v>97</v>
      </c>
      <c r="B99" s="1414" t="s">
        <v>4051</v>
      </c>
      <c r="C99" s="1414">
        <v>50.93</v>
      </c>
      <c r="I99" s="2807">
        <f t="shared" si="3"/>
        <v>98</v>
      </c>
      <c r="J99" s="2807" t="s">
        <v>4545</v>
      </c>
      <c r="K99" s="1414" t="s">
        <v>4504</v>
      </c>
      <c r="L99" s="2807" t="str">
        <f t="shared" si="4"/>
        <v>B2097</v>
      </c>
      <c r="M99" s="2807">
        <v>8</v>
      </c>
      <c r="N99" s="2807">
        <v>-2</v>
      </c>
      <c r="O99" s="2807">
        <f t="shared" si="5"/>
        <v>50.93</v>
      </c>
      <c r="P99" s="1414" t="s">
        <v>4547</v>
      </c>
      <c r="Q99" s="1414" t="s">
        <v>4547</v>
      </c>
    </row>
    <row r="100" spans="1:17">
      <c r="A100" s="1414">
        <v>98</v>
      </c>
      <c r="B100" s="1414" t="s">
        <v>4052</v>
      </c>
      <c r="C100" s="1414">
        <v>50.93</v>
      </c>
      <c r="I100" s="2807">
        <f t="shared" si="3"/>
        <v>99</v>
      </c>
      <c r="J100" s="2807" t="s">
        <v>4545</v>
      </c>
      <c r="K100" s="1414" t="s">
        <v>4504</v>
      </c>
      <c r="L100" s="2807" t="str">
        <f t="shared" si="4"/>
        <v>B2098</v>
      </c>
      <c r="M100" s="2807">
        <v>8</v>
      </c>
      <c r="N100" s="2807">
        <v>-2</v>
      </c>
      <c r="O100" s="2807">
        <f t="shared" si="5"/>
        <v>50.93</v>
      </c>
      <c r="P100" s="1414" t="s">
        <v>4547</v>
      </c>
      <c r="Q100" s="1414" t="s">
        <v>4547</v>
      </c>
    </row>
    <row r="101" spans="1:17">
      <c r="A101" s="1414">
        <v>99</v>
      </c>
      <c r="B101" s="1414" t="s">
        <v>4053</v>
      </c>
      <c r="C101" s="1414">
        <v>50.93</v>
      </c>
      <c r="I101" s="2807">
        <f t="shared" si="3"/>
        <v>100</v>
      </c>
      <c r="J101" s="2807" t="s">
        <v>4545</v>
      </c>
      <c r="K101" s="1414" t="s">
        <v>4504</v>
      </c>
      <c r="L101" s="2807" t="str">
        <f t="shared" si="4"/>
        <v>B2099</v>
      </c>
      <c r="M101" s="2807">
        <v>8</v>
      </c>
      <c r="N101" s="2807">
        <v>-2</v>
      </c>
      <c r="O101" s="2807">
        <f t="shared" si="5"/>
        <v>50.93</v>
      </c>
      <c r="P101" s="1414" t="s">
        <v>4547</v>
      </c>
      <c r="Q101" s="1414" t="s">
        <v>4547</v>
      </c>
    </row>
    <row r="102" spans="1:17">
      <c r="A102" s="1414">
        <v>100</v>
      </c>
      <c r="B102" s="1414" t="s">
        <v>4054</v>
      </c>
      <c r="C102" s="1414">
        <v>50.93</v>
      </c>
      <c r="I102" s="2807">
        <f t="shared" si="3"/>
        <v>101</v>
      </c>
      <c r="J102" s="2807" t="s">
        <v>4545</v>
      </c>
      <c r="K102" s="1414" t="s">
        <v>4504</v>
      </c>
      <c r="L102" s="2807" t="str">
        <f t="shared" si="4"/>
        <v>B2100</v>
      </c>
      <c r="M102" s="2807">
        <v>8</v>
      </c>
      <c r="N102" s="2807">
        <v>-2</v>
      </c>
      <c r="O102" s="2807">
        <f t="shared" si="5"/>
        <v>50.93</v>
      </c>
      <c r="P102" s="1414" t="s">
        <v>4547</v>
      </c>
      <c r="Q102" s="1414" t="s">
        <v>4547</v>
      </c>
    </row>
    <row r="103" spans="1:17">
      <c r="A103" s="1414">
        <v>101</v>
      </c>
      <c r="B103" s="1414" t="s">
        <v>4055</v>
      </c>
      <c r="C103" s="1414">
        <v>50.93</v>
      </c>
      <c r="I103" s="2807">
        <f t="shared" si="3"/>
        <v>102</v>
      </c>
      <c r="J103" s="2807" t="s">
        <v>4545</v>
      </c>
      <c r="K103" s="1414" t="s">
        <v>4504</v>
      </c>
      <c r="L103" s="2807" t="str">
        <f t="shared" si="4"/>
        <v>B2101</v>
      </c>
      <c r="M103" s="2807">
        <v>8</v>
      </c>
      <c r="N103" s="2807">
        <v>-2</v>
      </c>
      <c r="O103" s="2807">
        <f t="shared" si="5"/>
        <v>50.93</v>
      </c>
      <c r="P103" s="1414" t="s">
        <v>4547</v>
      </c>
      <c r="Q103" s="1414" t="s">
        <v>4547</v>
      </c>
    </row>
    <row r="104" spans="1:17">
      <c r="A104" s="1414">
        <v>102</v>
      </c>
      <c r="B104" s="1414" t="s">
        <v>4056</v>
      </c>
      <c r="C104" s="1414">
        <v>50.93</v>
      </c>
      <c r="I104" s="2807">
        <f t="shared" si="3"/>
        <v>103</v>
      </c>
      <c r="J104" s="2807" t="s">
        <v>4545</v>
      </c>
      <c r="K104" s="1414" t="s">
        <v>4504</v>
      </c>
      <c r="L104" s="2807" t="str">
        <f t="shared" si="4"/>
        <v>B2102</v>
      </c>
      <c r="M104" s="2807">
        <v>8</v>
      </c>
      <c r="N104" s="2807">
        <v>-2</v>
      </c>
      <c r="O104" s="2807">
        <f t="shared" si="5"/>
        <v>50.93</v>
      </c>
      <c r="P104" s="1414" t="s">
        <v>4547</v>
      </c>
      <c r="Q104" s="1414" t="s">
        <v>4547</v>
      </c>
    </row>
    <row r="105" spans="1:17">
      <c r="A105" s="1414">
        <v>103</v>
      </c>
      <c r="B105" s="1414" t="s">
        <v>4057</v>
      </c>
      <c r="C105" s="1414">
        <v>50.93</v>
      </c>
      <c r="I105" s="2807">
        <f t="shared" si="3"/>
        <v>104</v>
      </c>
      <c r="J105" s="2807" t="s">
        <v>4545</v>
      </c>
      <c r="K105" s="1414" t="s">
        <v>4504</v>
      </c>
      <c r="L105" s="2807" t="str">
        <f t="shared" si="4"/>
        <v>B2103</v>
      </c>
      <c r="M105" s="2807">
        <v>8</v>
      </c>
      <c r="N105" s="2807">
        <v>-2</v>
      </c>
      <c r="O105" s="2807">
        <f t="shared" si="5"/>
        <v>50.93</v>
      </c>
      <c r="P105" s="1414" t="s">
        <v>4547</v>
      </c>
      <c r="Q105" s="1414" t="s">
        <v>4547</v>
      </c>
    </row>
    <row r="106" spans="1:17">
      <c r="A106" s="1414">
        <v>104</v>
      </c>
      <c r="B106" s="1414" t="s">
        <v>4058</v>
      </c>
      <c r="C106" s="1414">
        <v>50.93</v>
      </c>
      <c r="I106" s="2807">
        <f t="shared" si="3"/>
        <v>105</v>
      </c>
      <c r="J106" s="2807" t="s">
        <v>4545</v>
      </c>
      <c r="K106" s="1414" t="s">
        <v>4504</v>
      </c>
      <c r="L106" s="2807" t="str">
        <f t="shared" si="4"/>
        <v>B2104</v>
      </c>
      <c r="M106" s="2807">
        <v>8</v>
      </c>
      <c r="N106" s="2807">
        <v>-2</v>
      </c>
      <c r="O106" s="2807">
        <f t="shared" si="5"/>
        <v>50.93</v>
      </c>
      <c r="P106" s="1414" t="s">
        <v>4547</v>
      </c>
      <c r="Q106" s="1414" t="s">
        <v>4547</v>
      </c>
    </row>
    <row r="107" spans="1:17">
      <c r="A107" s="1414">
        <v>105</v>
      </c>
      <c r="B107" s="1414" t="s">
        <v>4059</v>
      </c>
      <c r="C107" s="1414">
        <v>50.93</v>
      </c>
      <c r="I107" s="2807">
        <f t="shared" si="3"/>
        <v>106</v>
      </c>
      <c r="J107" s="2807" t="s">
        <v>4545</v>
      </c>
      <c r="K107" s="1414" t="s">
        <v>4504</v>
      </c>
      <c r="L107" s="2807" t="str">
        <f t="shared" si="4"/>
        <v>B2105</v>
      </c>
      <c r="M107" s="2807">
        <v>8</v>
      </c>
      <c r="N107" s="2807">
        <v>-2</v>
      </c>
      <c r="O107" s="2807">
        <f t="shared" si="5"/>
        <v>50.93</v>
      </c>
      <c r="P107" s="1414" t="s">
        <v>4547</v>
      </c>
      <c r="Q107" s="1414" t="s">
        <v>4547</v>
      </c>
    </row>
    <row r="108" spans="1:17">
      <c r="A108" s="1414">
        <v>106</v>
      </c>
      <c r="B108" s="1414" t="s">
        <v>4060</v>
      </c>
      <c r="C108" s="1414">
        <v>50.93</v>
      </c>
      <c r="I108" s="2807">
        <f t="shared" si="3"/>
        <v>107</v>
      </c>
      <c r="J108" s="2807" t="s">
        <v>4545</v>
      </c>
      <c r="K108" s="1414" t="s">
        <v>4504</v>
      </c>
      <c r="L108" s="2807" t="str">
        <f t="shared" si="4"/>
        <v>B2106</v>
      </c>
      <c r="M108" s="2807">
        <v>8</v>
      </c>
      <c r="N108" s="2807">
        <v>-2</v>
      </c>
      <c r="O108" s="2807">
        <f t="shared" si="5"/>
        <v>50.93</v>
      </c>
      <c r="P108" s="1414" t="s">
        <v>4547</v>
      </c>
      <c r="Q108" s="1414" t="s">
        <v>4547</v>
      </c>
    </row>
    <row r="109" spans="1:17">
      <c r="A109" s="1414">
        <v>107</v>
      </c>
      <c r="B109" s="1414" t="s">
        <v>4061</v>
      </c>
      <c r="C109" s="1414">
        <v>50.93</v>
      </c>
      <c r="I109" s="2807">
        <f t="shared" si="3"/>
        <v>108</v>
      </c>
      <c r="J109" s="2807" t="s">
        <v>4545</v>
      </c>
      <c r="K109" s="1414" t="s">
        <v>4504</v>
      </c>
      <c r="L109" s="2807" t="str">
        <f t="shared" si="4"/>
        <v>B2107</v>
      </c>
      <c r="M109" s="2807">
        <v>8</v>
      </c>
      <c r="N109" s="2807">
        <v>-2</v>
      </c>
      <c r="O109" s="2807">
        <f t="shared" si="5"/>
        <v>52.93</v>
      </c>
      <c r="P109" s="1414" t="s">
        <v>4547</v>
      </c>
      <c r="Q109" s="1414" t="s">
        <v>4547</v>
      </c>
    </row>
    <row r="110" spans="1:17">
      <c r="A110" s="1414">
        <v>108</v>
      </c>
      <c r="B110" s="1414" t="s">
        <v>4062</v>
      </c>
      <c r="C110" s="1414">
        <v>52.93</v>
      </c>
      <c r="I110" s="2807">
        <f t="shared" si="3"/>
        <v>109</v>
      </c>
      <c r="J110" s="2807" t="s">
        <v>4545</v>
      </c>
      <c r="K110" s="1414" t="s">
        <v>4504</v>
      </c>
      <c r="L110" s="2807" t="str">
        <f t="shared" si="4"/>
        <v>B2108</v>
      </c>
      <c r="M110" s="2807">
        <v>8</v>
      </c>
      <c r="N110" s="2807">
        <v>-2</v>
      </c>
      <c r="O110" s="2807">
        <f t="shared" si="5"/>
        <v>52.93</v>
      </c>
      <c r="P110" s="1414" t="s">
        <v>4547</v>
      </c>
      <c r="Q110" s="1414" t="s">
        <v>4547</v>
      </c>
    </row>
    <row r="111" spans="1:17">
      <c r="A111" s="1414">
        <v>109</v>
      </c>
      <c r="B111" s="1414" t="s">
        <v>4063</v>
      </c>
      <c r="C111" s="1414">
        <v>52.93</v>
      </c>
      <c r="I111" s="2807">
        <f t="shared" si="3"/>
        <v>110</v>
      </c>
      <c r="J111" s="2807" t="s">
        <v>4545</v>
      </c>
      <c r="K111" s="1414" t="s">
        <v>4504</v>
      </c>
      <c r="L111" s="2807" t="str">
        <f t="shared" si="4"/>
        <v>B2109</v>
      </c>
      <c r="M111" s="2807">
        <v>8</v>
      </c>
      <c r="N111" s="2807">
        <v>-2</v>
      </c>
      <c r="O111" s="2807">
        <f t="shared" si="5"/>
        <v>52.93</v>
      </c>
      <c r="P111" s="1414" t="s">
        <v>4547</v>
      </c>
      <c r="Q111" s="1414" t="s">
        <v>4547</v>
      </c>
    </row>
    <row r="112" spans="1:17">
      <c r="A112" s="1414">
        <v>110</v>
      </c>
      <c r="B112" s="1414" t="s">
        <v>4064</v>
      </c>
      <c r="C112" s="1414">
        <v>52.93</v>
      </c>
      <c r="I112" s="2807">
        <f t="shared" si="3"/>
        <v>111</v>
      </c>
      <c r="J112" s="2807" t="s">
        <v>4545</v>
      </c>
      <c r="K112" s="1414" t="s">
        <v>4504</v>
      </c>
      <c r="L112" s="2807" t="str">
        <f t="shared" si="4"/>
        <v>B2110</v>
      </c>
      <c r="M112" s="2807">
        <v>8</v>
      </c>
      <c r="N112" s="2807">
        <v>-2</v>
      </c>
      <c r="O112" s="2807">
        <f t="shared" si="5"/>
        <v>50.93</v>
      </c>
      <c r="P112" s="1414" t="s">
        <v>4547</v>
      </c>
      <c r="Q112" s="1414" t="s">
        <v>4547</v>
      </c>
    </row>
    <row r="113" spans="1:17">
      <c r="A113" s="1414">
        <v>111</v>
      </c>
      <c r="B113" s="1414" t="s">
        <v>4065</v>
      </c>
      <c r="C113" s="1414">
        <v>50.93</v>
      </c>
      <c r="I113" s="2807">
        <f t="shared" si="3"/>
        <v>112</v>
      </c>
      <c r="J113" s="2807" t="s">
        <v>4545</v>
      </c>
      <c r="K113" s="1414" t="s">
        <v>4504</v>
      </c>
      <c r="L113" s="2807" t="str">
        <f t="shared" si="4"/>
        <v>B2111</v>
      </c>
      <c r="M113" s="2807">
        <v>8</v>
      </c>
      <c r="N113" s="2807">
        <v>-2</v>
      </c>
      <c r="O113" s="2807">
        <f t="shared" si="5"/>
        <v>50.93</v>
      </c>
      <c r="P113" s="1414" t="s">
        <v>4547</v>
      </c>
      <c r="Q113" s="1414" t="s">
        <v>4547</v>
      </c>
    </row>
    <row r="114" spans="1:17">
      <c r="A114" s="1414">
        <v>112</v>
      </c>
      <c r="B114" s="1414" t="s">
        <v>4066</v>
      </c>
      <c r="C114" s="1414">
        <v>50.93</v>
      </c>
      <c r="I114" s="2807">
        <f t="shared" si="3"/>
        <v>113</v>
      </c>
      <c r="J114" s="2807" t="s">
        <v>4545</v>
      </c>
      <c r="K114" s="1414" t="s">
        <v>4504</v>
      </c>
      <c r="L114" s="2807" t="str">
        <f t="shared" si="4"/>
        <v>B2112</v>
      </c>
      <c r="M114" s="2807">
        <v>8</v>
      </c>
      <c r="N114" s="2807">
        <v>-2</v>
      </c>
      <c r="O114" s="2807">
        <f t="shared" si="5"/>
        <v>50.93</v>
      </c>
      <c r="P114" s="1414" t="s">
        <v>4547</v>
      </c>
      <c r="Q114" s="1414" t="s">
        <v>4547</v>
      </c>
    </row>
    <row r="115" spans="1:17">
      <c r="A115" s="1414">
        <v>113</v>
      </c>
      <c r="B115" s="1414" t="s">
        <v>4067</v>
      </c>
      <c r="C115" s="1414">
        <v>50.93</v>
      </c>
      <c r="I115" s="2807">
        <f t="shared" si="3"/>
        <v>114</v>
      </c>
      <c r="J115" s="2807" t="s">
        <v>4545</v>
      </c>
      <c r="K115" s="1414" t="s">
        <v>4504</v>
      </c>
      <c r="L115" s="2807" t="str">
        <f t="shared" si="4"/>
        <v>B2113</v>
      </c>
      <c r="M115" s="2807">
        <v>8</v>
      </c>
      <c r="N115" s="2807">
        <v>-2</v>
      </c>
      <c r="O115" s="2807">
        <f t="shared" si="5"/>
        <v>50.93</v>
      </c>
      <c r="P115" s="1414" t="s">
        <v>4547</v>
      </c>
      <c r="Q115" s="1414" t="s">
        <v>4547</v>
      </c>
    </row>
    <row r="116" spans="1:17">
      <c r="A116" s="1414">
        <v>114</v>
      </c>
      <c r="B116" s="1414" t="s">
        <v>4068</v>
      </c>
      <c r="C116" s="1414">
        <v>50.93</v>
      </c>
      <c r="I116" s="2807">
        <f t="shared" si="3"/>
        <v>115</v>
      </c>
      <c r="J116" s="2807" t="s">
        <v>4545</v>
      </c>
      <c r="K116" s="1414" t="s">
        <v>4504</v>
      </c>
      <c r="L116" s="2807" t="str">
        <f t="shared" si="4"/>
        <v>B2114</v>
      </c>
      <c r="M116" s="2807">
        <v>8</v>
      </c>
      <c r="N116" s="2807">
        <v>-2</v>
      </c>
      <c r="O116" s="2807">
        <f t="shared" si="5"/>
        <v>50.93</v>
      </c>
      <c r="P116" s="1414" t="s">
        <v>4547</v>
      </c>
      <c r="Q116" s="1414" t="s">
        <v>4547</v>
      </c>
    </row>
    <row r="117" spans="1:17">
      <c r="A117" s="1414">
        <v>115</v>
      </c>
      <c r="B117" s="1414" t="s">
        <v>4069</v>
      </c>
      <c r="C117" s="1414">
        <v>50.93</v>
      </c>
      <c r="I117" s="2807">
        <f t="shared" si="3"/>
        <v>116</v>
      </c>
      <c r="J117" s="2807" t="s">
        <v>4545</v>
      </c>
      <c r="K117" s="1414" t="s">
        <v>4504</v>
      </c>
      <c r="L117" s="2807" t="str">
        <f t="shared" si="4"/>
        <v>B2115</v>
      </c>
      <c r="M117" s="2807">
        <v>8</v>
      </c>
      <c r="N117" s="2807">
        <v>-2</v>
      </c>
      <c r="O117" s="2807">
        <f t="shared" si="5"/>
        <v>50.93</v>
      </c>
      <c r="P117" s="1414" t="s">
        <v>4547</v>
      </c>
      <c r="Q117" s="1414" t="s">
        <v>4547</v>
      </c>
    </row>
    <row r="118" spans="1:17">
      <c r="A118" s="1414">
        <v>116</v>
      </c>
      <c r="B118" s="1414" t="s">
        <v>4070</v>
      </c>
      <c r="C118" s="1414">
        <v>50.93</v>
      </c>
      <c r="I118" s="2807">
        <f t="shared" si="3"/>
        <v>117</v>
      </c>
      <c r="J118" s="2807" t="s">
        <v>4545</v>
      </c>
      <c r="K118" s="1414" t="s">
        <v>4504</v>
      </c>
      <c r="L118" s="2807" t="str">
        <f t="shared" si="4"/>
        <v>B2116</v>
      </c>
      <c r="M118" s="2807">
        <v>8</v>
      </c>
      <c r="N118" s="2807">
        <v>-2</v>
      </c>
      <c r="O118" s="2807">
        <f t="shared" si="5"/>
        <v>50.93</v>
      </c>
      <c r="P118" s="1414" t="s">
        <v>4547</v>
      </c>
      <c r="Q118" s="1414" t="s">
        <v>4547</v>
      </c>
    </row>
    <row r="119" spans="1:17">
      <c r="A119" s="1414">
        <v>117</v>
      </c>
      <c r="B119" s="1414" t="s">
        <v>4071</v>
      </c>
      <c r="C119" s="1414">
        <v>50.93</v>
      </c>
      <c r="I119" s="2807">
        <f t="shared" si="3"/>
        <v>118</v>
      </c>
      <c r="J119" s="2807" t="s">
        <v>4545</v>
      </c>
      <c r="K119" s="1414" t="s">
        <v>4504</v>
      </c>
      <c r="L119" s="2807" t="str">
        <f t="shared" si="4"/>
        <v>B2117</v>
      </c>
      <c r="M119" s="2807">
        <v>8</v>
      </c>
      <c r="N119" s="2807">
        <v>-2</v>
      </c>
      <c r="O119" s="2807">
        <f t="shared" si="5"/>
        <v>50.93</v>
      </c>
      <c r="P119" s="1414" t="s">
        <v>4547</v>
      </c>
      <c r="Q119" s="1414" t="s">
        <v>4547</v>
      </c>
    </row>
    <row r="120" spans="1:17">
      <c r="A120" s="1414">
        <v>118</v>
      </c>
      <c r="B120" s="1414" t="s">
        <v>4072</v>
      </c>
      <c r="C120" s="1414">
        <v>50.93</v>
      </c>
      <c r="I120" s="2807">
        <f t="shared" si="3"/>
        <v>119</v>
      </c>
      <c r="J120" s="2807" t="s">
        <v>4545</v>
      </c>
      <c r="K120" s="1414" t="s">
        <v>4504</v>
      </c>
      <c r="L120" s="2807" t="str">
        <f t="shared" si="4"/>
        <v>B2118</v>
      </c>
      <c r="M120" s="2807">
        <v>8</v>
      </c>
      <c r="N120" s="2807">
        <v>-2</v>
      </c>
      <c r="O120" s="2807">
        <f t="shared" si="5"/>
        <v>50.93</v>
      </c>
      <c r="P120" s="1414" t="s">
        <v>4547</v>
      </c>
      <c r="Q120" s="1414" t="s">
        <v>4547</v>
      </c>
    </row>
    <row r="121" spans="1:17">
      <c r="A121" s="1414">
        <v>119</v>
      </c>
      <c r="B121" s="1414" t="s">
        <v>4073</v>
      </c>
      <c r="C121" s="1414">
        <v>50.93</v>
      </c>
      <c r="I121" s="2807">
        <f t="shared" si="3"/>
        <v>120</v>
      </c>
      <c r="J121" s="2807" t="s">
        <v>4545</v>
      </c>
      <c r="K121" s="1414" t="s">
        <v>4504</v>
      </c>
      <c r="L121" s="2807" t="str">
        <f t="shared" si="4"/>
        <v>B2119</v>
      </c>
      <c r="M121" s="2807">
        <v>8</v>
      </c>
      <c r="N121" s="2807">
        <v>-2</v>
      </c>
      <c r="O121" s="2807">
        <f t="shared" si="5"/>
        <v>50.93</v>
      </c>
      <c r="P121" s="1414" t="s">
        <v>4547</v>
      </c>
      <c r="Q121" s="1414" t="s">
        <v>4547</v>
      </c>
    </row>
    <row r="122" spans="1:17">
      <c r="A122" s="1414">
        <v>120</v>
      </c>
      <c r="B122" s="1414" t="s">
        <v>4074</v>
      </c>
      <c r="C122" s="1414">
        <v>50.93</v>
      </c>
      <c r="I122" s="2807">
        <f t="shared" si="3"/>
        <v>121</v>
      </c>
      <c r="J122" s="2807" t="s">
        <v>4545</v>
      </c>
      <c r="K122" s="1414" t="s">
        <v>4504</v>
      </c>
      <c r="L122" s="2807" t="str">
        <f t="shared" si="4"/>
        <v>B2120</v>
      </c>
      <c r="M122" s="2807">
        <v>8</v>
      </c>
      <c r="N122" s="2807">
        <v>-2</v>
      </c>
      <c r="O122" s="2807">
        <f t="shared" si="5"/>
        <v>50.93</v>
      </c>
      <c r="P122" s="1414" t="s">
        <v>4547</v>
      </c>
      <c r="Q122" s="1414" t="s">
        <v>4547</v>
      </c>
    </row>
    <row r="123" spans="1:17">
      <c r="A123" s="1414">
        <v>121</v>
      </c>
      <c r="B123" s="1414" t="s">
        <v>4075</v>
      </c>
      <c r="C123" s="1414">
        <v>50.93</v>
      </c>
      <c r="I123" s="2807">
        <f t="shared" si="3"/>
        <v>122</v>
      </c>
      <c r="J123" s="2807" t="s">
        <v>4545</v>
      </c>
      <c r="K123" s="1414" t="s">
        <v>4504</v>
      </c>
      <c r="L123" s="2807" t="str">
        <f t="shared" si="4"/>
        <v>B2121</v>
      </c>
      <c r="M123" s="2807">
        <v>8</v>
      </c>
      <c r="N123" s="2807">
        <v>-2</v>
      </c>
      <c r="O123" s="2807">
        <f t="shared" si="5"/>
        <v>50.93</v>
      </c>
      <c r="P123" s="1414" t="s">
        <v>4547</v>
      </c>
      <c r="Q123" s="1414" t="s">
        <v>4547</v>
      </c>
    </row>
    <row r="124" spans="1:17">
      <c r="A124" s="1414">
        <v>122</v>
      </c>
      <c r="B124" s="1414" t="s">
        <v>4076</v>
      </c>
      <c r="C124" s="1414">
        <v>50.93</v>
      </c>
      <c r="I124" s="2807">
        <f t="shared" si="3"/>
        <v>123</v>
      </c>
      <c r="J124" s="2807" t="s">
        <v>4545</v>
      </c>
      <c r="K124" s="1414" t="s">
        <v>4504</v>
      </c>
      <c r="L124" s="2807" t="str">
        <f t="shared" si="4"/>
        <v>B2122</v>
      </c>
      <c r="M124" s="2807">
        <v>8</v>
      </c>
      <c r="N124" s="2807">
        <v>-2</v>
      </c>
      <c r="O124" s="2807">
        <f t="shared" si="5"/>
        <v>50.93</v>
      </c>
      <c r="P124" s="1414" t="s">
        <v>4547</v>
      </c>
      <c r="Q124" s="1414" t="s">
        <v>4547</v>
      </c>
    </row>
    <row r="125" spans="1:17">
      <c r="A125" s="1414">
        <v>123</v>
      </c>
      <c r="B125" s="1414" t="s">
        <v>4077</v>
      </c>
      <c r="C125" s="1414">
        <v>50.93</v>
      </c>
      <c r="I125" s="2807">
        <f t="shared" si="3"/>
        <v>124</v>
      </c>
      <c r="J125" s="2807" t="s">
        <v>4545</v>
      </c>
      <c r="K125" s="1414" t="s">
        <v>4504</v>
      </c>
      <c r="L125" s="2807" t="str">
        <f t="shared" si="4"/>
        <v>B2123</v>
      </c>
      <c r="M125" s="2807">
        <v>8</v>
      </c>
      <c r="N125" s="2807">
        <v>-2</v>
      </c>
      <c r="O125" s="2807">
        <f t="shared" si="5"/>
        <v>50.93</v>
      </c>
      <c r="P125" s="1414" t="s">
        <v>4547</v>
      </c>
      <c r="Q125" s="1414" t="s">
        <v>4547</v>
      </c>
    </row>
    <row r="126" spans="1:17">
      <c r="A126" s="1414">
        <v>124</v>
      </c>
      <c r="B126" s="1414" t="s">
        <v>4078</v>
      </c>
      <c r="C126" s="1414">
        <v>50.93</v>
      </c>
      <c r="I126" s="2807">
        <f t="shared" si="3"/>
        <v>125</v>
      </c>
      <c r="J126" s="2807" t="s">
        <v>4545</v>
      </c>
      <c r="K126" s="1414" t="s">
        <v>4504</v>
      </c>
      <c r="L126" s="2807" t="str">
        <f t="shared" si="4"/>
        <v>B2124</v>
      </c>
      <c r="M126" s="2807">
        <v>8</v>
      </c>
      <c r="N126" s="2807">
        <v>-2</v>
      </c>
      <c r="O126" s="2807">
        <f t="shared" si="5"/>
        <v>50.93</v>
      </c>
      <c r="P126" s="1414" t="s">
        <v>4547</v>
      </c>
      <c r="Q126" s="1414" t="s">
        <v>4547</v>
      </c>
    </row>
    <row r="127" spans="1:17">
      <c r="A127" s="1414">
        <v>125</v>
      </c>
      <c r="B127" s="1414" t="s">
        <v>4079</v>
      </c>
      <c r="C127" s="1414">
        <v>50.93</v>
      </c>
      <c r="I127" s="2807">
        <f t="shared" si="3"/>
        <v>126</v>
      </c>
      <c r="J127" s="2807" t="s">
        <v>4545</v>
      </c>
      <c r="K127" s="1414" t="s">
        <v>4504</v>
      </c>
      <c r="L127" s="2807" t="str">
        <f t="shared" si="4"/>
        <v>B2125</v>
      </c>
      <c r="M127" s="2807">
        <v>8</v>
      </c>
      <c r="N127" s="2807">
        <v>-2</v>
      </c>
      <c r="O127" s="2807">
        <f t="shared" si="5"/>
        <v>50.93</v>
      </c>
      <c r="P127" s="1414" t="s">
        <v>4547</v>
      </c>
      <c r="Q127" s="1414" t="s">
        <v>4547</v>
      </c>
    </row>
    <row r="128" spans="1:17">
      <c r="A128" s="1414">
        <v>126</v>
      </c>
      <c r="B128" s="1414" t="s">
        <v>4080</v>
      </c>
      <c r="C128" s="1414">
        <v>50.93</v>
      </c>
      <c r="I128" s="2807">
        <f t="shared" si="3"/>
        <v>127</v>
      </c>
      <c r="J128" s="2807" t="s">
        <v>4545</v>
      </c>
      <c r="K128" s="1414" t="s">
        <v>4504</v>
      </c>
      <c r="L128" s="2807" t="str">
        <f t="shared" si="4"/>
        <v>B2126</v>
      </c>
      <c r="M128" s="2807">
        <v>8</v>
      </c>
      <c r="N128" s="2807">
        <v>-2</v>
      </c>
      <c r="O128" s="2807">
        <f t="shared" si="5"/>
        <v>50.93</v>
      </c>
      <c r="P128" s="1414" t="s">
        <v>4547</v>
      </c>
      <c r="Q128" s="1414" t="s">
        <v>4547</v>
      </c>
    </row>
    <row r="129" spans="1:17">
      <c r="A129" s="1414">
        <v>127</v>
      </c>
      <c r="B129" s="1414" t="s">
        <v>4081</v>
      </c>
      <c r="C129" s="1414">
        <v>50.93</v>
      </c>
      <c r="I129" s="2807">
        <f t="shared" si="3"/>
        <v>128</v>
      </c>
      <c r="J129" s="2807" t="s">
        <v>4545</v>
      </c>
      <c r="K129" s="1414" t="s">
        <v>4504</v>
      </c>
      <c r="L129" s="2807" t="str">
        <f t="shared" si="4"/>
        <v>B2127</v>
      </c>
      <c r="M129" s="2807">
        <v>8</v>
      </c>
      <c r="N129" s="2807">
        <v>-2</v>
      </c>
      <c r="O129" s="2807">
        <f t="shared" si="5"/>
        <v>50.93</v>
      </c>
      <c r="P129" s="1414" t="s">
        <v>4547</v>
      </c>
      <c r="Q129" s="1414" t="s">
        <v>4547</v>
      </c>
    </row>
    <row r="130" spans="1:17">
      <c r="A130" s="1414">
        <v>128</v>
      </c>
      <c r="B130" s="1414" t="s">
        <v>4082</v>
      </c>
      <c r="C130" s="1414">
        <v>50.93</v>
      </c>
      <c r="I130" s="2807">
        <f t="shared" si="3"/>
        <v>129</v>
      </c>
      <c r="J130" s="2807" t="s">
        <v>4545</v>
      </c>
      <c r="K130" s="1414" t="s">
        <v>4504</v>
      </c>
      <c r="L130" s="2807" t="str">
        <f t="shared" si="4"/>
        <v>B2128</v>
      </c>
      <c r="M130" s="2807">
        <v>8</v>
      </c>
      <c r="N130" s="2807">
        <v>-2</v>
      </c>
      <c r="O130" s="2807">
        <f t="shared" si="5"/>
        <v>59.92</v>
      </c>
      <c r="P130" s="1414" t="s">
        <v>4547</v>
      </c>
      <c r="Q130" s="1414" t="s">
        <v>4547</v>
      </c>
    </row>
    <row r="131" spans="1:17">
      <c r="A131" s="1414">
        <v>129</v>
      </c>
      <c r="B131" s="1414" t="s">
        <v>4083</v>
      </c>
      <c r="C131" s="1414">
        <v>59.92</v>
      </c>
      <c r="I131" s="2807">
        <f t="shared" ref="I131:I194" si="6">A132</f>
        <v>130</v>
      </c>
      <c r="J131" s="2807" t="s">
        <v>4545</v>
      </c>
      <c r="K131" s="1414" t="s">
        <v>4504</v>
      </c>
      <c r="L131" s="2807" t="str">
        <f t="shared" ref="L131:L194" si="7">B132</f>
        <v>B2129</v>
      </c>
      <c r="M131" s="2807">
        <v>8</v>
      </c>
      <c r="N131" s="2807">
        <v>-2</v>
      </c>
      <c r="O131" s="2807">
        <f t="shared" ref="O131:O194" si="8">C132</f>
        <v>52.93</v>
      </c>
      <c r="P131" s="1414" t="s">
        <v>4547</v>
      </c>
      <c r="Q131" s="1414" t="s">
        <v>4547</v>
      </c>
    </row>
    <row r="132" spans="1:17">
      <c r="A132" s="1414">
        <v>130</v>
      </c>
      <c r="B132" s="1414" t="s">
        <v>4084</v>
      </c>
      <c r="C132" s="1414">
        <v>52.93</v>
      </c>
      <c r="I132" s="2807">
        <f t="shared" si="6"/>
        <v>131</v>
      </c>
      <c r="J132" s="2807" t="s">
        <v>4545</v>
      </c>
      <c r="K132" s="1414" t="s">
        <v>4504</v>
      </c>
      <c r="L132" s="2807" t="str">
        <f t="shared" si="7"/>
        <v>B2130</v>
      </c>
      <c r="M132" s="2807">
        <v>8</v>
      </c>
      <c r="N132" s="2807">
        <v>-2</v>
      </c>
      <c r="O132" s="2807">
        <f t="shared" si="8"/>
        <v>52.93</v>
      </c>
      <c r="P132" s="1414" t="s">
        <v>4547</v>
      </c>
      <c r="Q132" s="1414" t="s">
        <v>4547</v>
      </c>
    </row>
    <row r="133" spans="1:17">
      <c r="A133" s="1414">
        <v>131</v>
      </c>
      <c r="B133" s="1414" t="s">
        <v>4085</v>
      </c>
      <c r="C133" s="1414">
        <v>52.93</v>
      </c>
      <c r="I133" s="2807">
        <f t="shared" si="6"/>
        <v>132</v>
      </c>
      <c r="J133" s="2807" t="s">
        <v>4545</v>
      </c>
      <c r="K133" s="1414" t="s">
        <v>4504</v>
      </c>
      <c r="L133" s="2807" t="str">
        <f t="shared" si="7"/>
        <v>B2131</v>
      </c>
      <c r="M133" s="2807">
        <v>8</v>
      </c>
      <c r="N133" s="2807">
        <v>-2</v>
      </c>
      <c r="O133" s="2807">
        <f t="shared" si="8"/>
        <v>52.93</v>
      </c>
      <c r="P133" s="1414" t="s">
        <v>4547</v>
      </c>
      <c r="Q133" s="1414" t="s">
        <v>4547</v>
      </c>
    </row>
    <row r="134" spans="1:17">
      <c r="A134" s="1414">
        <v>132</v>
      </c>
      <c r="B134" s="1414" t="s">
        <v>4086</v>
      </c>
      <c r="C134" s="1414">
        <v>52.93</v>
      </c>
      <c r="I134" s="2807">
        <f t="shared" si="6"/>
        <v>133</v>
      </c>
      <c r="J134" s="2807" t="s">
        <v>4545</v>
      </c>
      <c r="K134" s="1414" t="s">
        <v>4504</v>
      </c>
      <c r="L134" s="2807" t="str">
        <f t="shared" si="7"/>
        <v>B2132</v>
      </c>
      <c r="M134" s="2807">
        <v>8</v>
      </c>
      <c r="N134" s="2807">
        <v>-2</v>
      </c>
      <c r="O134" s="2807">
        <f t="shared" si="8"/>
        <v>52.93</v>
      </c>
      <c r="P134" s="1414" t="s">
        <v>4547</v>
      </c>
      <c r="Q134" s="1414" t="s">
        <v>4547</v>
      </c>
    </row>
    <row r="135" spans="1:17">
      <c r="A135" s="1414">
        <v>133</v>
      </c>
      <c r="B135" s="1414" t="s">
        <v>4087</v>
      </c>
      <c r="C135" s="1414">
        <v>52.93</v>
      </c>
      <c r="I135" s="2807">
        <f t="shared" si="6"/>
        <v>134</v>
      </c>
      <c r="J135" s="2807" t="s">
        <v>4545</v>
      </c>
      <c r="K135" s="1414" t="s">
        <v>4504</v>
      </c>
      <c r="L135" s="2807" t="str">
        <f t="shared" si="7"/>
        <v>B2133</v>
      </c>
      <c r="M135" s="2807">
        <v>8</v>
      </c>
      <c r="N135" s="2807">
        <v>-2</v>
      </c>
      <c r="O135" s="2807">
        <f t="shared" si="8"/>
        <v>52.93</v>
      </c>
      <c r="P135" s="1414" t="s">
        <v>4547</v>
      </c>
      <c r="Q135" s="1414" t="s">
        <v>4547</v>
      </c>
    </row>
    <row r="136" spans="1:17">
      <c r="A136" s="1414">
        <v>134</v>
      </c>
      <c r="B136" s="1414" t="s">
        <v>4088</v>
      </c>
      <c r="C136" s="1414">
        <v>52.93</v>
      </c>
      <c r="I136" s="2807">
        <f t="shared" si="6"/>
        <v>135</v>
      </c>
      <c r="J136" s="2807" t="s">
        <v>4545</v>
      </c>
      <c r="K136" s="1414" t="s">
        <v>4504</v>
      </c>
      <c r="L136" s="2807" t="str">
        <f t="shared" si="7"/>
        <v>B2134</v>
      </c>
      <c r="M136" s="2807">
        <v>8</v>
      </c>
      <c r="N136" s="2807">
        <v>-2</v>
      </c>
      <c r="O136" s="2807">
        <f t="shared" si="8"/>
        <v>50.93</v>
      </c>
      <c r="P136" s="1414" t="s">
        <v>4547</v>
      </c>
      <c r="Q136" s="1414" t="s">
        <v>4547</v>
      </c>
    </row>
    <row r="137" spans="1:17">
      <c r="A137" s="1414">
        <v>135</v>
      </c>
      <c r="B137" s="1414" t="s">
        <v>4089</v>
      </c>
      <c r="C137" s="1414">
        <v>50.93</v>
      </c>
      <c r="I137" s="2807">
        <f t="shared" si="6"/>
        <v>136</v>
      </c>
      <c r="J137" s="2807" t="s">
        <v>4545</v>
      </c>
      <c r="K137" s="1414" t="s">
        <v>4504</v>
      </c>
      <c r="L137" s="2807" t="str">
        <f t="shared" si="7"/>
        <v>B2135</v>
      </c>
      <c r="M137" s="2807">
        <v>8</v>
      </c>
      <c r="N137" s="2807">
        <v>-2</v>
      </c>
      <c r="O137" s="2807">
        <f t="shared" si="8"/>
        <v>50.93</v>
      </c>
      <c r="P137" s="1414" t="s">
        <v>4547</v>
      </c>
      <c r="Q137" s="1414" t="s">
        <v>4547</v>
      </c>
    </row>
    <row r="138" spans="1:17">
      <c r="A138" s="1414">
        <v>136</v>
      </c>
      <c r="B138" s="1414" t="s">
        <v>4090</v>
      </c>
      <c r="C138" s="1414">
        <v>50.93</v>
      </c>
      <c r="I138" s="2807">
        <f t="shared" si="6"/>
        <v>137</v>
      </c>
      <c r="J138" s="2807" t="s">
        <v>4545</v>
      </c>
      <c r="K138" s="1414" t="s">
        <v>4504</v>
      </c>
      <c r="L138" s="2807" t="str">
        <f t="shared" si="7"/>
        <v>B2136</v>
      </c>
      <c r="M138" s="2807">
        <v>8</v>
      </c>
      <c r="N138" s="2807">
        <v>-2</v>
      </c>
      <c r="O138" s="2807">
        <f t="shared" si="8"/>
        <v>50.93</v>
      </c>
      <c r="P138" s="1414" t="s">
        <v>4547</v>
      </c>
      <c r="Q138" s="1414" t="s">
        <v>4547</v>
      </c>
    </row>
    <row r="139" spans="1:17">
      <c r="A139" s="1414">
        <v>137</v>
      </c>
      <c r="B139" s="1414" t="s">
        <v>4091</v>
      </c>
      <c r="C139" s="1414">
        <v>50.93</v>
      </c>
      <c r="I139" s="2807">
        <f t="shared" si="6"/>
        <v>138</v>
      </c>
      <c r="J139" s="2807" t="s">
        <v>4545</v>
      </c>
      <c r="K139" s="1414" t="s">
        <v>4504</v>
      </c>
      <c r="L139" s="2807" t="str">
        <f t="shared" si="7"/>
        <v>B2137</v>
      </c>
      <c r="M139" s="2807">
        <v>8</v>
      </c>
      <c r="N139" s="2807">
        <v>-2</v>
      </c>
      <c r="O139" s="2807">
        <f t="shared" si="8"/>
        <v>50.93</v>
      </c>
      <c r="P139" s="1414" t="s">
        <v>4547</v>
      </c>
      <c r="Q139" s="1414" t="s">
        <v>4547</v>
      </c>
    </row>
    <row r="140" spans="1:17">
      <c r="A140" s="1414">
        <v>138</v>
      </c>
      <c r="B140" s="1414" t="s">
        <v>4092</v>
      </c>
      <c r="C140" s="1414">
        <v>50.93</v>
      </c>
      <c r="I140" s="2807">
        <f t="shared" si="6"/>
        <v>139</v>
      </c>
      <c r="J140" s="2807" t="s">
        <v>4545</v>
      </c>
      <c r="K140" s="1414" t="s">
        <v>4504</v>
      </c>
      <c r="L140" s="2807" t="str">
        <f t="shared" si="7"/>
        <v>B2138</v>
      </c>
      <c r="M140" s="2807">
        <v>8</v>
      </c>
      <c r="N140" s="2807">
        <v>-2</v>
      </c>
      <c r="O140" s="2807">
        <f t="shared" si="8"/>
        <v>50.93</v>
      </c>
      <c r="P140" s="1414" t="s">
        <v>4547</v>
      </c>
      <c r="Q140" s="1414" t="s">
        <v>4547</v>
      </c>
    </row>
    <row r="141" spans="1:17">
      <c r="A141" s="1414">
        <v>139</v>
      </c>
      <c r="B141" s="1414" t="s">
        <v>4093</v>
      </c>
      <c r="C141" s="1414">
        <v>50.93</v>
      </c>
      <c r="I141" s="2807">
        <f t="shared" si="6"/>
        <v>140</v>
      </c>
      <c r="J141" s="2807" t="s">
        <v>4545</v>
      </c>
      <c r="K141" s="1414" t="s">
        <v>4504</v>
      </c>
      <c r="L141" s="2807" t="str">
        <f t="shared" si="7"/>
        <v>B2139</v>
      </c>
      <c r="M141" s="2807">
        <v>8</v>
      </c>
      <c r="N141" s="2807">
        <v>-2</v>
      </c>
      <c r="O141" s="2807">
        <f t="shared" si="8"/>
        <v>50.93</v>
      </c>
      <c r="P141" s="1414" t="s">
        <v>4547</v>
      </c>
      <c r="Q141" s="1414" t="s">
        <v>4547</v>
      </c>
    </row>
    <row r="142" spans="1:17">
      <c r="A142" s="1414">
        <v>140</v>
      </c>
      <c r="B142" s="1414" t="s">
        <v>4094</v>
      </c>
      <c r="C142" s="1414">
        <v>50.93</v>
      </c>
      <c r="I142" s="2807">
        <f t="shared" si="6"/>
        <v>141</v>
      </c>
      <c r="J142" s="2807" t="s">
        <v>4545</v>
      </c>
      <c r="K142" s="1414" t="s">
        <v>4504</v>
      </c>
      <c r="L142" s="2807" t="str">
        <f t="shared" si="7"/>
        <v>B2140</v>
      </c>
      <c r="M142" s="2807">
        <v>8</v>
      </c>
      <c r="N142" s="2807">
        <v>-2</v>
      </c>
      <c r="O142" s="2807">
        <f t="shared" si="8"/>
        <v>50.93</v>
      </c>
      <c r="P142" s="1414" t="s">
        <v>4547</v>
      </c>
      <c r="Q142" s="1414" t="s">
        <v>4547</v>
      </c>
    </row>
    <row r="143" spans="1:17">
      <c r="A143" s="1414">
        <v>141</v>
      </c>
      <c r="B143" s="1414" t="s">
        <v>4095</v>
      </c>
      <c r="C143" s="1414">
        <v>50.93</v>
      </c>
      <c r="I143" s="2807">
        <f t="shared" si="6"/>
        <v>142</v>
      </c>
      <c r="J143" s="2807" t="s">
        <v>4545</v>
      </c>
      <c r="K143" s="1414" t="s">
        <v>4504</v>
      </c>
      <c r="L143" s="2807" t="str">
        <f t="shared" si="7"/>
        <v>B2141</v>
      </c>
      <c r="M143" s="2807">
        <v>8</v>
      </c>
      <c r="N143" s="2807">
        <v>-2</v>
      </c>
      <c r="O143" s="2807">
        <f t="shared" si="8"/>
        <v>50.93</v>
      </c>
      <c r="P143" s="1414" t="s">
        <v>4547</v>
      </c>
      <c r="Q143" s="1414" t="s">
        <v>4547</v>
      </c>
    </row>
    <row r="144" spans="1:17">
      <c r="A144" s="1414">
        <v>142</v>
      </c>
      <c r="B144" s="1414" t="s">
        <v>4096</v>
      </c>
      <c r="C144" s="1414">
        <v>50.93</v>
      </c>
      <c r="I144" s="2807">
        <f t="shared" si="6"/>
        <v>143</v>
      </c>
      <c r="J144" s="2807" t="s">
        <v>4545</v>
      </c>
      <c r="K144" s="1414" t="s">
        <v>4504</v>
      </c>
      <c r="L144" s="2807" t="str">
        <f t="shared" si="7"/>
        <v>B2142</v>
      </c>
      <c r="M144" s="2807">
        <v>8</v>
      </c>
      <c r="N144" s="2807">
        <v>-2</v>
      </c>
      <c r="O144" s="2807">
        <f t="shared" si="8"/>
        <v>50.93</v>
      </c>
      <c r="P144" s="1414" t="s">
        <v>4547</v>
      </c>
      <c r="Q144" s="1414" t="s">
        <v>4547</v>
      </c>
    </row>
    <row r="145" spans="1:17">
      <c r="A145" s="1414">
        <v>143</v>
      </c>
      <c r="B145" s="1414" t="s">
        <v>4097</v>
      </c>
      <c r="C145" s="1414">
        <v>50.93</v>
      </c>
      <c r="I145" s="2807">
        <f t="shared" si="6"/>
        <v>144</v>
      </c>
      <c r="J145" s="2807" t="s">
        <v>4545</v>
      </c>
      <c r="K145" s="1414" t="s">
        <v>4504</v>
      </c>
      <c r="L145" s="2807" t="str">
        <f t="shared" si="7"/>
        <v>B2143</v>
      </c>
      <c r="M145" s="2807">
        <v>8</v>
      </c>
      <c r="N145" s="2807">
        <v>-2</v>
      </c>
      <c r="O145" s="2807">
        <f t="shared" si="8"/>
        <v>50.93</v>
      </c>
      <c r="P145" s="1414" t="s">
        <v>4547</v>
      </c>
      <c r="Q145" s="1414" t="s">
        <v>4547</v>
      </c>
    </row>
    <row r="146" spans="1:17">
      <c r="A146" s="1414">
        <v>144</v>
      </c>
      <c r="B146" s="1414" t="s">
        <v>4098</v>
      </c>
      <c r="C146" s="1414">
        <v>50.93</v>
      </c>
      <c r="I146" s="2807">
        <f t="shared" si="6"/>
        <v>145</v>
      </c>
      <c r="J146" s="2807" t="s">
        <v>4545</v>
      </c>
      <c r="K146" s="1414" t="s">
        <v>4504</v>
      </c>
      <c r="L146" s="2807" t="str">
        <f t="shared" si="7"/>
        <v>B2144</v>
      </c>
      <c r="M146" s="2807">
        <v>8</v>
      </c>
      <c r="N146" s="2807">
        <v>-2</v>
      </c>
      <c r="O146" s="2807">
        <f t="shared" si="8"/>
        <v>50.93</v>
      </c>
      <c r="P146" s="1414" t="s">
        <v>4547</v>
      </c>
      <c r="Q146" s="1414" t="s">
        <v>4547</v>
      </c>
    </row>
    <row r="147" spans="1:17">
      <c r="A147" s="1414">
        <v>145</v>
      </c>
      <c r="B147" s="1414" t="s">
        <v>4099</v>
      </c>
      <c r="C147" s="1414">
        <v>50.93</v>
      </c>
      <c r="I147" s="2807">
        <f t="shared" si="6"/>
        <v>146</v>
      </c>
      <c r="J147" s="2807" t="s">
        <v>4545</v>
      </c>
      <c r="K147" s="1414" t="s">
        <v>4504</v>
      </c>
      <c r="L147" s="2807" t="str">
        <f t="shared" si="7"/>
        <v>B2145</v>
      </c>
      <c r="M147" s="2807">
        <v>8</v>
      </c>
      <c r="N147" s="2807">
        <v>-2</v>
      </c>
      <c r="O147" s="2807">
        <f t="shared" si="8"/>
        <v>50.93</v>
      </c>
      <c r="P147" s="1414" t="s">
        <v>4547</v>
      </c>
      <c r="Q147" s="1414" t="s">
        <v>4547</v>
      </c>
    </row>
    <row r="148" spans="1:17">
      <c r="A148" s="1414">
        <v>146</v>
      </c>
      <c r="B148" s="1414" t="s">
        <v>4100</v>
      </c>
      <c r="C148" s="1414">
        <v>50.93</v>
      </c>
      <c r="I148" s="2807">
        <f t="shared" si="6"/>
        <v>147</v>
      </c>
      <c r="J148" s="2807" t="s">
        <v>4545</v>
      </c>
      <c r="K148" s="1414" t="s">
        <v>4504</v>
      </c>
      <c r="L148" s="2807" t="str">
        <f t="shared" si="7"/>
        <v>B2146</v>
      </c>
      <c r="M148" s="2807">
        <v>8</v>
      </c>
      <c r="N148" s="2807">
        <v>-2</v>
      </c>
      <c r="O148" s="2807">
        <f t="shared" si="8"/>
        <v>50.93</v>
      </c>
      <c r="P148" s="1414" t="s">
        <v>4547</v>
      </c>
      <c r="Q148" s="1414" t="s">
        <v>4547</v>
      </c>
    </row>
    <row r="149" spans="1:17">
      <c r="A149" s="1414">
        <v>147</v>
      </c>
      <c r="B149" s="1414" t="s">
        <v>4101</v>
      </c>
      <c r="C149" s="1414">
        <v>50.93</v>
      </c>
      <c r="I149" s="2807">
        <f t="shared" si="6"/>
        <v>148</v>
      </c>
      <c r="J149" s="2807" t="s">
        <v>4545</v>
      </c>
      <c r="K149" s="1414" t="s">
        <v>4504</v>
      </c>
      <c r="L149" s="2807" t="str">
        <f t="shared" si="7"/>
        <v>B2147</v>
      </c>
      <c r="M149" s="2807">
        <v>8</v>
      </c>
      <c r="N149" s="2807">
        <v>-2</v>
      </c>
      <c r="O149" s="2807">
        <f t="shared" si="8"/>
        <v>59.92</v>
      </c>
      <c r="P149" s="1414" t="s">
        <v>4547</v>
      </c>
      <c r="Q149" s="1414" t="s">
        <v>4547</v>
      </c>
    </row>
    <row r="150" spans="1:17">
      <c r="A150" s="1414">
        <v>148</v>
      </c>
      <c r="B150" s="1414" t="s">
        <v>4102</v>
      </c>
      <c r="C150" s="1414">
        <v>59.92</v>
      </c>
      <c r="I150" s="2807">
        <f t="shared" si="6"/>
        <v>149</v>
      </c>
      <c r="J150" s="2807" t="s">
        <v>4545</v>
      </c>
      <c r="K150" s="1414" t="s">
        <v>4504</v>
      </c>
      <c r="L150" s="2807" t="str">
        <f t="shared" si="7"/>
        <v>B2148</v>
      </c>
      <c r="M150" s="2807">
        <v>8</v>
      </c>
      <c r="N150" s="2807">
        <v>-2</v>
      </c>
      <c r="O150" s="2807">
        <f t="shared" si="8"/>
        <v>50.93</v>
      </c>
      <c r="P150" s="1414" t="s">
        <v>4547</v>
      </c>
      <c r="Q150" s="1414" t="s">
        <v>4547</v>
      </c>
    </row>
    <row r="151" spans="1:17">
      <c r="A151" s="1414">
        <v>149</v>
      </c>
      <c r="B151" s="1414" t="s">
        <v>4103</v>
      </c>
      <c r="C151" s="1414">
        <v>50.93</v>
      </c>
      <c r="I151" s="2807">
        <f t="shared" si="6"/>
        <v>150</v>
      </c>
      <c r="J151" s="2807" t="s">
        <v>4545</v>
      </c>
      <c r="K151" s="1414" t="s">
        <v>4504</v>
      </c>
      <c r="L151" s="2807" t="str">
        <f t="shared" si="7"/>
        <v>B2149</v>
      </c>
      <c r="M151" s="2807">
        <v>8</v>
      </c>
      <c r="N151" s="2807">
        <v>-2</v>
      </c>
      <c r="O151" s="2807">
        <f t="shared" si="8"/>
        <v>50.93</v>
      </c>
      <c r="P151" s="1414" t="s">
        <v>4547</v>
      </c>
      <c r="Q151" s="1414" t="s">
        <v>4547</v>
      </c>
    </row>
    <row r="152" spans="1:17">
      <c r="A152" s="1414">
        <v>150</v>
      </c>
      <c r="B152" s="1414" t="s">
        <v>4104</v>
      </c>
      <c r="C152" s="1414">
        <v>50.93</v>
      </c>
      <c r="I152" s="2807">
        <f t="shared" si="6"/>
        <v>151</v>
      </c>
      <c r="J152" s="2807" t="s">
        <v>4545</v>
      </c>
      <c r="K152" s="1414" t="s">
        <v>4504</v>
      </c>
      <c r="L152" s="2807" t="str">
        <f t="shared" si="7"/>
        <v>B2150</v>
      </c>
      <c r="M152" s="2807">
        <v>8</v>
      </c>
      <c r="N152" s="2807">
        <v>-2</v>
      </c>
      <c r="O152" s="2807">
        <f t="shared" si="8"/>
        <v>50.93</v>
      </c>
      <c r="P152" s="1414" t="s">
        <v>4547</v>
      </c>
      <c r="Q152" s="1414" t="s">
        <v>4547</v>
      </c>
    </row>
    <row r="153" spans="1:17">
      <c r="A153" s="1414">
        <v>151</v>
      </c>
      <c r="B153" s="1414" t="s">
        <v>4105</v>
      </c>
      <c r="C153" s="1414">
        <v>50.93</v>
      </c>
      <c r="I153" s="2807">
        <f t="shared" si="6"/>
        <v>152</v>
      </c>
      <c r="J153" s="2807" t="s">
        <v>4545</v>
      </c>
      <c r="K153" s="1414" t="s">
        <v>4504</v>
      </c>
      <c r="L153" s="2807" t="str">
        <f t="shared" si="7"/>
        <v>B2151</v>
      </c>
      <c r="M153" s="2807">
        <v>8</v>
      </c>
      <c r="N153" s="2807">
        <v>-2</v>
      </c>
      <c r="O153" s="2807">
        <f t="shared" si="8"/>
        <v>50.93</v>
      </c>
      <c r="P153" s="1414" t="s">
        <v>4547</v>
      </c>
      <c r="Q153" s="1414" t="s">
        <v>4547</v>
      </c>
    </row>
    <row r="154" spans="1:17">
      <c r="A154" s="1414">
        <v>152</v>
      </c>
      <c r="B154" s="1414" t="s">
        <v>4106</v>
      </c>
      <c r="C154" s="1414">
        <v>50.93</v>
      </c>
      <c r="I154" s="2807">
        <f t="shared" si="6"/>
        <v>153</v>
      </c>
      <c r="J154" s="2807" t="s">
        <v>4545</v>
      </c>
      <c r="K154" s="1414" t="s">
        <v>4504</v>
      </c>
      <c r="L154" s="2807" t="str">
        <f t="shared" si="7"/>
        <v>B2152</v>
      </c>
      <c r="M154" s="2807">
        <v>8</v>
      </c>
      <c r="N154" s="2807">
        <v>-2</v>
      </c>
      <c r="O154" s="2807">
        <f t="shared" si="8"/>
        <v>50.93</v>
      </c>
      <c r="P154" s="1414" t="s">
        <v>4547</v>
      </c>
      <c r="Q154" s="1414" t="s">
        <v>4547</v>
      </c>
    </row>
    <row r="155" spans="1:17">
      <c r="A155" s="1414">
        <v>153</v>
      </c>
      <c r="B155" s="1414" t="s">
        <v>4107</v>
      </c>
      <c r="C155" s="1414">
        <v>50.93</v>
      </c>
      <c r="I155" s="2807">
        <f t="shared" si="6"/>
        <v>154</v>
      </c>
      <c r="J155" s="2807" t="s">
        <v>4545</v>
      </c>
      <c r="K155" s="1414" t="s">
        <v>4504</v>
      </c>
      <c r="L155" s="2807" t="str">
        <f t="shared" si="7"/>
        <v>B2153</v>
      </c>
      <c r="M155" s="2807">
        <v>8</v>
      </c>
      <c r="N155" s="2807">
        <v>-2</v>
      </c>
      <c r="O155" s="2807">
        <f t="shared" si="8"/>
        <v>50.93</v>
      </c>
      <c r="P155" s="1414" t="s">
        <v>4547</v>
      </c>
      <c r="Q155" s="1414" t="s">
        <v>4547</v>
      </c>
    </row>
    <row r="156" spans="1:17">
      <c r="A156" s="1414">
        <v>154</v>
      </c>
      <c r="B156" s="1414" t="s">
        <v>4108</v>
      </c>
      <c r="C156" s="1414">
        <v>50.93</v>
      </c>
      <c r="I156" s="2807">
        <f t="shared" si="6"/>
        <v>155</v>
      </c>
      <c r="J156" s="2807" t="s">
        <v>4545</v>
      </c>
      <c r="K156" s="1414" t="s">
        <v>4504</v>
      </c>
      <c r="L156" s="2807" t="str">
        <f t="shared" si="7"/>
        <v>B2154</v>
      </c>
      <c r="M156" s="2807">
        <v>8</v>
      </c>
      <c r="N156" s="2807">
        <v>-2</v>
      </c>
      <c r="O156" s="2807">
        <f t="shared" si="8"/>
        <v>50.93</v>
      </c>
      <c r="P156" s="1414" t="s">
        <v>4547</v>
      </c>
      <c r="Q156" s="1414" t="s">
        <v>4547</v>
      </c>
    </row>
    <row r="157" spans="1:17">
      <c r="A157" s="1414">
        <v>155</v>
      </c>
      <c r="B157" s="1414" t="s">
        <v>4109</v>
      </c>
      <c r="C157" s="1414">
        <v>50.93</v>
      </c>
      <c r="I157" s="2807">
        <f t="shared" si="6"/>
        <v>156</v>
      </c>
      <c r="J157" s="2807" t="s">
        <v>4545</v>
      </c>
      <c r="K157" s="1414" t="s">
        <v>4504</v>
      </c>
      <c r="L157" s="2807" t="str">
        <f t="shared" si="7"/>
        <v>B2155</v>
      </c>
      <c r="M157" s="2807">
        <v>8</v>
      </c>
      <c r="N157" s="2807">
        <v>-2</v>
      </c>
      <c r="O157" s="2807">
        <f t="shared" si="8"/>
        <v>50.93</v>
      </c>
      <c r="P157" s="1414" t="s">
        <v>4547</v>
      </c>
      <c r="Q157" s="1414" t="s">
        <v>4547</v>
      </c>
    </row>
    <row r="158" spans="1:17">
      <c r="A158" s="1414">
        <v>156</v>
      </c>
      <c r="B158" s="1414" t="s">
        <v>4110</v>
      </c>
      <c r="C158" s="1414">
        <v>50.93</v>
      </c>
      <c r="I158" s="2807">
        <f t="shared" si="6"/>
        <v>157</v>
      </c>
      <c r="J158" s="2807" t="s">
        <v>4545</v>
      </c>
      <c r="K158" s="1414" t="s">
        <v>4504</v>
      </c>
      <c r="L158" s="2807" t="str">
        <f t="shared" si="7"/>
        <v>B2156</v>
      </c>
      <c r="M158" s="2807">
        <v>8</v>
      </c>
      <c r="N158" s="2807">
        <v>-2</v>
      </c>
      <c r="O158" s="2807">
        <f t="shared" si="8"/>
        <v>50.93</v>
      </c>
      <c r="P158" s="1414" t="s">
        <v>4547</v>
      </c>
      <c r="Q158" s="1414" t="s">
        <v>4547</v>
      </c>
    </row>
    <row r="159" spans="1:17">
      <c r="A159" s="1414">
        <v>157</v>
      </c>
      <c r="B159" s="1414" t="s">
        <v>4111</v>
      </c>
      <c r="C159" s="1414">
        <v>50.93</v>
      </c>
      <c r="I159" s="2807">
        <f t="shared" si="6"/>
        <v>158</v>
      </c>
      <c r="J159" s="2807" t="s">
        <v>4545</v>
      </c>
      <c r="K159" s="1414" t="s">
        <v>4504</v>
      </c>
      <c r="L159" s="2807" t="str">
        <f t="shared" si="7"/>
        <v>B2157</v>
      </c>
      <c r="M159" s="2807">
        <v>8</v>
      </c>
      <c r="N159" s="2807">
        <v>-2</v>
      </c>
      <c r="O159" s="2807">
        <f t="shared" si="8"/>
        <v>50.93</v>
      </c>
      <c r="P159" s="1414" t="s">
        <v>4547</v>
      </c>
      <c r="Q159" s="1414" t="s">
        <v>4547</v>
      </c>
    </row>
    <row r="160" spans="1:17">
      <c r="A160" s="1414">
        <v>158</v>
      </c>
      <c r="B160" s="1414" t="s">
        <v>4112</v>
      </c>
      <c r="C160" s="1414">
        <v>50.93</v>
      </c>
      <c r="I160" s="2807">
        <f t="shared" si="6"/>
        <v>159</v>
      </c>
      <c r="J160" s="2807" t="s">
        <v>4545</v>
      </c>
      <c r="K160" s="1414" t="s">
        <v>4504</v>
      </c>
      <c r="L160" s="2807" t="str">
        <f t="shared" si="7"/>
        <v>B2158</v>
      </c>
      <c r="M160" s="2807">
        <v>8</v>
      </c>
      <c r="N160" s="2807">
        <v>-2</v>
      </c>
      <c r="O160" s="2807">
        <f t="shared" si="8"/>
        <v>50.93</v>
      </c>
      <c r="P160" s="1414" t="s">
        <v>4547</v>
      </c>
      <c r="Q160" s="1414" t="s">
        <v>4547</v>
      </c>
    </row>
    <row r="161" spans="1:17">
      <c r="A161" s="1414">
        <v>159</v>
      </c>
      <c r="B161" s="1414" t="s">
        <v>4113</v>
      </c>
      <c r="C161" s="1414">
        <v>50.93</v>
      </c>
      <c r="I161" s="2807">
        <f t="shared" si="6"/>
        <v>160</v>
      </c>
      <c r="J161" s="2807" t="s">
        <v>4545</v>
      </c>
      <c r="K161" s="1414" t="s">
        <v>4504</v>
      </c>
      <c r="L161" s="2807" t="str">
        <f t="shared" si="7"/>
        <v>B2159</v>
      </c>
      <c r="M161" s="2807">
        <v>8</v>
      </c>
      <c r="N161" s="2807">
        <v>-2</v>
      </c>
      <c r="O161" s="2807">
        <f t="shared" si="8"/>
        <v>50.93</v>
      </c>
      <c r="P161" s="1414" t="s">
        <v>4547</v>
      </c>
      <c r="Q161" s="1414" t="s">
        <v>4547</v>
      </c>
    </row>
    <row r="162" spans="1:17">
      <c r="A162" s="1414">
        <v>160</v>
      </c>
      <c r="B162" s="1414" t="s">
        <v>4114</v>
      </c>
      <c r="C162" s="1414">
        <v>50.93</v>
      </c>
      <c r="I162" s="2807">
        <f t="shared" si="6"/>
        <v>161</v>
      </c>
      <c r="J162" s="2807" t="s">
        <v>4545</v>
      </c>
      <c r="K162" s="1414" t="s">
        <v>4504</v>
      </c>
      <c r="L162" s="2807" t="str">
        <f t="shared" si="7"/>
        <v>B2160</v>
      </c>
      <c r="M162" s="2807">
        <v>8</v>
      </c>
      <c r="N162" s="2807">
        <v>-2</v>
      </c>
      <c r="O162" s="2807">
        <f t="shared" si="8"/>
        <v>50.93</v>
      </c>
      <c r="P162" s="1414" t="s">
        <v>4547</v>
      </c>
      <c r="Q162" s="1414" t="s">
        <v>4547</v>
      </c>
    </row>
    <row r="163" spans="1:17">
      <c r="A163" s="1414">
        <v>161</v>
      </c>
      <c r="B163" s="1414" t="s">
        <v>4115</v>
      </c>
      <c r="C163" s="1414">
        <v>50.93</v>
      </c>
      <c r="I163" s="2807">
        <f t="shared" si="6"/>
        <v>162</v>
      </c>
      <c r="J163" s="2807" t="s">
        <v>4545</v>
      </c>
      <c r="K163" s="1414" t="s">
        <v>4504</v>
      </c>
      <c r="L163" s="2807" t="str">
        <f t="shared" si="7"/>
        <v>B2161</v>
      </c>
      <c r="M163" s="2807">
        <v>8</v>
      </c>
      <c r="N163" s="2807">
        <v>-2</v>
      </c>
      <c r="O163" s="2807">
        <f t="shared" si="8"/>
        <v>52.93</v>
      </c>
      <c r="P163" s="1414" t="s">
        <v>4547</v>
      </c>
      <c r="Q163" s="1414" t="s">
        <v>4547</v>
      </c>
    </row>
    <row r="164" spans="1:17">
      <c r="A164" s="1414">
        <v>162</v>
      </c>
      <c r="B164" s="1414" t="s">
        <v>4116</v>
      </c>
      <c r="C164" s="1414">
        <v>52.93</v>
      </c>
      <c r="I164" s="2807">
        <f t="shared" si="6"/>
        <v>163</v>
      </c>
      <c r="J164" s="2807" t="s">
        <v>4545</v>
      </c>
      <c r="K164" s="1414" t="s">
        <v>4504</v>
      </c>
      <c r="L164" s="2807" t="str">
        <f t="shared" si="7"/>
        <v>B2162</v>
      </c>
      <c r="M164" s="2807">
        <v>8</v>
      </c>
      <c r="N164" s="2807">
        <v>-2</v>
      </c>
      <c r="O164" s="2807">
        <f t="shared" si="8"/>
        <v>52.93</v>
      </c>
      <c r="P164" s="1414" t="s">
        <v>4547</v>
      </c>
      <c r="Q164" s="1414" t="s">
        <v>4547</v>
      </c>
    </row>
    <row r="165" spans="1:17">
      <c r="A165" s="1414">
        <v>163</v>
      </c>
      <c r="B165" s="1414" t="s">
        <v>4117</v>
      </c>
      <c r="C165" s="1414">
        <v>52.93</v>
      </c>
      <c r="I165" s="2807">
        <f t="shared" si="6"/>
        <v>164</v>
      </c>
      <c r="J165" s="2807" t="s">
        <v>4545</v>
      </c>
      <c r="K165" s="1414" t="s">
        <v>4504</v>
      </c>
      <c r="L165" s="2807" t="str">
        <f t="shared" si="7"/>
        <v>B2163</v>
      </c>
      <c r="M165" s="2807">
        <v>8</v>
      </c>
      <c r="N165" s="2807">
        <v>-2</v>
      </c>
      <c r="O165" s="2807">
        <f t="shared" si="8"/>
        <v>52.93</v>
      </c>
      <c r="P165" s="1414" t="s">
        <v>4547</v>
      </c>
      <c r="Q165" s="1414" t="s">
        <v>4547</v>
      </c>
    </row>
    <row r="166" spans="1:17">
      <c r="A166" s="1414">
        <v>164</v>
      </c>
      <c r="B166" s="1414" t="s">
        <v>4118</v>
      </c>
      <c r="C166" s="1414">
        <v>52.93</v>
      </c>
      <c r="I166" s="2807">
        <f t="shared" si="6"/>
        <v>165</v>
      </c>
      <c r="J166" s="2807" t="s">
        <v>4545</v>
      </c>
      <c r="K166" s="1414" t="s">
        <v>4504</v>
      </c>
      <c r="L166" s="2807" t="str">
        <f t="shared" si="7"/>
        <v>B2164</v>
      </c>
      <c r="M166" s="2807">
        <v>8</v>
      </c>
      <c r="N166" s="2807">
        <v>-2</v>
      </c>
      <c r="O166" s="2807">
        <f t="shared" si="8"/>
        <v>52.93</v>
      </c>
      <c r="P166" s="1414" t="s">
        <v>4547</v>
      </c>
      <c r="Q166" s="1414" t="s">
        <v>4547</v>
      </c>
    </row>
    <row r="167" spans="1:17">
      <c r="A167" s="1414">
        <v>165</v>
      </c>
      <c r="B167" s="1414" t="s">
        <v>4119</v>
      </c>
      <c r="C167" s="1414">
        <v>52.93</v>
      </c>
      <c r="I167" s="2807">
        <f t="shared" si="6"/>
        <v>166</v>
      </c>
      <c r="J167" s="2807" t="s">
        <v>4545</v>
      </c>
      <c r="K167" s="1414" t="s">
        <v>4504</v>
      </c>
      <c r="L167" s="2807" t="str">
        <f t="shared" si="7"/>
        <v>B2165</v>
      </c>
      <c r="M167" s="2807">
        <v>8</v>
      </c>
      <c r="N167" s="2807">
        <v>-2</v>
      </c>
      <c r="O167" s="2807">
        <f t="shared" si="8"/>
        <v>52.93</v>
      </c>
      <c r="P167" s="1414" t="s">
        <v>4547</v>
      </c>
      <c r="Q167" s="1414" t="s">
        <v>4547</v>
      </c>
    </row>
    <row r="168" spans="1:17">
      <c r="A168" s="1414">
        <v>166</v>
      </c>
      <c r="B168" s="1414" t="s">
        <v>4120</v>
      </c>
      <c r="C168" s="1414">
        <v>52.93</v>
      </c>
      <c r="I168" s="2807">
        <f t="shared" si="6"/>
        <v>167</v>
      </c>
      <c r="J168" s="2807" t="s">
        <v>4545</v>
      </c>
      <c r="K168" s="1414" t="s">
        <v>4504</v>
      </c>
      <c r="L168" s="2807" t="str">
        <f t="shared" si="7"/>
        <v>B2166</v>
      </c>
      <c r="M168" s="2807">
        <v>8</v>
      </c>
      <c r="N168" s="2807">
        <v>-2</v>
      </c>
      <c r="O168" s="2807">
        <f t="shared" si="8"/>
        <v>52.93</v>
      </c>
      <c r="P168" s="1414" t="s">
        <v>4547</v>
      </c>
      <c r="Q168" s="1414" t="s">
        <v>4547</v>
      </c>
    </row>
    <row r="169" spans="1:17">
      <c r="A169" s="1414">
        <v>167</v>
      </c>
      <c r="B169" s="1414" t="s">
        <v>4121</v>
      </c>
      <c r="C169" s="1414">
        <v>52.93</v>
      </c>
      <c r="I169" s="2807">
        <f t="shared" si="6"/>
        <v>168</v>
      </c>
      <c r="J169" s="2807" t="s">
        <v>4545</v>
      </c>
      <c r="K169" s="1414" t="s">
        <v>4504</v>
      </c>
      <c r="L169" s="2807" t="str">
        <f t="shared" si="7"/>
        <v>B2167</v>
      </c>
      <c r="M169" s="2807">
        <v>8</v>
      </c>
      <c r="N169" s="2807">
        <v>-2</v>
      </c>
      <c r="O169" s="2807">
        <f t="shared" si="8"/>
        <v>52.93</v>
      </c>
      <c r="P169" s="1414" t="s">
        <v>4547</v>
      </c>
      <c r="Q169" s="1414" t="s">
        <v>4547</v>
      </c>
    </row>
    <row r="170" spans="1:17">
      <c r="A170" s="1414">
        <v>168</v>
      </c>
      <c r="B170" s="1414" t="s">
        <v>4122</v>
      </c>
      <c r="C170" s="1414">
        <v>52.93</v>
      </c>
      <c r="I170" s="2807">
        <f t="shared" si="6"/>
        <v>169</v>
      </c>
      <c r="J170" s="2807" t="s">
        <v>4545</v>
      </c>
      <c r="K170" s="1414" t="s">
        <v>4504</v>
      </c>
      <c r="L170" s="2807" t="str">
        <f t="shared" si="7"/>
        <v>B2168</v>
      </c>
      <c r="M170" s="2807">
        <v>8</v>
      </c>
      <c r="N170" s="2807">
        <v>-2</v>
      </c>
      <c r="O170" s="2807">
        <f t="shared" si="8"/>
        <v>52.93</v>
      </c>
      <c r="P170" s="1414" t="s">
        <v>4547</v>
      </c>
      <c r="Q170" s="1414" t="s">
        <v>4547</v>
      </c>
    </row>
    <row r="171" spans="1:17">
      <c r="A171" s="1414">
        <v>169</v>
      </c>
      <c r="B171" s="1414" t="s">
        <v>4123</v>
      </c>
      <c r="C171" s="1414">
        <v>52.93</v>
      </c>
      <c r="I171" s="2807">
        <f t="shared" si="6"/>
        <v>170</v>
      </c>
      <c r="J171" s="2807" t="s">
        <v>4545</v>
      </c>
      <c r="K171" s="1414" t="s">
        <v>4504</v>
      </c>
      <c r="L171" s="2807" t="str">
        <f t="shared" si="7"/>
        <v>B2169</v>
      </c>
      <c r="M171" s="2807">
        <v>8</v>
      </c>
      <c r="N171" s="2807">
        <v>-2</v>
      </c>
      <c r="O171" s="2807">
        <f t="shared" si="8"/>
        <v>52.93</v>
      </c>
      <c r="P171" s="1414" t="s">
        <v>4547</v>
      </c>
      <c r="Q171" s="1414" t="s">
        <v>4547</v>
      </c>
    </row>
    <row r="172" spans="1:17">
      <c r="A172" s="1414">
        <v>170</v>
      </c>
      <c r="B172" s="1414" t="s">
        <v>4124</v>
      </c>
      <c r="C172" s="1414">
        <v>52.93</v>
      </c>
      <c r="I172" s="2807">
        <f t="shared" si="6"/>
        <v>171</v>
      </c>
      <c r="J172" s="2807" t="s">
        <v>4545</v>
      </c>
      <c r="K172" s="1414" t="s">
        <v>4504</v>
      </c>
      <c r="L172" s="2807" t="str">
        <f t="shared" si="7"/>
        <v>B2170</v>
      </c>
      <c r="M172" s="2807">
        <v>8</v>
      </c>
      <c r="N172" s="2807">
        <v>-2</v>
      </c>
      <c r="O172" s="2807">
        <f t="shared" si="8"/>
        <v>52.93</v>
      </c>
      <c r="P172" s="1414" t="s">
        <v>4547</v>
      </c>
      <c r="Q172" s="1414" t="s">
        <v>4547</v>
      </c>
    </row>
    <row r="173" spans="1:17">
      <c r="A173" s="1414">
        <v>171</v>
      </c>
      <c r="B173" s="1414" t="s">
        <v>4125</v>
      </c>
      <c r="C173" s="1414">
        <v>52.93</v>
      </c>
      <c r="I173" s="2807">
        <f t="shared" si="6"/>
        <v>172</v>
      </c>
      <c r="J173" s="2807" t="s">
        <v>4545</v>
      </c>
      <c r="K173" s="1414" t="s">
        <v>4504</v>
      </c>
      <c r="L173" s="2807" t="str">
        <f t="shared" si="7"/>
        <v>B2171</v>
      </c>
      <c r="M173" s="2807">
        <v>8</v>
      </c>
      <c r="N173" s="2807">
        <v>-2</v>
      </c>
      <c r="O173" s="2807">
        <f t="shared" si="8"/>
        <v>52.93</v>
      </c>
      <c r="P173" s="1414" t="s">
        <v>4547</v>
      </c>
      <c r="Q173" s="1414" t="s">
        <v>4547</v>
      </c>
    </row>
    <row r="174" spans="1:17">
      <c r="A174" s="1414">
        <v>172</v>
      </c>
      <c r="B174" s="1414" t="s">
        <v>4126</v>
      </c>
      <c r="C174" s="1414">
        <v>52.93</v>
      </c>
      <c r="I174" s="2807">
        <f t="shared" si="6"/>
        <v>173</v>
      </c>
      <c r="J174" s="2807" t="s">
        <v>4545</v>
      </c>
      <c r="K174" s="1414" t="s">
        <v>4504</v>
      </c>
      <c r="L174" s="2807" t="str">
        <f t="shared" si="7"/>
        <v>B2172</v>
      </c>
      <c r="M174" s="2807">
        <v>8</v>
      </c>
      <c r="N174" s="2807">
        <v>-2</v>
      </c>
      <c r="O174" s="2807">
        <f t="shared" si="8"/>
        <v>52.93</v>
      </c>
      <c r="P174" s="1414" t="s">
        <v>4547</v>
      </c>
      <c r="Q174" s="1414" t="s">
        <v>4547</v>
      </c>
    </row>
    <row r="175" spans="1:17">
      <c r="A175" s="1414">
        <v>173</v>
      </c>
      <c r="B175" s="1414" t="s">
        <v>4127</v>
      </c>
      <c r="C175" s="1414">
        <v>52.93</v>
      </c>
      <c r="I175" s="2807">
        <f t="shared" si="6"/>
        <v>174</v>
      </c>
      <c r="J175" s="2807" t="s">
        <v>4545</v>
      </c>
      <c r="K175" s="1414" t="s">
        <v>4504</v>
      </c>
      <c r="L175" s="2807" t="str">
        <f t="shared" si="7"/>
        <v>B2173</v>
      </c>
      <c r="M175" s="2807">
        <v>8</v>
      </c>
      <c r="N175" s="2807">
        <v>-2</v>
      </c>
      <c r="O175" s="2807">
        <f t="shared" si="8"/>
        <v>52.93</v>
      </c>
      <c r="P175" s="1414" t="s">
        <v>4547</v>
      </c>
      <c r="Q175" s="1414" t="s">
        <v>4547</v>
      </c>
    </row>
    <row r="176" spans="1:17">
      <c r="A176" s="1414">
        <v>174</v>
      </c>
      <c r="B176" s="1414" t="s">
        <v>4128</v>
      </c>
      <c r="C176" s="1414">
        <v>52.93</v>
      </c>
      <c r="I176" s="2807">
        <f t="shared" si="6"/>
        <v>175</v>
      </c>
      <c r="J176" s="2807" t="s">
        <v>4545</v>
      </c>
      <c r="K176" s="1414" t="s">
        <v>4504</v>
      </c>
      <c r="L176" s="2807" t="str">
        <f t="shared" si="7"/>
        <v>B2174</v>
      </c>
      <c r="M176" s="2807">
        <v>8</v>
      </c>
      <c r="N176" s="2807">
        <v>-2</v>
      </c>
      <c r="O176" s="2807">
        <f t="shared" si="8"/>
        <v>52.93</v>
      </c>
      <c r="P176" s="1414" t="s">
        <v>4547</v>
      </c>
      <c r="Q176" s="1414" t="s">
        <v>4547</v>
      </c>
    </row>
    <row r="177" spans="1:17">
      <c r="A177" s="1414">
        <v>175</v>
      </c>
      <c r="B177" s="1414" t="s">
        <v>4129</v>
      </c>
      <c r="C177" s="1414">
        <v>52.93</v>
      </c>
      <c r="I177" s="2807">
        <f t="shared" si="6"/>
        <v>176</v>
      </c>
      <c r="J177" s="2807" t="s">
        <v>4545</v>
      </c>
      <c r="K177" s="1414" t="s">
        <v>4504</v>
      </c>
      <c r="L177" s="2807" t="str">
        <f t="shared" si="7"/>
        <v>B2175</v>
      </c>
      <c r="M177" s="2807">
        <v>8</v>
      </c>
      <c r="N177" s="2807">
        <v>-2</v>
      </c>
      <c r="O177" s="2807">
        <f t="shared" si="8"/>
        <v>59.92</v>
      </c>
      <c r="P177" s="1414" t="s">
        <v>4547</v>
      </c>
      <c r="Q177" s="1414" t="s">
        <v>4547</v>
      </c>
    </row>
    <row r="178" spans="1:17">
      <c r="A178" s="1414">
        <v>176</v>
      </c>
      <c r="B178" s="1414" t="s">
        <v>4130</v>
      </c>
      <c r="C178" s="1414">
        <v>59.92</v>
      </c>
      <c r="I178" s="2807">
        <f t="shared" si="6"/>
        <v>177</v>
      </c>
      <c r="J178" s="2807" t="s">
        <v>4545</v>
      </c>
      <c r="K178" s="1414" t="s">
        <v>4504</v>
      </c>
      <c r="L178" s="2807" t="str">
        <f t="shared" si="7"/>
        <v>B2176</v>
      </c>
      <c r="M178" s="2807">
        <v>8</v>
      </c>
      <c r="N178" s="2807">
        <v>-2</v>
      </c>
      <c r="O178" s="2807">
        <f t="shared" si="8"/>
        <v>50.93</v>
      </c>
      <c r="P178" s="1414" t="s">
        <v>4547</v>
      </c>
      <c r="Q178" s="1414" t="s">
        <v>4547</v>
      </c>
    </row>
    <row r="179" spans="1:17">
      <c r="A179" s="1414">
        <v>177</v>
      </c>
      <c r="B179" s="1414" t="s">
        <v>4131</v>
      </c>
      <c r="C179" s="1414">
        <v>50.93</v>
      </c>
      <c r="I179" s="2807">
        <f t="shared" si="6"/>
        <v>178</v>
      </c>
      <c r="J179" s="2807" t="s">
        <v>4545</v>
      </c>
      <c r="K179" s="1414" t="s">
        <v>4504</v>
      </c>
      <c r="L179" s="2807" t="str">
        <f t="shared" si="7"/>
        <v>B2177</v>
      </c>
      <c r="M179" s="2807">
        <v>8</v>
      </c>
      <c r="N179" s="2807">
        <v>-2</v>
      </c>
      <c r="O179" s="2807">
        <f t="shared" si="8"/>
        <v>50.93</v>
      </c>
      <c r="P179" s="1414" t="s">
        <v>4547</v>
      </c>
      <c r="Q179" s="1414" t="s">
        <v>4547</v>
      </c>
    </row>
    <row r="180" spans="1:17">
      <c r="A180" s="1414">
        <v>178</v>
      </c>
      <c r="B180" s="1414" t="s">
        <v>4132</v>
      </c>
      <c r="C180" s="1414">
        <v>50.93</v>
      </c>
      <c r="I180" s="2807">
        <f t="shared" si="6"/>
        <v>179</v>
      </c>
      <c r="J180" s="2807" t="s">
        <v>4545</v>
      </c>
      <c r="K180" s="1414" t="s">
        <v>4504</v>
      </c>
      <c r="L180" s="2807" t="str">
        <f t="shared" si="7"/>
        <v>B2178</v>
      </c>
      <c r="M180" s="2807">
        <v>8</v>
      </c>
      <c r="N180" s="2807">
        <v>-2</v>
      </c>
      <c r="O180" s="2807">
        <f t="shared" si="8"/>
        <v>50.93</v>
      </c>
      <c r="P180" s="1414" t="s">
        <v>4547</v>
      </c>
      <c r="Q180" s="1414" t="s">
        <v>4547</v>
      </c>
    </row>
    <row r="181" spans="1:17">
      <c r="A181" s="1414">
        <v>179</v>
      </c>
      <c r="B181" s="1414" t="s">
        <v>4133</v>
      </c>
      <c r="C181" s="1414">
        <v>50.93</v>
      </c>
      <c r="I181" s="2807">
        <f t="shared" si="6"/>
        <v>180</v>
      </c>
      <c r="J181" s="2807" t="s">
        <v>4545</v>
      </c>
      <c r="K181" s="1414" t="s">
        <v>4504</v>
      </c>
      <c r="L181" s="2807" t="str">
        <f t="shared" si="7"/>
        <v>B2179</v>
      </c>
      <c r="M181" s="2807">
        <v>8</v>
      </c>
      <c r="N181" s="2807">
        <v>-2</v>
      </c>
      <c r="O181" s="2807">
        <f t="shared" si="8"/>
        <v>50.93</v>
      </c>
      <c r="P181" s="1414" t="s">
        <v>4547</v>
      </c>
      <c r="Q181" s="1414" t="s">
        <v>4547</v>
      </c>
    </row>
    <row r="182" spans="1:17">
      <c r="A182" s="1414">
        <v>180</v>
      </c>
      <c r="B182" s="1414" t="s">
        <v>4134</v>
      </c>
      <c r="C182" s="1414">
        <v>50.93</v>
      </c>
      <c r="I182" s="2807">
        <f t="shared" si="6"/>
        <v>181</v>
      </c>
      <c r="J182" s="2807" t="s">
        <v>4545</v>
      </c>
      <c r="K182" s="1414" t="s">
        <v>4504</v>
      </c>
      <c r="L182" s="2807" t="str">
        <f t="shared" si="7"/>
        <v>B2180</v>
      </c>
      <c r="M182" s="2807">
        <v>8</v>
      </c>
      <c r="N182" s="2807">
        <v>-2</v>
      </c>
      <c r="O182" s="2807">
        <f t="shared" si="8"/>
        <v>50.93</v>
      </c>
      <c r="P182" s="1414" t="s">
        <v>4547</v>
      </c>
      <c r="Q182" s="1414" t="s">
        <v>4547</v>
      </c>
    </row>
    <row r="183" spans="1:17">
      <c r="A183" s="1414">
        <v>181</v>
      </c>
      <c r="B183" s="1414" t="s">
        <v>4135</v>
      </c>
      <c r="C183" s="1414">
        <v>50.93</v>
      </c>
      <c r="I183" s="2807">
        <f t="shared" si="6"/>
        <v>182</v>
      </c>
      <c r="J183" s="2807" t="s">
        <v>4545</v>
      </c>
      <c r="K183" s="1414" t="s">
        <v>4504</v>
      </c>
      <c r="L183" s="2807" t="str">
        <f t="shared" si="7"/>
        <v>B3001</v>
      </c>
      <c r="M183" s="2807">
        <v>8</v>
      </c>
      <c r="N183" s="2807">
        <v>-3</v>
      </c>
      <c r="O183" s="2807">
        <f t="shared" si="8"/>
        <v>59.92</v>
      </c>
      <c r="P183" s="1414" t="s">
        <v>4547</v>
      </c>
      <c r="Q183" s="1414" t="s">
        <v>4547</v>
      </c>
    </row>
    <row r="184" spans="1:17">
      <c r="A184" s="1414">
        <v>182</v>
      </c>
      <c r="B184" s="1414" t="s">
        <v>3628</v>
      </c>
      <c r="C184" s="1414">
        <v>59.92</v>
      </c>
      <c r="I184" s="2807">
        <f t="shared" si="6"/>
        <v>183</v>
      </c>
      <c r="J184" s="2807" t="s">
        <v>4545</v>
      </c>
      <c r="K184" s="1414" t="s">
        <v>4504</v>
      </c>
      <c r="L184" s="2807" t="str">
        <f t="shared" si="7"/>
        <v>B3002</v>
      </c>
      <c r="M184" s="2807">
        <v>8</v>
      </c>
      <c r="N184" s="2807">
        <v>-3</v>
      </c>
      <c r="O184" s="2807">
        <f t="shared" si="8"/>
        <v>59.92</v>
      </c>
      <c r="P184" s="1414" t="s">
        <v>4547</v>
      </c>
      <c r="Q184" s="1414" t="s">
        <v>4547</v>
      </c>
    </row>
    <row r="185" spans="1:17">
      <c r="A185" s="1414">
        <v>183</v>
      </c>
      <c r="B185" s="1414" t="s">
        <v>3629</v>
      </c>
      <c r="C185" s="1414">
        <v>59.92</v>
      </c>
      <c r="I185" s="2807">
        <f t="shared" si="6"/>
        <v>184</v>
      </c>
      <c r="J185" s="2807" t="s">
        <v>4545</v>
      </c>
      <c r="K185" s="1414" t="s">
        <v>4504</v>
      </c>
      <c r="L185" s="2807" t="str">
        <f t="shared" si="7"/>
        <v>B3003</v>
      </c>
      <c r="M185" s="2807">
        <v>8</v>
      </c>
      <c r="N185" s="2807">
        <v>-3</v>
      </c>
      <c r="O185" s="2807">
        <f t="shared" si="8"/>
        <v>59.92</v>
      </c>
      <c r="P185" s="1414" t="s">
        <v>4547</v>
      </c>
      <c r="Q185" s="1414" t="s">
        <v>4547</v>
      </c>
    </row>
    <row r="186" spans="1:17">
      <c r="A186" s="1414">
        <v>184</v>
      </c>
      <c r="B186" s="1414" t="s">
        <v>3630</v>
      </c>
      <c r="C186" s="1414">
        <v>59.92</v>
      </c>
      <c r="I186" s="2807">
        <f t="shared" si="6"/>
        <v>185</v>
      </c>
      <c r="J186" s="2807" t="s">
        <v>4545</v>
      </c>
      <c r="K186" s="1414" t="s">
        <v>4504</v>
      </c>
      <c r="L186" s="2807" t="str">
        <f t="shared" si="7"/>
        <v>B3004</v>
      </c>
      <c r="M186" s="2807">
        <v>8</v>
      </c>
      <c r="N186" s="2807">
        <v>-3</v>
      </c>
      <c r="O186" s="2807">
        <f t="shared" si="8"/>
        <v>52.93</v>
      </c>
      <c r="P186" s="1414" t="s">
        <v>4547</v>
      </c>
      <c r="Q186" s="1414" t="s">
        <v>4547</v>
      </c>
    </row>
    <row r="187" spans="1:17">
      <c r="A187" s="1414">
        <v>185</v>
      </c>
      <c r="B187" s="1414" t="s">
        <v>3631</v>
      </c>
      <c r="C187" s="1414">
        <v>52.93</v>
      </c>
      <c r="I187" s="2807">
        <f t="shared" si="6"/>
        <v>186</v>
      </c>
      <c r="J187" s="2807" t="s">
        <v>4545</v>
      </c>
      <c r="K187" s="1414" t="s">
        <v>4504</v>
      </c>
      <c r="L187" s="2807" t="str">
        <f t="shared" si="7"/>
        <v>B3005</v>
      </c>
      <c r="M187" s="2807">
        <v>8</v>
      </c>
      <c r="N187" s="2807">
        <v>-3</v>
      </c>
      <c r="O187" s="2807">
        <f t="shared" si="8"/>
        <v>52.93</v>
      </c>
      <c r="P187" s="1414" t="s">
        <v>4547</v>
      </c>
      <c r="Q187" s="1414" t="s">
        <v>4547</v>
      </c>
    </row>
    <row r="188" spans="1:17">
      <c r="A188" s="1414">
        <v>186</v>
      </c>
      <c r="B188" s="1414" t="s">
        <v>3632</v>
      </c>
      <c r="C188" s="1414">
        <v>52.93</v>
      </c>
      <c r="I188" s="2807">
        <f t="shared" si="6"/>
        <v>187</v>
      </c>
      <c r="J188" s="2807" t="s">
        <v>4545</v>
      </c>
      <c r="K188" s="1414" t="s">
        <v>4504</v>
      </c>
      <c r="L188" s="2807" t="str">
        <f t="shared" si="7"/>
        <v>B3006</v>
      </c>
      <c r="M188" s="2807">
        <v>8</v>
      </c>
      <c r="N188" s="2807">
        <v>-3</v>
      </c>
      <c r="O188" s="2807">
        <f t="shared" si="8"/>
        <v>52.93</v>
      </c>
      <c r="P188" s="1414" t="s">
        <v>4547</v>
      </c>
      <c r="Q188" s="1414" t="s">
        <v>4547</v>
      </c>
    </row>
    <row r="189" spans="1:17">
      <c r="A189" s="1414">
        <v>187</v>
      </c>
      <c r="B189" s="1414" t="s">
        <v>3633</v>
      </c>
      <c r="C189" s="1414">
        <v>52.93</v>
      </c>
      <c r="I189" s="2807">
        <f t="shared" si="6"/>
        <v>188</v>
      </c>
      <c r="J189" s="2807" t="s">
        <v>4545</v>
      </c>
      <c r="K189" s="1414" t="s">
        <v>4504</v>
      </c>
      <c r="L189" s="2807" t="str">
        <f t="shared" si="7"/>
        <v>B3007</v>
      </c>
      <c r="M189" s="2807">
        <v>8</v>
      </c>
      <c r="N189" s="2807">
        <v>-3</v>
      </c>
      <c r="O189" s="2807">
        <f t="shared" si="8"/>
        <v>52.93</v>
      </c>
      <c r="P189" s="1414" t="s">
        <v>4547</v>
      </c>
      <c r="Q189" s="1414" t="s">
        <v>4547</v>
      </c>
    </row>
    <row r="190" spans="1:17">
      <c r="A190" s="1414">
        <v>188</v>
      </c>
      <c r="B190" s="1414" t="s">
        <v>3634</v>
      </c>
      <c r="C190" s="1414">
        <v>52.93</v>
      </c>
      <c r="I190" s="2807">
        <f t="shared" si="6"/>
        <v>189</v>
      </c>
      <c r="J190" s="2807" t="s">
        <v>4545</v>
      </c>
      <c r="K190" s="1414" t="s">
        <v>4504</v>
      </c>
      <c r="L190" s="2807" t="str">
        <f t="shared" si="7"/>
        <v>B3008</v>
      </c>
      <c r="M190" s="2807">
        <v>8</v>
      </c>
      <c r="N190" s="2807">
        <v>-3</v>
      </c>
      <c r="O190" s="2807">
        <f t="shared" si="8"/>
        <v>52.93</v>
      </c>
      <c r="P190" s="1414" t="s">
        <v>4547</v>
      </c>
      <c r="Q190" s="1414" t="s">
        <v>4547</v>
      </c>
    </row>
    <row r="191" spans="1:17">
      <c r="A191" s="1414">
        <v>189</v>
      </c>
      <c r="B191" s="1414" t="s">
        <v>3635</v>
      </c>
      <c r="C191" s="1414">
        <v>52.93</v>
      </c>
      <c r="I191" s="2807">
        <f t="shared" si="6"/>
        <v>190</v>
      </c>
      <c r="J191" s="2807" t="s">
        <v>4545</v>
      </c>
      <c r="K191" s="1414" t="s">
        <v>4504</v>
      </c>
      <c r="L191" s="2807" t="str">
        <f t="shared" si="7"/>
        <v>B3009</v>
      </c>
      <c r="M191" s="2807">
        <v>8</v>
      </c>
      <c r="N191" s="2807">
        <v>-3</v>
      </c>
      <c r="O191" s="2807">
        <f t="shared" si="8"/>
        <v>52.93</v>
      </c>
      <c r="P191" s="1414" t="s">
        <v>4547</v>
      </c>
      <c r="Q191" s="1414" t="s">
        <v>4547</v>
      </c>
    </row>
    <row r="192" spans="1:17">
      <c r="A192" s="1414">
        <v>190</v>
      </c>
      <c r="B192" s="1414" t="s">
        <v>3636</v>
      </c>
      <c r="C192" s="1414">
        <v>52.93</v>
      </c>
      <c r="I192" s="2807">
        <f t="shared" si="6"/>
        <v>191</v>
      </c>
      <c r="J192" s="2807" t="s">
        <v>4545</v>
      </c>
      <c r="K192" s="1414" t="s">
        <v>4504</v>
      </c>
      <c r="L192" s="2807" t="str">
        <f t="shared" si="7"/>
        <v>B3010</v>
      </c>
      <c r="M192" s="2807">
        <v>8</v>
      </c>
      <c r="N192" s="2807">
        <v>-3</v>
      </c>
      <c r="O192" s="2807">
        <f t="shared" si="8"/>
        <v>52.93</v>
      </c>
      <c r="P192" s="1414" t="s">
        <v>4547</v>
      </c>
      <c r="Q192" s="1414" t="s">
        <v>4547</v>
      </c>
    </row>
    <row r="193" spans="1:17">
      <c r="A193" s="1414">
        <v>191</v>
      </c>
      <c r="B193" s="1414" t="s">
        <v>3637</v>
      </c>
      <c r="C193" s="1414">
        <v>52.93</v>
      </c>
      <c r="I193" s="2807">
        <f t="shared" si="6"/>
        <v>192</v>
      </c>
      <c r="J193" s="2807" t="s">
        <v>4545</v>
      </c>
      <c r="K193" s="1414" t="s">
        <v>4504</v>
      </c>
      <c r="L193" s="2807" t="str">
        <f t="shared" si="7"/>
        <v>B3011</v>
      </c>
      <c r="M193" s="2807">
        <v>8</v>
      </c>
      <c r="N193" s="2807">
        <v>-3</v>
      </c>
      <c r="O193" s="2807">
        <f t="shared" si="8"/>
        <v>52.93</v>
      </c>
      <c r="P193" s="1414" t="s">
        <v>4547</v>
      </c>
      <c r="Q193" s="1414" t="s">
        <v>4547</v>
      </c>
    </row>
    <row r="194" spans="1:17">
      <c r="A194" s="1414">
        <v>192</v>
      </c>
      <c r="B194" s="1414" t="s">
        <v>3638</v>
      </c>
      <c r="C194" s="1414">
        <v>52.93</v>
      </c>
      <c r="I194" s="2807">
        <f t="shared" si="6"/>
        <v>193</v>
      </c>
      <c r="J194" s="2807" t="s">
        <v>4545</v>
      </c>
      <c r="K194" s="1414" t="s">
        <v>4504</v>
      </c>
      <c r="L194" s="2807" t="str">
        <f t="shared" si="7"/>
        <v>B3012</v>
      </c>
      <c r="M194" s="2807">
        <v>8</v>
      </c>
      <c r="N194" s="2807">
        <v>-3</v>
      </c>
      <c r="O194" s="2807">
        <f t="shared" si="8"/>
        <v>52.93</v>
      </c>
      <c r="P194" s="1414" t="s">
        <v>4547</v>
      </c>
      <c r="Q194" s="1414" t="s">
        <v>4547</v>
      </c>
    </row>
    <row r="195" spans="1:17">
      <c r="A195" s="1414">
        <v>193</v>
      </c>
      <c r="B195" s="1414" t="s">
        <v>3639</v>
      </c>
      <c r="C195" s="1414">
        <v>52.93</v>
      </c>
      <c r="I195" s="2807">
        <f t="shared" ref="I195:I258" si="9">A196</f>
        <v>194</v>
      </c>
      <c r="J195" s="2807" t="s">
        <v>4545</v>
      </c>
      <c r="K195" s="1414" t="s">
        <v>4504</v>
      </c>
      <c r="L195" s="2807" t="str">
        <f t="shared" ref="L195:L258" si="10">B196</f>
        <v>B3013</v>
      </c>
      <c r="M195" s="2807">
        <v>8</v>
      </c>
      <c r="N195" s="2807">
        <v>-3</v>
      </c>
      <c r="O195" s="2807">
        <f t="shared" ref="O195:O258" si="11">C196</f>
        <v>52.93</v>
      </c>
      <c r="P195" s="1414" t="s">
        <v>4547</v>
      </c>
      <c r="Q195" s="1414" t="s">
        <v>4547</v>
      </c>
    </row>
    <row r="196" spans="1:17">
      <c r="A196" s="1414">
        <v>194</v>
      </c>
      <c r="B196" s="1414" t="s">
        <v>3640</v>
      </c>
      <c r="C196" s="1414">
        <v>52.93</v>
      </c>
      <c r="I196" s="2807">
        <f t="shared" si="9"/>
        <v>195</v>
      </c>
      <c r="J196" s="2807" t="s">
        <v>4545</v>
      </c>
      <c r="K196" s="1414" t="s">
        <v>4504</v>
      </c>
      <c r="L196" s="2807" t="str">
        <f t="shared" si="10"/>
        <v>B3014</v>
      </c>
      <c r="M196" s="2807">
        <v>8</v>
      </c>
      <c r="N196" s="2807">
        <v>-3</v>
      </c>
      <c r="O196" s="2807">
        <f t="shared" si="11"/>
        <v>52.93</v>
      </c>
      <c r="P196" s="1414" t="s">
        <v>4547</v>
      </c>
      <c r="Q196" s="1414" t="s">
        <v>4547</v>
      </c>
    </row>
    <row r="197" spans="1:17">
      <c r="A197" s="1414">
        <v>195</v>
      </c>
      <c r="B197" s="1414" t="s">
        <v>3641</v>
      </c>
      <c r="C197" s="1414">
        <v>52.93</v>
      </c>
      <c r="I197" s="2807">
        <f t="shared" si="9"/>
        <v>196</v>
      </c>
      <c r="J197" s="2807" t="s">
        <v>4545</v>
      </c>
      <c r="K197" s="1414" t="s">
        <v>4504</v>
      </c>
      <c r="L197" s="2807" t="str">
        <f t="shared" si="10"/>
        <v>B3015</v>
      </c>
      <c r="M197" s="2807">
        <v>8</v>
      </c>
      <c r="N197" s="2807">
        <v>-3</v>
      </c>
      <c r="O197" s="2807">
        <f t="shared" si="11"/>
        <v>52.93</v>
      </c>
      <c r="P197" s="1414" t="s">
        <v>4547</v>
      </c>
      <c r="Q197" s="1414" t="s">
        <v>4547</v>
      </c>
    </row>
    <row r="198" spans="1:17">
      <c r="A198" s="1414">
        <v>196</v>
      </c>
      <c r="B198" s="1414" t="s">
        <v>3642</v>
      </c>
      <c r="C198" s="1414">
        <v>52.93</v>
      </c>
      <c r="I198" s="2807">
        <f t="shared" si="9"/>
        <v>197</v>
      </c>
      <c r="J198" s="2807" t="s">
        <v>4545</v>
      </c>
      <c r="K198" s="1414" t="s">
        <v>4504</v>
      </c>
      <c r="L198" s="2807" t="str">
        <f t="shared" si="10"/>
        <v>B3016</v>
      </c>
      <c r="M198" s="2807">
        <v>8</v>
      </c>
      <c r="N198" s="2807">
        <v>-3</v>
      </c>
      <c r="O198" s="2807">
        <f t="shared" si="11"/>
        <v>52.93</v>
      </c>
      <c r="P198" s="1414" t="s">
        <v>4547</v>
      </c>
      <c r="Q198" s="1414" t="s">
        <v>4547</v>
      </c>
    </row>
    <row r="199" spans="1:17">
      <c r="A199" s="1414">
        <v>197</v>
      </c>
      <c r="B199" s="1414" t="s">
        <v>3643</v>
      </c>
      <c r="C199" s="1414">
        <v>52.93</v>
      </c>
      <c r="I199" s="2807">
        <f t="shared" si="9"/>
        <v>198</v>
      </c>
      <c r="J199" s="2807" t="s">
        <v>4545</v>
      </c>
      <c r="K199" s="1414" t="s">
        <v>4504</v>
      </c>
      <c r="L199" s="2807" t="str">
        <f t="shared" si="10"/>
        <v>B3017</v>
      </c>
      <c r="M199" s="2807">
        <v>8</v>
      </c>
      <c r="N199" s="2807">
        <v>-3</v>
      </c>
      <c r="O199" s="2807">
        <f t="shared" si="11"/>
        <v>52.93</v>
      </c>
      <c r="P199" s="1414" t="s">
        <v>4547</v>
      </c>
      <c r="Q199" s="1414" t="s">
        <v>4547</v>
      </c>
    </row>
    <row r="200" spans="1:17">
      <c r="A200" s="1414">
        <v>198</v>
      </c>
      <c r="B200" s="1414" t="s">
        <v>3644</v>
      </c>
      <c r="C200" s="1414">
        <v>52.93</v>
      </c>
      <c r="I200" s="2807">
        <f t="shared" si="9"/>
        <v>199</v>
      </c>
      <c r="J200" s="2807" t="s">
        <v>4545</v>
      </c>
      <c r="K200" s="1414" t="s">
        <v>4504</v>
      </c>
      <c r="L200" s="2807" t="str">
        <f t="shared" si="10"/>
        <v>B3018</v>
      </c>
      <c r="M200" s="2807">
        <v>8</v>
      </c>
      <c r="N200" s="2807">
        <v>-3</v>
      </c>
      <c r="O200" s="2807">
        <f t="shared" si="11"/>
        <v>52.93</v>
      </c>
      <c r="P200" s="1414" t="s">
        <v>4547</v>
      </c>
      <c r="Q200" s="1414" t="s">
        <v>4547</v>
      </c>
    </row>
    <row r="201" spans="1:17">
      <c r="A201" s="1414">
        <v>199</v>
      </c>
      <c r="B201" s="1414" t="s">
        <v>3645</v>
      </c>
      <c r="C201" s="1414">
        <v>52.93</v>
      </c>
      <c r="I201" s="2807">
        <f t="shared" si="9"/>
        <v>200</v>
      </c>
      <c r="J201" s="2807" t="s">
        <v>4545</v>
      </c>
      <c r="K201" s="1414" t="s">
        <v>4504</v>
      </c>
      <c r="L201" s="2807" t="str">
        <f t="shared" si="10"/>
        <v>B3019</v>
      </c>
      <c r="M201" s="2807">
        <v>8</v>
      </c>
      <c r="N201" s="2807">
        <v>-3</v>
      </c>
      <c r="O201" s="2807">
        <f t="shared" si="11"/>
        <v>52.93</v>
      </c>
      <c r="P201" s="1414" t="s">
        <v>4547</v>
      </c>
      <c r="Q201" s="1414" t="s">
        <v>4547</v>
      </c>
    </row>
    <row r="202" spans="1:17">
      <c r="A202" s="1414">
        <v>200</v>
      </c>
      <c r="B202" s="1414" t="s">
        <v>3646</v>
      </c>
      <c r="C202" s="1414">
        <v>52.93</v>
      </c>
      <c r="I202" s="2807">
        <f t="shared" si="9"/>
        <v>201</v>
      </c>
      <c r="J202" s="2807" t="s">
        <v>4545</v>
      </c>
      <c r="K202" s="1414" t="s">
        <v>4504</v>
      </c>
      <c r="L202" s="2807" t="str">
        <f t="shared" si="10"/>
        <v>B3020</v>
      </c>
      <c r="M202" s="2807">
        <v>8</v>
      </c>
      <c r="N202" s="2807">
        <v>-3</v>
      </c>
      <c r="O202" s="2807">
        <f t="shared" si="11"/>
        <v>52.93</v>
      </c>
      <c r="P202" s="1414" t="s">
        <v>4547</v>
      </c>
      <c r="Q202" s="1414" t="s">
        <v>4547</v>
      </c>
    </row>
    <row r="203" spans="1:17">
      <c r="A203" s="1414">
        <v>201</v>
      </c>
      <c r="B203" s="1414" t="s">
        <v>3647</v>
      </c>
      <c r="C203" s="1414">
        <v>52.93</v>
      </c>
      <c r="I203" s="2807">
        <f t="shared" si="9"/>
        <v>202</v>
      </c>
      <c r="J203" s="2807" t="s">
        <v>4545</v>
      </c>
      <c r="K203" s="1414" t="s">
        <v>4504</v>
      </c>
      <c r="L203" s="2807" t="str">
        <f t="shared" si="10"/>
        <v>B3021</v>
      </c>
      <c r="M203" s="2807">
        <v>8</v>
      </c>
      <c r="N203" s="2807">
        <v>-3</v>
      </c>
      <c r="O203" s="2807">
        <f t="shared" si="11"/>
        <v>52.93</v>
      </c>
      <c r="P203" s="1414" t="s">
        <v>4547</v>
      </c>
      <c r="Q203" s="1414" t="s">
        <v>4547</v>
      </c>
    </row>
    <row r="204" spans="1:17">
      <c r="A204" s="1414">
        <v>202</v>
      </c>
      <c r="B204" s="1414" t="s">
        <v>3648</v>
      </c>
      <c r="C204" s="1414">
        <v>52.93</v>
      </c>
      <c r="I204" s="2807">
        <f t="shared" si="9"/>
        <v>203</v>
      </c>
      <c r="J204" s="2807" t="s">
        <v>4545</v>
      </c>
      <c r="K204" s="1414" t="s">
        <v>4504</v>
      </c>
      <c r="L204" s="2807" t="str">
        <f t="shared" si="10"/>
        <v>B3022</v>
      </c>
      <c r="M204" s="2807">
        <v>8</v>
      </c>
      <c r="N204" s="2807">
        <v>-3</v>
      </c>
      <c r="O204" s="2807">
        <f t="shared" si="11"/>
        <v>52.93</v>
      </c>
      <c r="P204" s="1414" t="s">
        <v>4547</v>
      </c>
      <c r="Q204" s="1414" t="s">
        <v>4547</v>
      </c>
    </row>
    <row r="205" spans="1:17">
      <c r="A205" s="1414">
        <v>203</v>
      </c>
      <c r="B205" s="1414" t="s">
        <v>3649</v>
      </c>
      <c r="C205" s="1414">
        <v>52.93</v>
      </c>
      <c r="I205" s="2807">
        <f t="shared" si="9"/>
        <v>204</v>
      </c>
      <c r="J205" s="2807" t="s">
        <v>4545</v>
      </c>
      <c r="K205" s="1414" t="s">
        <v>4504</v>
      </c>
      <c r="L205" s="2807" t="str">
        <f t="shared" si="10"/>
        <v>B3023</v>
      </c>
      <c r="M205" s="2807">
        <v>8</v>
      </c>
      <c r="N205" s="2807">
        <v>-3</v>
      </c>
      <c r="O205" s="2807">
        <f t="shared" si="11"/>
        <v>52.93</v>
      </c>
      <c r="P205" s="1414" t="s">
        <v>4547</v>
      </c>
      <c r="Q205" s="1414" t="s">
        <v>4547</v>
      </c>
    </row>
    <row r="206" spans="1:17">
      <c r="A206" s="1414">
        <v>204</v>
      </c>
      <c r="B206" s="1414" t="s">
        <v>3650</v>
      </c>
      <c r="C206" s="1414">
        <v>52.93</v>
      </c>
      <c r="I206" s="2807">
        <f t="shared" si="9"/>
        <v>205</v>
      </c>
      <c r="J206" s="2807" t="s">
        <v>4545</v>
      </c>
      <c r="K206" s="1414" t="s">
        <v>4504</v>
      </c>
      <c r="L206" s="2807" t="str">
        <f t="shared" si="10"/>
        <v>B3024</v>
      </c>
      <c r="M206" s="2807">
        <v>8</v>
      </c>
      <c r="N206" s="2807">
        <v>-3</v>
      </c>
      <c r="O206" s="2807">
        <f t="shared" si="11"/>
        <v>52.93</v>
      </c>
      <c r="P206" s="1414" t="s">
        <v>4547</v>
      </c>
      <c r="Q206" s="1414" t="s">
        <v>4547</v>
      </c>
    </row>
    <row r="207" spans="1:17">
      <c r="A207" s="1414">
        <v>205</v>
      </c>
      <c r="B207" s="1414" t="s">
        <v>3651</v>
      </c>
      <c r="C207" s="1414">
        <v>52.93</v>
      </c>
      <c r="I207" s="2807">
        <f t="shared" si="9"/>
        <v>206</v>
      </c>
      <c r="J207" s="2807" t="s">
        <v>4545</v>
      </c>
      <c r="K207" s="1414" t="s">
        <v>4504</v>
      </c>
      <c r="L207" s="2807" t="str">
        <f t="shared" si="10"/>
        <v>B3025</v>
      </c>
      <c r="M207" s="2807">
        <v>8</v>
      </c>
      <c r="N207" s="2807">
        <v>-3</v>
      </c>
      <c r="O207" s="2807">
        <f t="shared" si="11"/>
        <v>52.93</v>
      </c>
      <c r="P207" s="1414" t="s">
        <v>4547</v>
      </c>
      <c r="Q207" s="1414" t="s">
        <v>4547</v>
      </c>
    </row>
    <row r="208" spans="1:17">
      <c r="A208" s="1414">
        <v>206</v>
      </c>
      <c r="B208" s="1414" t="s">
        <v>3652</v>
      </c>
      <c r="C208" s="1414">
        <v>52.93</v>
      </c>
      <c r="I208" s="2807">
        <f t="shared" si="9"/>
        <v>207</v>
      </c>
      <c r="J208" s="2807" t="s">
        <v>4545</v>
      </c>
      <c r="K208" s="1414" t="s">
        <v>4504</v>
      </c>
      <c r="L208" s="2807" t="str">
        <f t="shared" si="10"/>
        <v>B3026</v>
      </c>
      <c r="M208" s="2807">
        <v>8</v>
      </c>
      <c r="N208" s="2807">
        <v>-3</v>
      </c>
      <c r="O208" s="2807">
        <f t="shared" si="11"/>
        <v>52.93</v>
      </c>
      <c r="P208" s="1414" t="s">
        <v>4547</v>
      </c>
      <c r="Q208" s="1414" t="s">
        <v>4547</v>
      </c>
    </row>
    <row r="209" spans="1:17">
      <c r="A209" s="1414">
        <v>207</v>
      </c>
      <c r="B209" s="1414" t="s">
        <v>3653</v>
      </c>
      <c r="C209" s="1414">
        <v>52.93</v>
      </c>
      <c r="I209" s="2807">
        <f t="shared" si="9"/>
        <v>208</v>
      </c>
      <c r="J209" s="2807" t="s">
        <v>4545</v>
      </c>
      <c r="K209" s="1414" t="s">
        <v>4504</v>
      </c>
      <c r="L209" s="2807" t="str">
        <f t="shared" si="10"/>
        <v>B3027</v>
      </c>
      <c r="M209" s="2807">
        <v>8</v>
      </c>
      <c r="N209" s="2807">
        <v>-3</v>
      </c>
      <c r="O209" s="2807">
        <f t="shared" si="11"/>
        <v>52.93</v>
      </c>
      <c r="P209" s="1414" t="s">
        <v>4547</v>
      </c>
      <c r="Q209" s="1414" t="s">
        <v>4547</v>
      </c>
    </row>
    <row r="210" spans="1:17">
      <c r="A210" s="1414">
        <v>208</v>
      </c>
      <c r="B210" s="1414" t="s">
        <v>3654</v>
      </c>
      <c r="C210" s="1414">
        <v>52.93</v>
      </c>
      <c r="I210" s="2807">
        <f t="shared" si="9"/>
        <v>209</v>
      </c>
      <c r="J210" s="2807" t="s">
        <v>4545</v>
      </c>
      <c r="K210" s="1414" t="s">
        <v>4504</v>
      </c>
      <c r="L210" s="2807" t="str">
        <f t="shared" si="10"/>
        <v>B3028</v>
      </c>
      <c r="M210" s="2807">
        <v>8</v>
      </c>
      <c r="N210" s="2807">
        <v>-3</v>
      </c>
      <c r="O210" s="2807">
        <f t="shared" si="11"/>
        <v>52.93</v>
      </c>
      <c r="P210" s="1414" t="s">
        <v>4547</v>
      </c>
      <c r="Q210" s="1414" t="s">
        <v>4547</v>
      </c>
    </row>
    <row r="211" spans="1:17">
      <c r="A211" s="1414">
        <v>209</v>
      </c>
      <c r="B211" s="1414" t="s">
        <v>3655</v>
      </c>
      <c r="C211" s="1414">
        <v>52.93</v>
      </c>
      <c r="I211" s="2807">
        <f t="shared" si="9"/>
        <v>210</v>
      </c>
      <c r="J211" s="2807" t="s">
        <v>4545</v>
      </c>
      <c r="K211" s="1414" t="s">
        <v>4504</v>
      </c>
      <c r="L211" s="2807" t="str">
        <f t="shared" si="10"/>
        <v>B3029</v>
      </c>
      <c r="M211" s="2807">
        <v>8</v>
      </c>
      <c r="N211" s="2807">
        <v>-3</v>
      </c>
      <c r="O211" s="2807">
        <f t="shared" si="11"/>
        <v>52.93</v>
      </c>
      <c r="P211" s="1414" t="s">
        <v>4547</v>
      </c>
      <c r="Q211" s="1414" t="s">
        <v>4547</v>
      </c>
    </row>
    <row r="212" spans="1:17">
      <c r="A212" s="1414">
        <v>210</v>
      </c>
      <c r="B212" s="1414" t="s">
        <v>3656</v>
      </c>
      <c r="C212" s="1414">
        <v>52.93</v>
      </c>
      <c r="I212" s="2807">
        <f t="shared" si="9"/>
        <v>211</v>
      </c>
      <c r="J212" s="2807" t="s">
        <v>4545</v>
      </c>
      <c r="K212" s="1414" t="s">
        <v>4504</v>
      </c>
      <c r="L212" s="2807" t="str">
        <f t="shared" si="10"/>
        <v>B3030</v>
      </c>
      <c r="M212" s="2807">
        <v>8</v>
      </c>
      <c r="N212" s="2807">
        <v>-3</v>
      </c>
      <c r="O212" s="2807">
        <f t="shared" si="11"/>
        <v>52.93</v>
      </c>
      <c r="P212" s="1414" t="s">
        <v>4547</v>
      </c>
      <c r="Q212" s="1414" t="s">
        <v>4547</v>
      </c>
    </row>
    <row r="213" spans="1:17">
      <c r="A213" s="1414">
        <v>211</v>
      </c>
      <c r="B213" s="1414" t="s">
        <v>3657</v>
      </c>
      <c r="C213" s="1414">
        <v>52.93</v>
      </c>
      <c r="I213" s="2807">
        <f t="shared" si="9"/>
        <v>212</v>
      </c>
      <c r="J213" s="2807" t="s">
        <v>4545</v>
      </c>
      <c r="K213" s="1414" t="s">
        <v>4504</v>
      </c>
      <c r="L213" s="2807" t="str">
        <f t="shared" si="10"/>
        <v>B3031</v>
      </c>
      <c r="M213" s="2807">
        <v>8</v>
      </c>
      <c r="N213" s="2807">
        <v>-3</v>
      </c>
      <c r="O213" s="2807">
        <f t="shared" si="11"/>
        <v>52.93</v>
      </c>
      <c r="P213" s="1414" t="s">
        <v>4547</v>
      </c>
      <c r="Q213" s="1414" t="s">
        <v>4547</v>
      </c>
    </row>
    <row r="214" spans="1:17">
      <c r="A214" s="1414">
        <v>212</v>
      </c>
      <c r="B214" s="1414" t="s">
        <v>3658</v>
      </c>
      <c r="C214" s="1414">
        <v>52.93</v>
      </c>
      <c r="I214" s="2807">
        <f t="shared" si="9"/>
        <v>213</v>
      </c>
      <c r="J214" s="2807" t="s">
        <v>4545</v>
      </c>
      <c r="K214" s="1414" t="s">
        <v>4504</v>
      </c>
      <c r="L214" s="2807" t="str">
        <f t="shared" si="10"/>
        <v>B3032</v>
      </c>
      <c r="M214" s="2807">
        <v>8</v>
      </c>
      <c r="N214" s="2807">
        <v>-3</v>
      </c>
      <c r="O214" s="2807">
        <f t="shared" si="11"/>
        <v>52.93</v>
      </c>
      <c r="P214" s="1414" t="s">
        <v>4547</v>
      </c>
      <c r="Q214" s="1414" t="s">
        <v>4547</v>
      </c>
    </row>
    <row r="215" spans="1:17">
      <c r="A215" s="1414">
        <v>213</v>
      </c>
      <c r="B215" s="1414" t="s">
        <v>3659</v>
      </c>
      <c r="C215" s="1414">
        <v>52.93</v>
      </c>
      <c r="I215" s="2807">
        <f t="shared" si="9"/>
        <v>214</v>
      </c>
      <c r="J215" s="2807" t="s">
        <v>4545</v>
      </c>
      <c r="K215" s="1414" t="s">
        <v>4504</v>
      </c>
      <c r="L215" s="2807" t="str">
        <f t="shared" si="10"/>
        <v>B3033</v>
      </c>
      <c r="M215" s="2807">
        <v>8</v>
      </c>
      <c r="N215" s="2807">
        <v>-3</v>
      </c>
      <c r="O215" s="2807">
        <f t="shared" si="11"/>
        <v>52.93</v>
      </c>
      <c r="P215" s="1414" t="s">
        <v>4547</v>
      </c>
      <c r="Q215" s="1414" t="s">
        <v>4547</v>
      </c>
    </row>
    <row r="216" spans="1:17">
      <c r="A216" s="1414">
        <v>214</v>
      </c>
      <c r="B216" s="1414" t="s">
        <v>3660</v>
      </c>
      <c r="C216" s="1414">
        <v>52.93</v>
      </c>
      <c r="I216" s="2807">
        <f t="shared" si="9"/>
        <v>215</v>
      </c>
      <c r="J216" s="2807" t="s">
        <v>4545</v>
      </c>
      <c r="K216" s="1414" t="s">
        <v>4504</v>
      </c>
      <c r="L216" s="2807" t="str">
        <f t="shared" si="10"/>
        <v>B3034</v>
      </c>
      <c r="M216" s="2807">
        <v>8</v>
      </c>
      <c r="N216" s="2807">
        <v>-3</v>
      </c>
      <c r="O216" s="2807">
        <f t="shared" si="11"/>
        <v>52.93</v>
      </c>
      <c r="P216" s="1414" t="s">
        <v>4547</v>
      </c>
      <c r="Q216" s="1414" t="s">
        <v>4547</v>
      </c>
    </row>
    <row r="217" spans="1:17">
      <c r="A217" s="1414">
        <v>215</v>
      </c>
      <c r="B217" s="1414" t="s">
        <v>3661</v>
      </c>
      <c r="C217" s="1414">
        <v>52.93</v>
      </c>
      <c r="I217" s="2807">
        <f t="shared" si="9"/>
        <v>216</v>
      </c>
      <c r="J217" s="2807" t="s">
        <v>4545</v>
      </c>
      <c r="K217" s="1414" t="s">
        <v>4504</v>
      </c>
      <c r="L217" s="2807" t="str">
        <f t="shared" si="10"/>
        <v>B3035</v>
      </c>
      <c r="M217" s="2807">
        <v>8</v>
      </c>
      <c r="N217" s="2807">
        <v>-3</v>
      </c>
      <c r="O217" s="2807">
        <f t="shared" si="11"/>
        <v>59.92</v>
      </c>
      <c r="P217" s="1414" t="s">
        <v>4547</v>
      </c>
      <c r="Q217" s="1414" t="s">
        <v>4547</v>
      </c>
    </row>
    <row r="218" spans="1:17">
      <c r="A218" s="1414">
        <v>216</v>
      </c>
      <c r="B218" s="1414" t="s">
        <v>3662</v>
      </c>
      <c r="C218" s="1414">
        <v>59.92</v>
      </c>
      <c r="I218" s="2807">
        <f t="shared" si="9"/>
        <v>217</v>
      </c>
      <c r="J218" s="2807" t="s">
        <v>4545</v>
      </c>
      <c r="K218" s="1414" t="s">
        <v>4504</v>
      </c>
      <c r="L218" s="2807" t="str">
        <f t="shared" si="10"/>
        <v>B3036</v>
      </c>
      <c r="M218" s="2807">
        <v>8</v>
      </c>
      <c r="N218" s="2807">
        <v>-3</v>
      </c>
      <c r="O218" s="2807">
        <f t="shared" si="11"/>
        <v>59.92</v>
      </c>
      <c r="P218" s="1414" t="s">
        <v>4547</v>
      </c>
      <c r="Q218" s="1414" t="s">
        <v>4547</v>
      </c>
    </row>
    <row r="219" spans="1:17">
      <c r="A219" s="1414">
        <v>217</v>
      </c>
      <c r="B219" s="1414" t="s">
        <v>3663</v>
      </c>
      <c r="C219" s="1414">
        <v>59.92</v>
      </c>
      <c r="I219" s="2807">
        <f t="shared" si="9"/>
        <v>218</v>
      </c>
      <c r="J219" s="2807" t="s">
        <v>4545</v>
      </c>
      <c r="K219" s="1414" t="s">
        <v>4504</v>
      </c>
      <c r="L219" s="2807" t="str">
        <f t="shared" si="10"/>
        <v>B3037</v>
      </c>
      <c r="M219" s="2807">
        <v>8</v>
      </c>
      <c r="N219" s="2807">
        <v>-3</v>
      </c>
      <c r="O219" s="2807">
        <f t="shared" si="11"/>
        <v>59.92</v>
      </c>
      <c r="P219" s="1414" t="s">
        <v>4547</v>
      </c>
      <c r="Q219" s="1414" t="s">
        <v>4547</v>
      </c>
    </row>
    <row r="220" spans="1:17">
      <c r="A220" s="1414">
        <v>218</v>
      </c>
      <c r="B220" s="1414" t="s">
        <v>3664</v>
      </c>
      <c r="C220" s="1414">
        <v>59.92</v>
      </c>
      <c r="I220" s="2807">
        <f t="shared" si="9"/>
        <v>219</v>
      </c>
      <c r="J220" s="2807" t="s">
        <v>4545</v>
      </c>
      <c r="K220" s="1414" t="s">
        <v>4504</v>
      </c>
      <c r="L220" s="2807" t="str">
        <f t="shared" si="10"/>
        <v>B3038</v>
      </c>
      <c r="M220" s="2807">
        <v>8</v>
      </c>
      <c r="N220" s="2807">
        <v>-3</v>
      </c>
      <c r="O220" s="2807">
        <f t="shared" si="11"/>
        <v>59.92</v>
      </c>
      <c r="P220" s="1414" t="s">
        <v>4547</v>
      </c>
      <c r="Q220" s="1414" t="s">
        <v>4547</v>
      </c>
    </row>
    <row r="221" spans="1:17">
      <c r="A221" s="1414">
        <v>219</v>
      </c>
      <c r="B221" s="1414" t="s">
        <v>3665</v>
      </c>
      <c r="C221" s="1414">
        <v>59.92</v>
      </c>
      <c r="I221" s="2807">
        <f t="shared" si="9"/>
        <v>220</v>
      </c>
      <c r="J221" s="2807" t="s">
        <v>4545</v>
      </c>
      <c r="K221" s="1414" t="s">
        <v>4504</v>
      </c>
      <c r="L221" s="2807" t="str">
        <f t="shared" si="10"/>
        <v>B3039</v>
      </c>
      <c r="M221" s="2807">
        <v>8</v>
      </c>
      <c r="N221" s="2807">
        <v>-3</v>
      </c>
      <c r="O221" s="2807">
        <f t="shared" si="11"/>
        <v>59.92</v>
      </c>
      <c r="P221" s="1414" t="s">
        <v>4547</v>
      </c>
      <c r="Q221" s="1414" t="s">
        <v>4547</v>
      </c>
    </row>
    <row r="222" spans="1:17">
      <c r="A222" s="1414">
        <v>220</v>
      </c>
      <c r="B222" s="1414" t="s">
        <v>3666</v>
      </c>
      <c r="C222" s="1414">
        <v>59.92</v>
      </c>
      <c r="I222" s="2807">
        <f t="shared" si="9"/>
        <v>221</v>
      </c>
      <c r="J222" s="2807" t="s">
        <v>4545</v>
      </c>
      <c r="K222" s="1414" t="s">
        <v>4504</v>
      </c>
      <c r="L222" s="2807" t="str">
        <f t="shared" si="10"/>
        <v>B3040</v>
      </c>
      <c r="M222" s="2807">
        <v>8</v>
      </c>
      <c r="N222" s="2807">
        <v>-3</v>
      </c>
      <c r="O222" s="2807">
        <f t="shared" si="11"/>
        <v>52.93</v>
      </c>
      <c r="P222" s="1414" t="s">
        <v>4547</v>
      </c>
      <c r="Q222" s="1414" t="s">
        <v>4547</v>
      </c>
    </row>
    <row r="223" spans="1:17">
      <c r="A223" s="1414">
        <v>221</v>
      </c>
      <c r="B223" s="1414" t="s">
        <v>3667</v>
      </c>
      <c r="C223" s="1414">
        <v>52.93</v>
      </c>
      <c r="I223" s="2807">
        <f t="shared" si="9"/>
        <v>222</v>
      </c>
      <c r="J223" s="2807" t="s">
        <v>4545</v>
      </c>
      <c r="K223" s="1414" t="s">
        <v>4504</v>
      </c>
      <c r="L223" s="2807" t="str">
        <f t="shared" si="10"/>
        <v>B3041</v>
      </c>
      <c r="M223" s="2807">
        <v>8</v>
      </c>
      <c r="N223" s="2807">
        <v>-3</v>
      </c>
      <c r="O223" s="2807">
        <f t="shared" si="11"/>
        <v>52.93</v>
      </c>
      <c r="P223" s="1414" t="s">
        <v>4547</v>
      </c>
      <c r="Q223" s="1414" t="s">
        <v>4547</v>
      </c>
    </row>
    <row r="224" spans="1:17">
      <c r="A224" s="1414">
        <v>222</v>
      </c>
      <c r="B224" s="1414" t="s">
        <v>3668</v>
      </c>
      <c r="C224" s="1414">
        <v>52.93</v>
      </c>
      <c r="I224" s="2807">
        <f t="shared" si="9"/>
        <v>223</v>
      </c>
      <c r="J224" s="2807" t="s">
        <v>4545</v>
      </c>
      <c r="K224" s="1414" t="s">
        <v>4504</v>
      </c>
      <c r="L224" s="2807" t="str">
        <f t="shared" si="10"/>
        <v>B3042</v>
      </c>
      <c r="M224" s="2807">
        <v>8</v>
      </c>
      <c r="N224" s="2807">
        <v>-3</v>
      </c>
      <c r="O224" s="2807">
        <f t="shared" si="11"/>
        <v>52.93</v>
      </c>
      <c r="P224" s="1414" t="s">
        <v>4547</v>
      </c>
      <c r="Q224" s="1414" t="s">
        <v>4547</v>
      </c>
    </row>
    <row r="225" spans="1:17">
      <c r="A225" s="1414">
        <v>223</v>
      </c>
      <c r="B225" s="1414" t="s">
        <v>3669</v>
      </c>
      <c r="C225" s="1414">
        <v>52.93</v>
      </c>
      <c r="I225" s="2807">
        <f t="shared" si="9"/>
        <v>224</v>
      </c>
      <c r="J225" s="2807" t="s">
        <v>4545</v>
      </c>
      <c r="K225" s="1414" t="s">
        <v>4504</v>
      </c>
      <c r="L225" s="2807" t="str">
        <f t="shared" si="10"/>
        <v>B3043</v>
      </c>
      <c r="M225" s="2807">
        <v>8</v>
      </c>
      <c r="N225" s="2807">
        <v>-3</v>
      </c>
      <c r="O225" s="2807">
        <f t="shared" si="11"/>
        <v>52.93</v>
      </c>
      <c r="P225" s="1414" t="s">
        <v>4547</v>
      </c>
      <c r="Q225" s="1414" t="s">
        <v>4547</v>
      </c>
    </row>
    <row r="226" spans="1:17">
      <c r="A226" s="1414">
        <v>224</v>
      </c>
      <c r="B226" s="1414" t="s">
        <v>3670</v>
      </c>
      <c r="C226" s="1414">
        <v>52.93</v>
      </c>
      <c r="I226" s="2807">
        <f t="shared" si="9"/>
        <v>225</v>
      </c>
      <c r="J226" s="2807" t="s">
        <v>4545</v>
      </c>
      <c r="K226" s="1414" t="s">
        <v>4504</v>
      </c>
      <c r="L226" s="2807" t="str">
        <f t="shared" si="10"/>
        <v>B3044</v>
      </c>
      <c r="M226" s="2807">
        <v>8</v>
      </c>
      <c r="N226" s="2807">
        <v>-3</v>
      </c>
      <c r="O226" s="2807">
        <f t="shared" si="11"/>
        <v>52.93</v>
      </c>
      <c r="P226" s="1414" t="s">
        <v>4547</v>
      </c>
      <c r="Q226" s="1414" t="s">
        <v>4547</v>
      </c>
    </row>
    <row r="227" spans="1:17">
      <c r="A227" s="1414">
        <v>225</v>
      </c>
      <c r="B227" s="1414" t="s">
        <v>3671</v>
      </c>
      <c r="C227" s="1414">
        <v>52.93</v>
      </c>
      <c r="I227" s="2807">
        <f t="shared" si="9"/>
        <v>226</v>
      </c>
      <c r="J227" s="2807" t="s">
        <v>4545</v>
      </c>
      <c r="K227" s="1414" t="s">
        <v>4504</v>
      </c>
      <c r="L227" s="2807" t="str">
        <f t="shared" si="10"/>
        <v>B3045</v>
      </c>
      <c r="M227" s="2807">
        <v>8</v>
      </c>
      <c r="N227" s="2807">
        <v>-3</v>
      </c>
      <c r="O227" s="2807">
        <f t="shared" si="11"/>
        <v>59.92</v>
      </c>
      <c r="P227" s="1414" t="s">
        <v>4547</v>
      </c>
      <c r="Q227" s="1414" t="s">
        <v>4547</v>
      </c>
    </row>
    <row r="228" spans="1:17">
      <c r="A228" s="1414">
        <v>226</v>
      </c>
      <c r="B228" s="1414" t="s">
        <v>3672</v>
      </c>
      <c r="C228" s="1414">
        <v>59.92</v>
      </c>
      <c r="I228" s="2807">
        <f t="shared" si="9"/>
        <v>227</v>
      </c>
      <c r="J228" s="2807" t="s">
        <v>4545</v>
      </c>
      <c r="K228" s="1414" t="s">
        <v>4504</v>
      </c>
      <c r="L228" s="2807" t="str">
        <f t="shared" si="10"/>
        <v>B3046</v>
      </c>
      <c r="M228" s="2807">
        <v>8</v>
      </c>
      <c r="N228" s="2807">
        <v>-3</v>
      </c>
      <c r="O228" s="2807">
        <f t="shared" si="11"/>
        <v>59.92</v>
      </c>
      <c r="P228" s="1414" t="s">
        <v>4547</v>
      </c>
      <c r="Q228" s="1414" t="s">
        <v>4547</v>
      </c>
    </row>
    <row r="229" spans="1:17">
      <c r="A229" s="1414">
        <v>227</v>
      </c>
      <c r="B229" s="1414" t="s">
        <v>3673</v>
      </c>
      <c r="C229" s="1414">
        <v>59.92</v>
      </c>
      <c r="I229" s="2807">
        <f t="shared" si="9"/>
        <v>228</v>
      </c>
      <c r="J229" s="2807" t="s">
        <v>4545</v>
      </c>
      <c r="K229" s="1414" t="s">
        <v>4504</v>
      </c>
      <c r="L229" s="2807" t="str">
        <f t="shared" si="10"/>
        <v>B3047</v>
      </c>
      <c r="M229" s="2807">
        <v>8</v>
      </c>
      <c r="N229" s="2807">
        <v>-3</v>
      </c>
      <c r="O229" s="2807">
        <f t="shared" si="11"/>
        <v>59.92</v>
      </c>
      <c r="P229" s="1414" t="s">
        <v>4547</v>
      </c>
      <c r="Q229" s="1414" t="s">
        <v>4547</v>
      </c>
    </row>
    <row r="230" spans="1:17">
      <c r="A230" s="1414">
        <v>228</v>
      </c>
      <c r="B230" s="1414" t="s">
        <v>3674</v>
      </c>
      <c r="C230" s="1414">
        <v>59.92</v>
      </c>
      <c r="I230" s="2807">
        <f t="shared" si="9"/>
        <v>229</v>
      </c>
      <c r="J230" s="2807" t="s">
        <v>4545</v>
      </c>
      <c r="K230" s="1414" t="s">
        <v>4504</v>
      </c>
      <c r="L230" s="2807" t="str">
        <f t="shared" si="10"/>
        <v>B3048</v>
      </c>
      <c r="M230" s="2807">
        <v>8</v>
      </c>
      <c r="N230" s="2807">
        <v>-3</v>
      </c>
      <c r="O230" s="2807">
        <f t="shared" si="11"/>
        <v>59.92</v>
      </c>
      <c r="P230" s="1414" t="s">
        <v>4547</v>
      </c>
      <c r="Q230" s="1414" t="s">
        <v>4547</v>
      </c>
    </row>
    <row r="231" spans="1:17">
      <c r="A231" s="1414">
        <v>229</v>
      </c>
      <c r="B231" s="1414" t="s">
        <v>3675</v>
      </c>
      <c r="C231" s="1414">
        <v>59.92</v>
      </c>
      <c r="I231" s="2807">
        <f t="shared" si="9"/>
        <v>230</v>
      </c>
      <c r="J231" s="2807" t="s">
        <v>4545</v>
      </c>
      <c r="K231" s="1414" t="s">
        <v>4504</v>
      </c>
      <c r="L231" s="2807" t="str">
        <f t="shared" si="10"/>
        <v>B3049</v>
      </c>
      <c r="M231" s="2807">
        <v>8</v>
      </c>
      <c r="N231" s="2807">
        <v>-3</v>
      </c>
      <c r="O231" s="2807">
        <f t="shared" si="11"/>
        <v>50.93</v>
      </c>
      <c r="P231" s="1414" t="s">
        <v>4547</v>
      </c>
      <c r="Q231" s="1414" t="s">
        <v>4547</v>
      </c>
    </row>
    <row r="232" spans="1:17">
      <c r="A232" s="1414">
        <v>230</v>
      </c>
      <c r="B232" s="1414" t="s">
        <v>3676</v>
      </c>
      <c r="C232" s="1414">
        <v>50.93</v>
      </c>
      <c r="I232" s="2807">
        <f t="shared" si="9"/>
        <v>231</v>
      </c>
      <c r="J232" s="2807" t="s">
        <v>4545</v>
      </c>
      <c r="K232" s="1414" t="s">
        <v>4504</v>
      </c>
      <c r="L232" s="2807" t="str">
        <f t="shared" si="10"/>
        <v>B3050</v>
      </c>
      <c r="M232" s="2807">
        <v>8</v>
      </c>
      <c r="N232" s="2807">
        <v>-3</v>
      </c>
      <c r="O232" s="2807">
        <f t="shared" si="11"/>
        <v>50.93</v>
      </c>
      <c r="P232" s="1414" t="s">
        <v>4547</v>
      </c>
      <c r="Q232" s="1414" t="s">
        <v>4547</v>
      </c>
    </row>
    <row r="233" spans="1:17">
      <c r="A233" s="1414">
        <v>231</v>
      </c>
      <c r="B233" s="1414" t="s">
        <v>3677</v>
      </c>
      <c r="C233" s="1414">
        <v>50.93</v>
      </c>
      <c r="I233" s="2807">
        <f t="shared" si="9"/>
        <v>232</v>
      </c>
      <c r="J233" s="2807" t="s">
        <v>4545</v>
      </c>
      <c r="K233" s="1414" t="s">
        <v>4504</v>
      </c>
      <c r="L233" s="2807" t="str">
        <f t="shared" si="10"/>
        <v>B3051</v>
      </c>
      <c r="M233" s="2807">
        <v>8</v>
      </c>
      <c r="N233" s="2807">
        <v>-3</v>
      </c>
      <c r="O233" s="2807">
        <f t="shared" si="11"/>
        <v>50.93</v>
      </c>
      <c r="P233" s="1414" t="s">
        <v>4547</v>
      </c>
      <c r="Q233" s="1414" t="s">
        <v>4547</v>
      </c>
    </row>
    <row r="234" spans="1:17">
      <c r="A234" s="1414">
        <v>232</v>
      </c>
      <c r="B234" s="1414" t="s">
        <v>3678</v>
      </c>
      <c r="C234" s="1414">
        <v>50.93</v>
      </c>
      <c r="I234" s="2807">
        <f t="shared" si="9"/>
        <v>233</v>
      </c>
      <c r="J234" s="2807" t="s">
        <v>4545</v>
      </c>
      <c r="K234" s="1414" t="s">
        <v>4504</v>
      </c>
      <c r="L234" s="2807" t="str">
        <f t="shared" si="10"/>
        <v>B3052</v>
      </c>
      <c r="M234" s="2807">
        <v>8</v>
      </c>
      <c r="N234" s="2807">
        <v>-3</v>
      </c>
      <c r="O234" s="2807">
        <f t="shared" si="11"/>
        <v>50.93</v>
      </c>
      <c r="P234" s="1414" t="s">
        <v>4547</v>
      </c>
      <c r="Q234" s="1414" t="s">
        <v>4547</v>
      </c>
    </row>
    <row r="235" spans="1:17">
      <c r="A235" s="1414">
        <v>233</v>
      </c>
      <c r="B235" s="1414" t="s">
        <v>3679</v>
      </c>
      <c r="C235" s="1414">
        <v>50.93</v>
      </c>
      <c r="I235" s="2807">
        <f t="shared" si="9"/>
        <v>234</v>
      </c>
      <c r="J235" s="2807" t="s">
        <v>4545</v>
      </c>
      <c r="K235" s="1414" t="s">
        <v>4504</v>
      </c>
      <c r="L235" s="2807" t="str">
        <f t="shared" si="10"/>
        <v>B3053</v>
      </c>
      <c r="M235" s="2807">
        <v>8</v>
      </c>
      <c r="N235" s="2807">
        <v>-3</v>
      </c>
      <c r="O235" s="2807">
        <f t="shared" si="11"/>
        <v>50.93</v>
      </c>
      <c r="P235" s="1414" t="s">
        <v>4547</v>
      </c>
      <c r="Q235" s="1414" t="s">
        <v>4547</v>
      </c>
    </row>
    <row r="236" spans="1:17">
      <c r="A236" s="1414">
        <v>234</v>
      </c>
      <c r="B236" s="1414" t="s">
        <v>3680</v>
      </c>
      <c r="C236" s="1414">
        <v>50.93</v>
      </c>
      <c r="I236" s="2807">
        <f t="shared" si="9"/>
        <v>235</v>
      </c>
      <c r="J236" s="2807" t="s">
        <v>4545</v>
      </c>
      <c r="K236" s="1414" t="s">
        <v>4504</v>
      </c>
      <c r="L236" s="2807" t="str">
        <f t="shared" si="10"/>
        <v>B3054</v>
      </c>
      <c r="M236" s="2807">
        <v>8</v>
      </c>
      <c r="N236" s="2807">
        <v>-3</v>
      </c>
      <c r="O236" s="2807">
        <f t="shared" si="11"/>
        <v>50.93</v>
      </c>
      <c r="P236" s="1414" t="s">
        <v>4547</v>
      </c>
      <c r="Q236" s="1414" t="s">
        <v>4547</v>
      </c>
    </row>
    <row r="237" spans="1:17">
      <c r="A237" s="1414">
        <v>235</v>
      </c>
      <c r="B237" s="1414" t="s">
        <v>3681</v>
      </c>
      <c r="C237" s="1414">
        <v>50.93</v>
      </c>
      <c r="I237" s="2807">
        <f t="shared" si="9"/>
        <v>236</v>
      </c>
      <c r="J237" s="2807" t="s">
        <v>4545</v>
      </c>
      <c r="K237" s="1414" t="s">
        <v>4504</v>
      </c>
      <c r="L237" s="2807" t="str">
        <f t="shared" si="10"/>
        <v>B3055</v>
      </c>
      <c r="M237" s="2807">
        <v>8</v>
      </c>
      <c r="N237" s="2807">
        <v>-3</v>
      </c>
      <c r="O237" s="2807">
        <f t="shared" si="11"/>
        <v>50.93</v>
      </c>
      <c r="P237" s="1414" t="s">
        <v>4547</v>
      </c>
      <c r="Q237" s="1414" t="s">
        <v>4547</v>
      </c>
    </row>
    <row r="238" spans="1:17">
      <c r="A238" s="1414">
        <v>236</v>
      </c>
      <c r="B238" s="1414" t="s">
        <v>3682</v>
      </c>
      <c r="C238" s="1414">
        <v>50.93</v>
      </c>
      <c r="I238" s="2807">
        <f t="shared" si="9"/>
        <v>237</v>
      </c>
      <c r="J238" s="2807" t="s">
        <v>4545</v>
      </c>
      <c r="K238" s="1414" t="s">
        <v>4504</v>
      </c>
      <c r="L238" s="2807" t="str">
        <f t="shared" si="10"/>
        <v>B3056</v>
      </c>
      <c r="M238" s="2807">
        <v>8</v>
      </c>
      <c r="N238" s="2807">
        <v>-3</v>
      </c>
      <c r="O238" s="2807">
        <f t="shared" si="11"/>
        <v>50.93</v>
      </c>
      <c r="P238" s="1414" t="s">
        <v>4547</v>
      </c>
      <c r="Q238" s="1414" t="s">
        <v>4547</v>
      </c>
    </row>
    <row r="239" spans="1:17">
      <c r="A239" s="1414">
        <v>237</v>
      </c>
      <c r="B239" s="1414" t="s">
        <v>3683</v>
      </c>
      <c r="C239" s="1414">
        <v>50.93</v>
      </c>
      <c r="I239" s="2807">
        <f t="shared" si="9"/>
        <v>238</v>
      </c>
      <c r="J239" s="2807" t="s">
        <v>4545</v>
      </c>
      <c r="K239" s="1414" t="s">
        <v>4504</v>
      </c>
      <c r="L239" s="2807" t="str">
        <f t="shared" si="10"/>
        <v>B3057</v>
      </c>
      <c r="M239" s="2807">
        <v>8</v>
      </c>
      <c r="N239" s="2807">
        <v>-3</v>
      </c>
      <c r="O239" s="2807">
        <f t="shared" si="11"/>
        <v>50.93</v>
      </c>
      <c r="P239" s="1414" t="s">
        <v>4547</v>
      </c>
      <c r="Q239" s="1414" t="s">
        <v>4547</v>
      </c>
    </row>
    <row r="240" spans="1:17">
      <c r="A240" s="1414">
        <v>238</v>
      </c>
      <c r="B240" s="1414" t="s">
        <v>3684</v>
      </c>
      <c r="C240" s="1414">
        <v>50.93</v>
      </c>
      <c r="I240" s="2807">
        <f t="shared" si="9"/>
        <v>239</v>
      </c>
      <c r="J240" s="2807" t="s">
        <v>4545</v>
      </c>
      <c r="K240" s="1414" t="s">
        <v>4504</v>
      </c>
      <c r="L240" s="2807" t="str">
        <f t="shared" si="10"/>
        <v>B3058</v>
      </c>
      <c r="M240" s="2807">
        <v>8</v>
      </c>
      <c r="N240" s="2807">
        <v>-3</v>
      </c>
      <c r="O240" s="2807">
        <f t="shared" si="11"/>
        <v>50.93</v>
      </c>
      <c r="P240" s="1414" t="s">
        <v>4547</v>
      </c>
      <c r="Q240" s="1414" t="s">
        <v>4547</v>
      </c>
    </row>
    <row r="241" spans="1:17">
      <c r="A241" s="1414">
        <v>239</v>
      </c>
      <c r="B241" s="1414" t="s">
        <v>3685</v>
      </c>
      <c r="C241" s="1414">
        <v>50.93</v>
      </c>
      <c r="I241" s="2807">
        <f t="shared" si="9"/>
        <v>240</v>
      </c>
      <c r="J241" s="2807" t="s">
        <v>4545</v>
      </c>
      <c r="K241" s="1414" t="s">
        <v>4504</v>
      </c>
      <c r="L241" s="2807" t="str">
        <f t="shared" si="10"/>
        <v>B3059</v>
      </c>
      <c r="M241" s="2807">
        <v>8</v>
      </c>
      <c r="N241" s="2807">
        <v>-3</v>
      </c>
      <c r="O241" s="2807">
        <f t="shared" si="11"/>
        <v>59.92</v>
      </c>
      <c r="P241" s="1414" t="s">
        <v>4547</v>
      </c>
      <c r="Q241" s="1414" t="s">
        <v>4547</v>
      </c>
    </row>
    <row r="242" spans="1:17">
      <c r="A242" s="1414">
        <v>240</v>
      </c>
      <c r="B242" s="1414" t="s">
        <v>3686</v>
      </c>
      <c r="C242" s="1414">
        <v>59.92</v>
      </c>
      <c r="I242" s="2807">
        <f t="shared" si="9"/>
        <v>241</v>
      </c>
      <c r="J242" s="2807" t="s">
        <v>4545</v>
      </c>
      <c r="K242" s="1414" t="s">
        <v>4504</v>
      </c>
      <c r="L242" s="2807" t="str">
        <f t="shared" si="10"/>
        <v>B3060</v>
      </c>
      <c r="M242" s="2807">
        <v>8</v>
      </c>
      <c r="N242" s="2807">
        <v>-3</v>
      </c>
      <c r="O242" s="2807">
        <f t="shared" si="11"/>
        <v>50.93</v>
      </c>
      <c r="P242" s="1414" t="s">
        <v>4547</v>
      </c>
      <c r="Q242" s="1414" t="s">
        <v>4547</v>
      </c>
    </row>
    <row r="243" spans="1:17">
      <c r="A243" s="1414">
        <v>241</v>
      </c>
      <c r="B243" s="1414" t="s">
        <v>3687</v>
      </c>
      <c r="C243" s="1414">
        <v>50.93</v>
      </c>
      <c r="I243" s="2807">
        <f t="shared" si="9"/>
        <v>242</v>
      </c>
      <c r="J243" s="2807" t="s">
        <v>4545</v>
      </c>
      <c r="K243" s="1414" t="s">
        <v>4504</v>
      </c>
      <c r="L243" s="2807" t="str">
        <f t="shared" si="10"/>
        <v>B3061</v>
      </c>
      <c r="M243" s="2807">
        <v>8</v>
      </c>
      <c r="N243" s="2807">
        <v>-3</v>
      </c>
      <c r="O243" s="2807">
        <f t="shared" si="11"/>
        <v>50.93</v>
      </c>
      <c r="P243" s="1414" t="s">
        <v>4547</v>
      </c>
      <c r="Q243" s="1414" t="s">
        <v>4547</v>
      </c>
    </row>
    <row r="244" spans="1:17">
      <c r="A244" s="1414">
        <v>242</v>
      </c>
      <c r="B244" s="1414" t="s">
        <v>3688</v>
      </c>
      <c r="C244" s="1414">
        <v>50.93</v>
      </c>
      <c r="I244" s="2807">
        <f t="shared" si="9"/>
        <v>243</v>
      </c>
      <c r="J244" s="2807" t="s">
        <v>4545</v>
      </c>
      <c r="K244" s="1414" t="s">
        <v>4504</v>
      </c>
      <c r="L244" s="2807" t="str">
        <f t="shared" si="10"/>
        <v>B3062</v>
      </c>
      <c r="M244" s="2807">
        <v>8</v>
      </c>
      <c r="N244" s="2807">
        <v>-3</v>
      </c>
      <c r="O244" s="2807">
        <f t="shared" si="11"/>
        <v>50.93</v>
      </c>
      <c r="P244" s="1414" t="s">
        <v>4547</v>
      </c>
      <c r="Q244" s="1414" t="s">
        <v>4547</v>
      </c>
    </row>
    <row r="245" spans="1:17">
      <c r="A245" s="1414">
        <v>243</v>
      </c>
      <c r="B245" s="1414" t="s">
        <v>3689</v>
      </c>
      <c r="C245" s="1414">
        <v>50.93</v>
      </c>
      <c r="I245" s="2807">
        <f t="shared" si="9"/>
        <v>244</v>
      </c>
      <c r="J245" s="2807" t="s">
        <v>4545</v>
      </c>
      <c r="K245" s="1414" t="s">
        <v>4504</v>
      </c>
      <c r="L245" s="2807" t="str">
        <f t="shared" si="10"/>
        <v>B3063</v>
      </c>
      <c r="M245" s="2807">
        <v>8</v>
      </c>
      <c r="N245" s="2807">
        <v>-3</v>
      </c>
      <c r="O245" s="2807">
        <f t="shared" si="11"/>
        <v>50.93</v>
      </c>
      <c r="P245" s="1414" t="s">
        <v>4547</v>
      </c>
      <c r="Q245" s="1414" t="s">
        <v>4547</v>
      </c>
    </row>
    <row r="246" spans="1:17">
      <c r="A246" s="1414">
        <v>244</v>
      </c>
      <c r="B246" s="1414" t="s">
        <v>3690</v>
      </c>
      <c r="C246" s="1414">
        <v>50.93</v>
      </c>
      <c r="I246" s="2807">
        <f t="shared" si="9"/>
        <v>245</v>
      </c>
      <c r="J246" s="2807" t="s">
        <v>4545</v>
      </c>
      <c r="K246" s="1414" t="s">
        <v>4504</v>
      </c>
      <c r="L246" s="2807" t="str">
        <f t="shared" si="10"/>
        <v>B3064</v>
      </c>
      <c r="M246" s="2807">
        <v>8</v>
      </c>
      <c r="N246" s="2807">
        <v>-3</v>
      </c>
      <c r="O246" s="2807">
        <f t="shared" si="11"/>
        <v>50.93</v>
      </c>
      <c r="P246" s="1414" t="s">
        <v>4547</v>
      </c>
      <c r="Q246" s="1414" t="s">
        <v>4547</v>
      </c>
    </row>
    <row r="247" spans="1:17">
      <c r="A247" s="1414">
        <v>245</v>
      </c>
      <c r="B247" s="1414" t="s">
        <v>3691</v>
      </c>
      <c r="C247" s="1414">
        <v>50.93</v>
      </c>
      <c r="I247" s="2807">
        <f t="shared" si="9"/>
        <v>246</v>
      </c>
      <c r="J247" s="2807" t="s">
        <v>4545</v>
      </c>
      <c r="K247" s="1414" t="s">
        <v>4504</v>
      </c>
      <c r="L247" s="2807" t="str">
        <f t="shared" si="10"/>
        <v>B3065</v>
      </c>
      <c r="M247" s="2807">
        <v>8</v>
      </c>
      <c r="N247" s="2807">
        <v>-3</v>
      </c>
      <c r="O247" s="2807">
        <f t="shared" si="11"/>
        <v>50.93</v>
      </c>
      <c r="P247" s="1414" t="s">
        <v>4547</v>
      </c>
      <c r="Q247" s="1414" t="s">
        <v>4547</v>
      </c>
    </row>
    <row r="248" spans="1:17">
      <c r="A248" s="1414">
        <v>246</v>
      </c>
      <c r="B248" s="1414" t="s">
        <v>3692</v>
      </c>
      <c r="C248" s="1414">
        <v>50.93</v>
      </c>
      <c r="I248" s="2807">
        <f t="shared" si="9"/>
        <v>247</v>
      </c>
      <c r="J248" s="2807" t="s">
        <v>4545</v>
      </c>
      <c r="K248" s="1414" t="s">
        <v>4504</v>
      </c>
      <c r="L248" s="2807" t="str">
        <f t="shared" si="10"/>
        <v>B3066</v>
      </c>
      <c r="M248" s="2807">
        <v>8</v>
      </c>
      <c r="N248" s="2807">
        <v>-3</v>
      </c>
      <c r="O248" s="2807">
        <f t="shared" si="11"/>
        <v>50.93</v>
      </c>
      <c r="P248" s="1414" t="s">
        <v>4547</v>
      </c>
      <c r="Q248" s="1414" t="s">
        <v>4547</v>
      </c>
    </row>
    <row r="249" spans="1:17">
      <c r="A249" s="1414">
        <v>247</v>
      </c>
      <c r="B249" s="1414" t="s">
        <v>3693</v>
      </c>
      <c r="C249" s="1414">
        <v>50.93</v>
      </c>
      <c r="I249" s="2807">
        <f t="shared" si="9"/>
        <v>248</v>
      </c>
      <c r="J249" s="2807" t="s">
        <v>4545</v>
      </c>
      <c r="K249" s="1414" t="s">
        <v>4504</v>
      </c>
      <c r="L249" s="2807" t="str">
        <f t="shared" si="10"/>
        <v>B3067</v>
      </c>
      <c r="M249" s="2807">
        <v>8</v>
      </c>
      <c r="N249" s="2807">
        <v>-3</v>
      </c>
      <c r="O249" s="2807">
        <f t="shared" si="11"/>
        <v>50.93</v>
      </c>
      <c r="P249" s="1414" t="s">
        <v>4547</v>
      </c>
      <c r="Q249" s="1414" t="s">
        <v>4547</v>
      </c>
    </row>
    <row r="250" spans="1:17">
      <c r="A250" s="1414">
        <v>248</v>
      </c>
      <c r="B250" s="1414" t="s">
        <v>3694</v>
      </c>
      <c r="C250" s="1414">
        <v>50.93</v>
      </c>
      <c r="I250" s="2807">
        <f t="shared" si="9"/>
        <v>249</v>
      </c>
      <c r="J250" s="2807" t="s">
        <v>4545</v>
      </c>
      <c r="K250" s="1414" t="s">
        <v>4504</v>
      </c>
      <c r="L250" s="2807" t="str">
        <f t="shared" si="10"/>
        <v>B3068</v>
      </c>
      <c r="M250" s="2807">
        <v>8</v>
      </c>
      <c r="N250" s="2807">
        <v>-3</v>
      </c>
      <c r="O250" s="2807">
        <f t="shared" si="11"/>
        <v>50.93</v>
      </c>
      <c r="P250" s="1414" t="s">
        <v>4547</v>
      </c>
      <c r="Q250" s="1414" t="s">
        <v>4547</v>
      </c>
    </row>
    <row r="251" spans="1:17">
      <c r="A251" s="1414">
        <v>249</v>
      </c>
      <c r="B251" s="1414" t="s">
        <v>3695</v>
      </c>
      <c r="C251" s="1414">
        <v>50.93</v>
      </c>
      <c r="I251" s="2807">
        <f t="shared" si="9"/>
        <v>250</v>
      </c>
      <c r="J251" s="2807" t="s">
        <v>4545</v>
      </c>
      <c r="K251" s="1414" t="s">
        <v>4504</v>
      </c>
      <c r="L251" s="2807" t="str">
        <f t="shared" si="10"/>
        <v>B3069</v>
      </c>
      <c r="M251" s="2807">
        <v>8</v>
      </c>
      <c r="N251" s="2807">
        <v>-3</v>
      </c>
      <c r="O251" s="2807">
        <f t="shared" si="11"/>
        <v>50.93</v>
      </c>
      <c r="P251" s="1414" t="s">
        <v>4547</v>
      </c>
      <c r="Q251" s="1414" t="s">
        <v>4547</v>
      </c>
    </row>
    <row r="252" spans="1:17">
      <c r="A252" s="1414">
        <v>250</v>
      </c>
      <c r="B252" s="1414" t="s">
        <v>3696</v>
      </c>
      <c r="C252" s="1414">
        <v>50.93</v>
      </c>
      <c r="I252" s="2807">
        <f t="shared" si="9"/>
        <v>251</v>
      </c>
      <c r="J252" s="2807" t="s">
        <v>4545</v>
      </c>
      <c r="K252" s="1414" t="s">
        <v>4504</v>
      </c>
      <c r="L252" s="2807" t="str">
        <f t="shared" si="10"/>
        <v>B3070</v>
      </c>
      <c r="M252" s="2807">
        <v>8</v>
      </c>
      <c r="N252" s="2807">
        <v>-3</v>
      </c>
      <c r="O252" s="2807">
        <f t="shared" si="11"/>
        <v>52.93</v>
      </c>
      <c r="P252" s="1414" t="s">
        <v>4547</v>
      </c>
      <c r="Q252" s="1414" t="s">
        <v>4547</v>
      </c>
    </row>
    <row r="253" spans="1:17">
      <c r="A253" s="1414">
        <v>251</v>
      </c>
      <c r="B253" s="1414" t="s">
        <v>3697</v>
      </c>
      <c r="C253" s="1414">
        <v>52.93</v>
      </c>
      <c r="I253" s="2807">
        <f t="shared" si="9"/>
        <v>252</v>
      </c>
      <c r="J253" s="2807" t="s">
        <v>4545</v>
      </c>
      <c r="K253" s="1414" t="s">
        <v>4504</v>
      </c>
      <c r="L253" s="2807" t="str">
        <f t="shared" si="10"/>
        <v>B3071</v>
      </c>
      <c r="M253" s="2807">
        <v>8</v>
      </c>
      <c r="N253" s="2807">
        <v>-3</v>
      </c>
      <c r="O253" s="2807">
        <f t="shared" si="11"/>
        <v>59.92</v>
      </c>
      <c r="P253" s="1414" t="s">
        <v>4547</v>
      </c>
      <c r="Q253" s="1414" t="s">
        <v>4547</v>
      </c>
    </row>
    <row r="254" spans="1:17">
      <c r="A254" s="1414">
        <v>252</v>
      </c>
      <c r="B254" s="1414" t="s">
        <v>3698</v>
      </c>
      <c r="C254" s="1414">
        <v>59.92</v>
      </c>
      <c r="I254" s="2807">
        <f t="shared" si="9"/>
        <v>253</v>
      </c>
      <c r="J254" s="2807" t="s">
        <v>4545</v>
      </c>
      <c r="K254" s="1414" t="s">
        <v>4504</v>
      </c>
      <c r="L254" s="2807" t="str">
        <f t="shared" si="10"/>
        <v>B3072</v>
      </c>
      <c r="M254" s="2807">
        <v>8</v>
      </c>
      <c r="N254" s="2807">
        <v>-3</v>
      </c>
      <c r="O254" s="2807">
        <f t="shared" si="11"/>
        <v>59.92</v>
      </c>
      <c r="P254" s="1414" t="s">
        <v>4547</v>
      </c>
      <c r="Q254" s="1414" t="s">
        <v>4547</v>
      </c>
    </row>
    <row r="255" spans="1:17">
      <c r="A255" s="1414">
        <v>253</v>
      </c>
      <c r="B255" s="1414" t="s">
        <v>3699</v>
      </c>
      <c r="C255" s="1414">
        <v>59.92</v>
      </c>
      <c r="I255" s="2807">
        <f t="shared" si="9"/>
        <v>254</v>
      </c>
      <c r="J255" s="2807" t="s">
        <v>4545</v>
      </c>
      <c r="K255" s="1414" t="s">
        <v>4504</v>
      </c>
      <c r="L255" s="2807" t="str">
        <f t="shared" si="10"/>
        <v>B3073</v>
      </c>
      <c r="M255" s="2807">
        <v>8</v>
      </c>
      <c r="N255" s="2807">
        <v>-3</v>
      </c>
      <c r="O255" s="2807">
        <f t="shared" si="11"/>
        <v>59.92</v>
      </c>
      <c r="P255" s="1414" t="s">
        <v>4547</v>
      </c>
      <c r="Q255" s="1414" t="s">
        <v>4547</v>
      </c>
    </row>
    <row r="256" spans="1:17">
      <c r="A256" s="1414">
        <v>254</v>
      </c>
      <c r="B256" s="1414" t="s">
        <v>3700</v>
      </c>
      <c r="C256" s="1414">
        <v>59.92</v>
      </c>
      <c r="I256" s="2807">
        <f t="shared" si="9"/>
        <v>255</v>
      </c>
      <c r="J256" s="2807" t="s">
        <v>4545</v>
      </c>
      <c r="K256" s="1414" t="s">
        <v>4504</v>
      </c>
      <c r="L256" s="2807" t="str">
        <f t="shared" si="10"/>
        <v>B3074</v>
      </c>
      <c r="M256" s="2807">
        <v>8</v>
      </c>
      <c r="N256" s="2807">
        <v>-3</v>
      </c>
      <c r="O256" s="2807">
        <f t="shared" si="11"/>
        <v>52.93</v>
      </c>
      <c r="P256" s="1414" t="s">
        <v>4547</v>
      </c>
      <c r="Q256" s="1414" t="s">
        <v>4547</v>
      </c>
    </row>
    <row r="257" spans="1:17">
      <c r="A257" s="1414">
        <v>255</v>
      </c>
      <c r="B257" s="1414" t="s">
        <v>3701</v>
      </c>
      <c r="C257" s="1414">
        <v>52.93</v>
      </c>
      <c r="I257" s="2807">
        <f t="shared" si="9"/>
        <v>256</v>
      </c>
      <c r="J257" s="2807" t="s">
        <v>4545</v>
      </c>
      <c r="K257" s="1414" t="s">
        <v>4504</v>
      </c>
      <c r="L257" s="2807" t="str">
        <f t="shared" si="10"/>
        <v>B3075</v>
      </c>
      <c r="M257" s="2807">
        <v>8</v>
      </c>
      <c r="N257" s="2807">
        <v>-3</v>
      </c>
      <c r="O257" s="2807">
        <f t="shared" si="11"/>
        <v>52.93</v>
      </c>
      <c r="P257" s="1414" t="s">
        <v>4547</v>
      </c>
      <c r="Q257" s="1414" t="s">
        <v>4547</v>
      </c>
    </row>
    <row r="258" spans="1:17">
      <c r="A258" s="1414">
        <v>256</v>
      </c>
      <c r="B258" s="1414" t="s">
        <v>3702</v>
      </c>
      <c r="C258" s="1414">
        <v>52.93</v>
      </c>
      <c r="I258" s="2807">
        <f t="shared" si="9"/>
        <v>257</v>
      </c>
      <c r="J258" s="2807" t="s">
        <v>4545</v>
      </c>
      <c r="K258" s="1414" t="s">
        <v>4504</v>
      </c>
      <c r="L258" s="2807" t="str">
        <f t="shared" si="10"/>
        <v>B3076</v>
      </c>
      <c r="M258" s="2807">
        <v>8</v>
      </c>
      <c r="N258" s="2807">
        <v>-3</v>
      </c>
      <c r="O258" s="2807">
        <f t="shared" si="11"/>
        <v>52.93</v>
      </c>
      <c r="P258" s="1414" t="s">
        <v>4547</v>
      </c>
      <c r="Q258" s="1414" t="s">
        <v>4547</v>
      </c>
    </row>
    <row r="259" spans="1:17">
      <c r="A259" s="1414">
        <v>257</v>
      </c>
      <c r="B259" s="1414" t="s">
        <v>3703</v>
      </c>
      <c r="C259" s="1414">
        <v>52.93</v>
      </c>
      <c r="I259" s="2807">
        <f t="shared" ref="I259:I322" si="12">A260</f>
        <v>258</v>
      </c>
      <c r="J259" s="2807" t="s">
        <v>4545</v>
      </c>
      <c r="K259" s="1414" t="s">
        <v>4504</v>
      </c>
      <c r="L259" s="2807" t="str">
        <f t="shared" ref="L259:L322" si="13">B260</f>
        <v>B3077</v>
      </c>
      <c r="M259" s="2807">
        <v>8</v>
      </c>
      <c r="N259" s="2807">
        <v>-3</v>
      </c>
      <c r="O259" s="2807">
        <f t="shared" ref="O259:O322" si="14">C260</f>
        <v>52.93</v>
      </c>
      <c r="P259" s="1414" t="s">
        <v>4547</v>
      </c>
      <c r="Q259" s="1414" t="s">
        <v>4547</v>
      </c>
    </row>
    <row r="260" spans="1:17">
      <c r="A260" s="1414">
        <v>258</v>
      </c>
      <c r="B260" s="1414" t="s">
        <v>3704</v>
      </c>
      <c r="C260" s="1414">
        <v>52.93</v>
      </c>
      <c r="I260" s="2807">
        <f t="shared" si="12"/>
        <v>259</v>
      </c>
      <c r="J260" s="2807" t="s">
        <v>4545</v>
      </c>
      <c r="K260" s="1414" t="s">
        <v>4504</v>
      </c>
      <c r="L260" s="2807" t="str">
        <f t="shared" si="13"/>
        <v>B3078</v>
      </c>
      <c r="M260" s="2807">
        <v>8</v>
      </c>
      <c r="N260" s="2807">
        <v>-3</v>
      </c>
      <c r="O260" s="2807">
        <f t="shared" si="14"/>
        <v>52.93</v>
      </c>
      <c r="P260" s="1414" t="s">
        <v>4547</v>
      </c>
      <c r="Q260" s="1414" t="s">
        <v>4547</v>
      </c>
    </row>
    <row r="261" spans="1:17">
      <c r="A261" s="1414">
        <v>259</v>
      </c>
      <c r="B261" s="1414" t="s">
        <v>3705</v>
      </c>
      <c r="C261" s="1414">
        <v>52.93</v>
      </c>
      <c r="I261" s="2807">
        <f t="shared" si="12"/>
        <v>260</v>
      </c>
      <c r="J261" s="2807" t="s">
        <v>4545</v>
      </c>
      <c r="K261" s="1414" t="s">
        <v>4504</v>
      </c>
      <c r="L261" s="2807" t="str">
        <f t="shared" si="13"/>
        <v>B3079</v>
      </c>
      <c r="M261" s="2807">
        <v>8</v>
      </c>
      <c r="N261" s="2807">
        <v>-3</v>
      </c>
      <c r="O261" s="2807">
        <f t="shared" si="14"/>
        <v>52.93</v>
      </c>
      <c r="P261" s="1414" t="s">
        <v>4547</v>
      </c>
      <c r="Q261" s="1414" t="s">
        <v>4547</v>
      </c>
    </row>
    <row r="262" spans="1:17">
      <c r="A262" s="1414">
        <v>260</v>
      </c>
      <c r="B262" s="1414" t="s">
        <v>3706</v>
      </c>
      <c r="C262" s="1414">
        <v>52.93</v>
      </c>
      <c r="I262" s="2807">
        <f t="shared" si="12"/>
        <v>261</v>
      </c>
      <c r="J262" s="2807" t="s">
        <v>4545</v>
      </c>
      <c r="K262" s="1414" t="s">
        <v>4504</v>
      </c>
      <c r="L262" s="2807" t="str">
        <f t="shared" si="13"/>
        <v>B3080</v>
      </c>
      <c r="M262" s="2807">
        <v>8</v>
      </c>
      <c r="N262" s="2807">
        <v>-3</v>
      </c>
      <c r="O262" s="2807">
        <f t="shared" si="14"/>
        <v>52.93</v>
      </c>
      <c r="P262" s="1414" t="s">
        <v>4547</v>
      </c>
      <c r="Q262" s="1414" t="s">
        <v>4547</v>
      </c>
    </row>
    <row r="263" spans="1:17">
      <c r="A263" s="1414">
        <v>261</v>
      </c>
      <c r="B263" s="1414" t="s">
        <v>3707</v>
      </c>
      <c r="C263" s="1414">
        <v>52.93</v>
      </c>
      <c r="I263" s="2807">
        <f t="shared" si="12"/>
        <v>262</v>
      </c>
      <c r="J263" s="2807" t="s">
        <v>4545</v>
      </c>
      <c r="K263" s="1414" t="s">
        <v>4504</v>
      </c>
      <c r="L263" s="2807" t="str">
        <f t="shared" si="13"/>
        <v>B3081</v>
      </c>
      <c r="M263" s="2807">
        <v>8</v>
      </c>
      <c r="N263" s="2807">
        <v>-3</v>
      </c>
      <c r="O263" s="2807">
        <f t="shared" si="14"/>
        <v>52.93</v>
      </c>
      <c r="P263" s="1414" t="s">
        <v>4547</v>
      </c>
      <c r="Q263" s="1414" t="s">
        <v>4547</v>
      </c>
    </row>
    <row r="264" spans="1:17">
      <c r="A264" s="1414">
        <v>262</v>
      </c>
      <c r="B264" s="1414" t="s">
        <v>3708</v>
      </c>
      <c r="C264" s="1414">
        <v>52.93</v>
      </c>
      <c r="I264" s="2807">
        <f t="shared" si="12"/>
        <v>263</v>
      </c>
      <c r="J264" s="2807" t="s">
        <v>4545</v>
      </c>
      <c r="K264" s="1414" t="s">
        <v>4504</v>
      </c>
      <c r="L264" s="2807" t="str">
        <f t="shared" si="13"/>
        <v>B3082</v>
      </c>
      <c r="M264" s="2807">
        <v>8</v>
      </c>
      <c r="N264" s="2807">
        <v>-3</v>
      </c>
      <c r="O264" s="2807">
        <f t="shared" si="14"/>
        <v>50.93</v>
      </c>
      <c r="P264" s="1414" t="s">
        <v>4547</v>
      </c>
      <c r="Q264" s="1414" t="s">
        <v>4547</v>
      </c>
    </row>
    <row r="265" spans="1:17">
      <c r="A265" s="1414">
        <v>263</v>
      </c>
      <c r="B265" s="1414" t="s">
        <v>3709</v>
      </c>
      <c r="C265" s="1414">
        <v>50.93</v>
      </c>
      <c r="I265" s="2807">
        <f t="shared" si="12"/>
        <v>264</v>
      </c>
      <c r="J265" s="2807" t="s">
        <v>4545</v>
      </c>
      <c r="K265" s="1414" t="s">
        <v>4504</v>
      </c>
      <c r="L265" s="2807" t="str">
        <f t="shared" si="13"/>
        <v>B3083</v>
      </c>
      <c r="M265" s="2807">
        <v>8</v>
      </c>
      <c r="N265" s="2807">
        <v>-3</v>
      </c>
      <c r="O265" s="2807">
        <f t="shared" si="14"/>
        <v>50.93</v>
      </c>
      <c r="P265" s="1414" t="s">
        <v>4547</v>
      </c>
      <c r="Q265" s="1414" t="s">
        <v>4547</v>
      </c>
    </row>
    <row r="266" spans="1:17">
      <c r="A266" s="1414">
        <v>264</v>
      </c>
      <c r="B266" s="1414" t="s">
        <v>3710</v>
      </c>
      <c r="C266" s="1414">
        <v>50.93</v>
      </c>
      <c r="I266" s="2807">
        <f t="shared" si="12"/>
        <v>265</v>
      </c>
      <c r="J266" s="2807" t="s">
        <v>4545</v>
      </c>
      <c r="K266" s="1414" t="s">
        <v>4504</v>
      </c>
      <c r="L266" s="2807" t="str">
        <f t="shared" si="13"/>
        <v>B3084</v>
      </c>
      <c r="M266" s="2807">
        <v>8</v>
      </c>
      <c r="N266" s="2807">
        <v>-3</v>
      </c>
      <c r="O266" s="2807">
        <f t="shared" si="14"/>
        <v>50.93</v>
      </c>
      <c r="P266" s="1414" t="s">
        <v>4547</v>
      </c>
      <c r="Q266" s="1414" t="s">
        <v>4547</v>
      </c>
    </row>
    <row r="267" spans="1:17">
      <c r="A267" s="1414">
        <v>265</v>
      </c>
      <c r="B267" s="1414" t="s">
        <v>3711</v>
      </c>
      <c r="C267" s="1414">
        <v>50.93</v>
      </c>
      <c r="I267" s="2807">
        <f t="shared" si="12"/>
        <v>266</v>
      </c>
      <c r="J267" s="2807" t="s">
        <v>4545</v>
      </c>
      <c r="K267" s="1414" t="s">
        <v>4504</v>
      </c>
      <c r="L267" s="2807" t="str">
        <f t="shared" si="13"/>
        <v>B3085</v>
      </c>
      <c r="M267" s="2807">
        <v>8</v>
      </c>
      <c r="N267" s="2807">
        <v>-3</v>
      </c>
      <c r="O267" s="2807">
        <f t="shared" si="14"/>
        <v>50.93</v>
      </c>
      <c r="P267" s="1414" t="s">
        <v>4547</v>
      </c>
      <c r="Q267" s="1414" t="s">
        <v>4547</v>
      </c>
    </row>
    <row r="268" spans="1:17">
      <c r="A268" s="1414">
        <v>266</v>
      </c>
      <c r="B268" s="1414" t="s">
        <v>3712</v>
      </c>
      <c r="C268" s="1414">
        <v>50.93</v>
      </c>
      <c r="I268" s="2807">
        <f t="shared" si="12"/>
        <v>267</v>
      </c>
      <c r="J268" s="2807" t="s">
        <v>4545</v>
      </c>
      <c r="K268" s="1414" t="s">
        <v>4504</v>
      </c>
      <c r="L268" s="2807" t="str">
        <f t="shared" si="13"/>
        <v>B3086</v>
      </c>
      <c r="M268" s="2807">
        <v>8</v>
      </c>
      <c r="N268" s="2807">
        <v>-3</v>
      </c>
      <c r="O268" s="2807">
        <f t="shared" si="14"/>
        <v>50.93</v>
      </c>
      <c r="P268" s="1414" t="s">
        <v>4547</v>
      </c>
      <c r="Q268" s="1414" t="s">
        <v>4547</v>
      </c>
    </row>
    <row r="269" spans="1:17">
      <c r="A269" s="1414">
        <v>267</v>
      </c>
      <c r="B269" s="1414" t="s">
        <v>3713</v>
      </c>
      <c r="C269" s="1414">
        <v>50.93</v>
      </c>
      <c r="I269" s="2807">
        <f t="shared" si="12"/>
        <v>268</v>
      </c>
      <c r="J269" s="2807" t="s">
        <v>4545</v>
      </c>
      <c r="K269" s="1414" t="s">
        <v>4504</v>
      </c>
      <c r="L269" s="2807" t="str">
        <f t="shared" si="13"/>
        <v>B3087</v>
      </c>
      <c r="M269" s="2807">
        <v>8</v>
      </c>
      <c r="N269" s="2807">
        <v>-3</v>
      </c>
      <c r="O269" s="2807">
        <f t="shared" si="14"/>
        <v>50.93</v>
      </c>
      <c r="P269" s="1414" t="s">
        <v>4547</v>
      </c>
      <c r="Q269" s="1414" t="s">
        <v>4547</v>
      </c>
    </row>
    <row r="270" spans="1:17">
      <c r="A270" s="1414">
        <v>268</v>
      </c>
      <c r="B270" s="1414" t="s">
        <v>3714</v>
      </c>
      <c r="C270" s="1414">
        <v>50.93</v>
      </c>
      <c r="I270" s="2807">
        <f t="shared" si="12"/>
        <v>269</v>
      </c>
      <c r="J270" s="2807" t="s">
        <v>4545</v>
      </c>
      <c r="K270" s="1414" t="s">
        <v>4504</v>
      </c>
      <c r="L270" s="2807" t="str">
        <f t="shared" si="13"/>
        <v>B3088</v>
      </c>
      <c r="M270" s="2807">
        <v>8</v>
      </c>
      <c r="N270" s="2807">
        <v>-3</v>
      </c>
      <c r="O270" s="2807">
        <f t="shared" si="14"/>
        <v>59.92</v>
      </c>
      <c r="P270" s="1414" t="s">
        <v>4547</v>
      </c>
      <c r="Q270" s="1414" t="s">
        <v>4547</v>
      </c>
    </row>
    <row r="271" spans="1:17">
      <c r="A271" s="1414">
        <v>269</v>
      </c>
      <c r="B271" s="1414" t="s">
        <v>3715</v>
      </c>
      <c r="C271" s="1414">
        <v>59.92</v>
      </c>
      <c r="I271" s="2807">
        <f t="shared" si="12"/>
        <v>270</v>
      </c>
      <c r="J271" s="2807" t="s">
        <v>4545</v>
      </c>
      <c r="K271" s="1414" t="s">
        <v>4504</v>
      </c>
      <c r="L271" s="2807" t="str">
        <f t="shared" si="13"/>
        <v>B3089</v>
      </c>
      <c r="M271" s="2807">
        <v>8</v>
      </c>
      <c r="N271" s="2807">
        <v>-3</v>
      </c>
      <c r="O271" s="2807">
        <f t="shared" si="14"/>
        <v>59.92</v>
      </c>
      <c r="P271" s="1414" t="s">
        <v>4547</v>
      </c>
      <c r="Q271" s="1414" t="s">
        <v>4547</v>
      </c>
    </row>
    <row r="272" spans="1:17">
      <c r="A272" s="1414">
        <v>270</v>
      </c>
      <c r="B272" s="1414" t="s">
        <v>3716</v>
      </c>
      <c r="C272" s="1414">
        <v>59.92</v>
      </c>
      <c r="I272" s="2807">
        <f t="shared" si="12"/>
        <v>271</v>
      </c>
      <c r="J272" s="2807" t="s">
        <v>4545</v>
      </c>
      <c r="K272" s="1414" t="s">
        <v>4504</v>
      </c>
      <c r="L272" s="2807" t="str">
        <f t="shared" si="13"/>
        <v>B3090</v>
      </c>
      <c r="M272" s="2807">
        <v>8</v>
      </c>
      <c r="N272" s="2807">
        <v>-3</v>
      </c>
      <c r="O272" s="2807">
        <f t="shared" si="14"/>
        <v>59.92</v>
      </c>
      <c r="P272" s="1414" t="s">
        <v>4547</v>
      </c>
      <c r="Q272" s="1414" t="s">
        <v>4547</v>
      </c>
    </row>
    <row r="273" spans="1:17">
      <c r="A273" s="1414">
        <v>271</v>
      </c>
      <c r="B273" s="1414" t="s">
        <v>3717</v>
      </c>
      <c r="C273" s="1414">
        <v>59.92</v>
      </c>
      <c r="I273" s="2807">
        <f t="shared" si="12"/>
        <v>272</v>
      </c>
      <c r="J273" s="2807" t="s">
        <v>4545</v>
      </c>
      <c r="K273" s="1414" t="s">
        <v>4504</v>
      </c>
      <c r="L273" s="2807" t="str">
        <f t="shared" si="13"/>
        <v>B3091</v>
      </c>
      <c r="M273" s="2807">
        <v>8</v>
      </c>
      <c r="N273" s="2807">
        <v>-3</v>
      </c>
      <c r="O273" s="2807">
        <f t="shared" si="14"/>
        <v>59.92</v>
      </c>
      <c r="P273" s="1414" t="s">
        <v>4547</v>
      </c>
      <c r="Q273" s="1414" t="s">
        <v>4547</v>
      </c>
    </row>
    <row r="274" spans="1:17">
      <c r="A274" s="1414">
        <v>272</v>
      </c>
      <c r="B274" s="1414" t="s">
        <v>3718</v>
      </c>
      <c r="C274" s="1414">
        <v>59.92</v>
      </c>
      <c r="I274" s="2807">
        <f t="shared" si="12"/>
        <v>273</v>
      </c>
      <c r="J274" s="2807" t="s">
        <v>4545</v>
      </c>
      <c r="K274" s="1414" t="s">
        <v>4504</v>
      </c>
      <c r="L274" s="2807" t="str">
        <f t="shared" si="13"/>
        <v>B3092</v>
      </c>
      <c r="M274" s="2807">
        <v>8</v>
      </c>
      <c r="N274" s="2807">
        <v>-3</v>
      </c>
      <c r="O274" s="2807">
        <f t="shared" si="14"/>
        <v>59.92</v>
      </c>
      <c r="P274" s="1414" t="s">
        <v>4547</v>
      </c>
      <c r="Q274" s="1414" t="s">
        <v>4547</v>
      </c>
    </row>
    <row r="275" spans="1:17">
      <c r="A275" s="1414">
        <v>273</v>
      </c>
      <c r="B275" s="1414" t="s">
        <v>3719</v>
      </c>
      <c r="C275" s="1414">
        <v>59.92</v>
      </c>
      <c r="I275" s="2807">
        <f t="shared" si="12"/>
        <v>274</v>
      </c>
      <c r="J275" s="2807" t="s">
        <v>4545</v>
      </c>
      <c r="K275" s="1414" t="s">
        <v>4504</v>
      </c>
      <c r="L275" s="2807" t="str">
        <f t="shared" si="13"/>
        <v>B3093</v>
      </c>
      <c r="M275" s="2807">
        <v>8</v>
      </c>
      <c r="N275" s="2807">
        <v>-3</v>
      </c>
      <c r="O275" s="2807">
        <f t="shared" si="14"/>
        <v>50.93</v>
      </c>
      <c r="P275" s="1414" t="s">
        <v>4547</v>
      </c>
      <c r="Q275" s="1414" t="s">
        <v>4547</v>
      </c>
    </row>
    <row r="276" spans="1:17">
      <c r="A276" s="1414">
        <v>274</v>
      </c>
      <c r="B276" s="1414" t="s">
        <v>3720</v>
      </c>
      <c r="C276" s="1414">
        <v>50.93</v>
      </c>
      <c r="I276" s="2807">
        <f t="shared" si="12"/>
        <v>275</v>
      </c>
      <c r="J276" s="2807" t="s">
        <v>4545</v>
      </c>
      <c r="K276" s="1414" t="s">
        <v>4504</v>
      </c>
      <c r="L276" s="2807" t="str">
        <f t="shared" si="13"/>
        <v>B3094</v>
      </c>
      <c r="M276" s="2807">
        <v>8</v>
      </c>
      <c r="N276" s="2807">
        <v>-3</v>
      </c>
      <c r="O276" s="2807">
        <f t="shared" si="14"/>
        <v>50.93</v>
      </c>
      <c r="P276" s="1414" t="s">
        <v>4547</v>
      </c>
      <c r="Q276" s="1414" t="s">
        <v>4547</v>
      </c>
    </row>
    <row r="277" spans="1:17">
      <c r="A277" s="1414">
        <v>275</v>
      </c>
      <c r="B277" s="1414" t="s">
        <v>3721</v>
      </c>
      <c r="C277" s="1414">
        <v>50.93</v>
      </c>
      <c r="I277" s="2807">
        <f t="shared" si="12"/>
        <v>276</v>
      </c>
      <c r="J277" s="2807" t="s">
        <v>4545</v>
      </c>
      <c r="K277" s="1414" t="s">
        <v>4504</v>
      </c>
      <c r="L277" s="2807" t="str">
        <f t="shared" si="13"/>
        <v>B3095</v>
      </c>
      <c r="M277" s="2807">
        <v>8</v>
      </c>
      <c r="N277" s="2807">
        <v>-3</v>
      </c>
      <c r="O277" s="2807">
        <f t="shared" si="14"/>
        <v>50.93</v>
      </c>
      <c r="P277" s="1414" t="s">
        <v>4547</v>
      </c>
      <c r="Q277" s="1414" t="s">
        <v>4547</v>
      </c>
    </row>
    <row r="278" spans="1:17">
      <c r="A278" s="1414">
        <v>276</v>
      </c>
      <c r="B278" s="1414" t="s">
        <v>3722</v>
      </c>
      <c r="C278" s="1414">
        <v>50.93</v>
      </c>
      <c r="I278" s="2807">
        <f t="shared" si="12"/>
        <v>277</v>
      </c>
      <c r="J278" s="2807" t="s">
        <v>4545</v>
      </c>
      <c r="K278" s="1414" t="s">
        <v>4504</v>
      </c>
      <c r="L278" s="2807" t="str">
        <f t="shared" si="13"/>
        <v>B3096</v>
      </c>
      <c r="M278" s="2807">
        <v>8</v>
      </c>
      <c r="N278" s="2807">
        <v>-3</v>
      </c>
      <c r="O278" s="2807">
        <f t="shared" si="14"/>
        <v>50.93</v>
      </c>
      <c r="P278" s="1414" t="s">
        <v>4547</v>
      </c>
      <c r="Q278" s="1414" t="s">
        <v>4547</v>
      </c>
    </row>
    <row r="279" spans="1:17">
      <c r="A279" s="1414">
        <v>277</v>
      </c>
      <c r="B279" s="1414" t="s">
        <v>3723</v>
      </c>
      <c r="C279" s="1414">
        <v>50.93</v>
      </c>
      <c r="I279" s="2807">
        <f t="shared" si="12"/>
        <v>278</v>
      </c>
      <c r="J279" s="2807" t="s">
        <v>4545</v>
      </c>
      <c r="K279" s="1414" t="s">
        <v>4504</v>
      </c>
      <c r="L279" s="2807" t="str">
        <f t="shared" si="13"/>
        <v>B3097</v>
      </c>
      <c r="M279" s="2807">
        <v>8</v>
      </c>
      <c r="N279" s="2807">
        <v>-3</v>
      </c>
      <c r="O279" s="2807">
        <f t="shared" si="14"/>
        <v>50.93</v>
      </c>
      <c r="P279" s="1414" t="s">
        <v>4547</v>
      </c>
      <c r="Q279" s="1414" t="s">
        <v>4547</v>
      </c>
    </row>
    <row r="280" spans="1:17">
      <c r="A280" s="1414">
        <v>278</v>
      </c>
      <c r="B280" s="1414" t="s">
        <v>3724</v>
      </c>
      <c r="C280" s="1414">
        <v>50.93</v>
      </c>
      <c r="I280" s="2807">
        <f t="shared" si="12"/>
        <v>279</v>
      </c>
      <c r="J280" s="2807" t="s">
        <v>4545</v>
      </c>
      <c r="K280" s="1414" t="s">
        <v>4504</v>
      </c>
      <c r="L280" s="2807" t="str">
        <f t="shared" si="13"/>
        <v>B3098</v>
      </c>
      <c r="M280" s="2807">
        <v>8</v>
      </c>
      <c r="N280" s="2807">
        <v>-3</v>
      </c>
      <c r="O280" s="2807">
        <f t="shared" si="14"/>
        <v>50.93</v>
      </c>
      <c r="P280" s="1414" t="s">
        <v>4547</v>
      </c>
      <c r="Q280" s="1414" t="s">
        <v>4547</v>
      </c>
    </row>
    <row r="281" spans="1:17">
      <c r="A281" s="1414">
        <v>279</v>
      </c>
      <c r="B281" s="1414" t="s">
        <v>3725</v>
      </c>
      <c r="C281" s="1414">
        <v>50.93</v>
      </c>
      <c r="I281" s="2807">
        <f t="shared" si="12"/>
        <v>280</v>
      </c>
      <c r="J281" s="2807" t="s">
        <v>4545</v>
      </c>
      <c r="K281" s="1414" t="s">
        <v>4504</v>
      </c>
      <c r="L281" s="2807" t="str">
        <f t="shared" si="13"/>
        <v>B3099</v>
      </c>
      <c r="M281" s="2807">
        <v>8</v>
      </c>
      <c r="N281" s="2807">
        <v>-3</v>
      </c>
      <c r="O281" s="2807">
        <f t="shared" si="14"/>
        <v>50.93</v>
      </c>
      <c r="P281" s="1414" t="s">
        <v>4547</v>
      </c>
      <c r="Q281" s="1414" t="s">
        <v>4547</v>
      </c>
    </row>
    <row r="282" spans="1:17">
      <c r="A282" s="1414">
        <v>280</v>
      </c>
      <c r="B282" s="1414" t="s">
        <v>3726</v>
      </c>
      <c r="C282" s="1414">
        <v>50.93</v>
      </c>
      <c r="I282" s="2807">
        <f t="shared" si="12"/>
        <v>281</v>
      </c>
      <c r="J282" s="2807" t="s">
        <v>4545</v>
      </c>
      <c r="K282" s="1414" t="s">
        <v>4504</v>
      </c>
      <c r="L282" s="2807" t="str">
        <f t="shared" si="13"/>
        <v>B3100</v>
      </c>
      <c r="M282" s="2807">
        <v>8</v>
      </c>
      <c r="N282" s="2807">
        <v>-3</v>
      </c>
      <c r="O282" s="2807">
        <f t="shared" si="14"/>
        <v>50.93</v>
      </c>
      <c r="P282" s="1414" t="s">
        <v>4547</v>
      </c>
      <c r="Q282" s="1414" t="s">
        <v>4547</v>
      </c>
    </row>
    <row r="283" spans="1:17">
      <c r="A283" s="1414">
        <v>281</v>
      </c>
      <c r="B283" s="1414" t="s">
        <v>3727</v>
      </c>
      <c r="C283" s="1414">
        <v>50.93</v>
      </c>
      <c r="I283" s="2807">
        <f t="shared" si="12"/>
        <v>282</v>
      </c>
      <c r="J283" s="2807" t="s">
        <v>4545</v>
      </c>
      <c r="K283" s="1414" t="s">
        <v>4504</v>
      </c>
      <c r="L283" s="2807" t="str">
        <f t="shared" si="13"/>
        <v>B3101</v>
      </c>
      <c r="M283" s="2807">
        <v>8</v>
      </c>
      <c r="N283" s="2807">
        <v>-3</v>
      </c>
      <c r="O283" s="2807">
        <f t="shared" si="14"/>
        <v>50.93</v>
      </c>
      <c r="P283" s="1414" t="s">
        <v>4547</v>
      </c>
      <c r="Q283" s="1414" t="s">
        <v>4547</v>
      </c>
    </row>
    <row r="284" spans="1:17">
      <c r="A284" s="1414">
        <v>282</v>
      </c>
      <c r="B284" s="1414" t="s">
        <v>3728</v>
      </c>
      <c r="C284" s="1414">
        <v>50.93</v>
      </c>
      <c r="I284" s="2807">
        <f t="shared" si="12"/>
        <v>283</v>
      </c>
      <c r="J284" s="2807" t="s">
        <v>4545</v>
      </c>
      <c r="K284" s="1414" t="s">
        <v>4504</v>
      </c>
      <c r="L284" s="2807" t="str">
        <f t="shared" si="13"/>
        <v>B3102</v>
      </c>
      <c r="M284" s="2807">
        <v>8</v>
      </c>
      <c r="N284" s="2807">
        <v>-3</v>
      </c>
      <c r="O284" s="2807">
        <f t="shared" si="14"/>
        <v>50.93</v>
      </c>
      <c r="P284" s="1414" t="s">
        <v>4547</v>
      </c>
      <c r="Q284" s="1414" t="s">
        <v>4547</v>
      </c>
    </row>
    <row r="285" spans="1:17">
      <c r="A285" s="1414">
        <v>283</v>
      </c>
      <c r="B285" s="1414" t="s">
        <v>3729</v>
      </c>
      <c r="C285" s="1414">
        <v>50.93</v>
      </c>
      <c r="I285" s="2807">
        <f t="shared" si="12"/>
        <v>284</v>
      </c>
      <c r="J285" s="2807" t="s">
        <v>4545</v>
      </c>
      <c r="K285" s="1414" t="s">
        <v>4504</v>
      </c>
      <c r="L285" s="2807" t="str">
        <f t="shared" si="13"/>
        <v>B3103</v>
      </c>
      <c r="M285" s="2807">
        <v>8</v>
      </c>
      <c r="N285" s="2807">
        <v>-3</v>
      </c>
      <c r="O285" s="2807">
        <f t="shared" si="14"/>
        <v>89.38</v>
      </c>
      <c r="P285" s="1414" t="s">
        <v>4547</v>
      </c>
      <c r="Q285" s="1414" t="s">
        <v>4547</v>
      </c>
    </row>
    <row r="286" spans="1:17">
      <c r="A286" s="1414">
        <v>284</v>
      </c>
      <c r="B286" s="1414" t="s">
        <v>3730</v>
      </c>
      <c r="C286" s="1414">
        <v>89.38</v>
      </c>
      <c r="I286" s="2807">
        <f t="shared" si="12"/>
        <v>285</v>
      </c>
      <c r="J286" s="2807" t="s">
        <v>4545</v>
      </c>
      <c r="K286" s="1414" t="s">
        <v>4504</v>
      </c>
      <c r="L286" s="2807" t="str">
        <f t="shared" si="13"/>
        <v>B3104</v>
      </c>
      <c r="M286" s="2807">
        <v>8</v>
      </c>
      <c r="N286" s="2807">
        <v>-3</v>
      </c>
      <c r="O286" s="2807">
        <f t="shared" si="14"/>
        <v>59.92</v>
      </c>
      <c r="P286" s="1414" t="s">
        <v>4547</v>
      </c>
      <c r="Q286" s="1414" t="s">
        <v>4547</v>
      </c>
    </row>
    <row r="287" spans="1:17">
      <c r="A287" s="1414">
        <v>285</v>
      </c>
      <c r="B287" s="1414" t="s">
        <v>3731</v>
      </c>
      <c r="C287" s="1414">
        <v>59.92</v>
      </c>
      <c r="I287" s="2807">
        <f t="shared" si="12"/>
        <v>286</v>
      </c>
      <c r="J287" s="2807" t="s">
        <v>4545</v>
      </c>
      <c r="K287" s="1414" t="s">
        <v>4504</v>
      </c>
      <c r="L287" s="2807" t="str">
        <f t="shared" si="13"/>
        <v>B3105</v>
      </c>
      <c r="M287" s="2807">
        <v>8</v>
      </c>
      <c r="N287" s="2807">
        <v>-3</v>
      </c>
      <c r="O287" s="2807">
        <f t="shared" si="14"/>
        <v>59.92</v>
      </c>
      <c r="P287" s="1414" t="s">
        <v>4547</v>
      </c>
      <c r="Q287" s="1414" t="s">
        <v>4547</v>
      </c>
    </row>
    <row r="288" spans="1:17">
      <c r="A288" s="1414">
        <v>286</v>
      </c>
      <c r="B288" s="1414" t="s">
        <v>3732</v>
      </c>
      <c r="C288" s="1414">
        <v>59.92</v>
      </c>
      <c r="I288" s="2807">
        <f t="shared" si="12"/>
        <v>287</v>
      </c>
      <c r="J288" s="2807" t="s">
        <v>4545</v>
      </c>
      <c r="K288" s="1414" t="s">
        <v>4504</v>
      </c>
      <c r="L288" s="2807" t="str">
        <f t="shared" si="13"/>
        <v>B3106</v>
      </c>
      <c r="M288" s="2807">
        <v>8</v>
      </c>
      <c r="N288" s="2807">
        <v>-3</v>
      </c>
      <c r="O288" s="2807">
        <f t="shared" si="14"/>
        <v>52.93</v>
      </c>
      <c r="P288" s="1414" t="s">
        <v>4547</v>
      </c>
      <c r="Q288" s="1414" t="s">
        <v>4547</v>
      </c>
    </row>
    <row r="289" spans="1:17">
      <c r="A289" s="1414">
        <v>287</v>
      </c>
      <c r="B289" s="1414" t="s">
        <v>3733</v>
      </c>
      <c r="C289" s="1414">
        <v>52.93</v>
      </c>
      <c r="I289" s="2807">
        <f t="shared" si="12"/>
        <v>288</v>
      </c>
      <c r="J289" s="2807" t="s">
        <v>4545</v>
      </c>
      <c r="K289" s="1414" t="s">
        <v>4504</v>
      </c>
      <c r="L289" s="2807" t="str">
        <f t="shared" si="13"/>
        <v>B3107</v>
      </c>
      <c r="M289" s="2807">
        <v>8</v>
      </c>
      <c r="N289" s="2807">
        <v>-3</v>
      </c>
      <c r="O289" s="2807">
        <f t="shared" si="14"/>
        <v>52.93</v>
      </c>
      <c r="P289" s="1414" t="s">
        <v>4547</v>
      </c>
      <c r="Q289" s="1414" t="s">
        <v>4547</v>
      </c>
    </row>
    <row r="290" spans="1:17">
      <c r="A290" s="1414">
        <v>288</v>
      </c>
      <c r="B290" s="1414" t="s">
        <v>3734</v>
      </c>
      <c r="C290" s="1414">
        <v>52.93</v>
      </c>
      <c r="I290" s="2807">
        <f t="shared" si="12"/>
        <v>289</v>
      </c>
      <c r="J290" s="2807" t="s">
        <v>4545</v>
      </c>
      <c r="K290" s="1414" t="s">
        <v>4504</v>
      </c>
      <c r="L290" s="2807" t="str">
        <f t="shared" si="13"/>
        <v>B3108</v>
      </c>
      <c r="M290" s="2807">
        <v>8</v>
      </c>
      <c r="N290" s="2807">
        <v>-3</v>
      </c>
      <c r="O290" s="2807">
        <f t="shared" si="14"/>
        <v>59.92</v>
      </c>
      <c r="P290" s="1414" t="s">
        <v>4547</v>
      </c>
      <c r="Q290" s="1414" t="s">
        <v>4547</v>
      </c>
    </row>
    <row r="291" spans="1:17">
      <c r="A291" s="1414">
        <v>289</v>
      </c>
      <c r="B291" s="1414" t="s">
        <v>3735</v>
      </c>
      <c r="C291" s="1414">
        <v>59.92</v>
      </c>
      <c r="I291" s="2807">
        <f t="shared" si="12"/>
        <v>290</v>
      </c>
      <c r="J291" s="2807" t="s">
        <v>4545</v>
      </c>
      <c r="K291" s="1414" t="s">
        <v>4504</v>
      </c>
      <c r="L291" s="2807" t="str">
        <f t="shared" si="13"/>
        <v>B3109</v>
      </c>
      <c r="M291" s="2807">
        <v>8</v>
      </c>
      <c r="N291" s="2807">
        <v>-3</v>
      </c>
      <c r="O291" s="2807">
        <f t="shared" si="14"/>
        <v>52.93</v>
      </c>
      <c r="P291" s="1414" t="s">
        <v>4547</v>
      </c>
      <c r="Q291" s="1414" t="s">
        <v>4547</v>
      </c>
    </row>
    <row r="292" spans="1:17">
      <c r="A292" s="1414">
        <v>290</v>
      </c>
      <c r="B292" s="1414" t="s">
        <v>3736</v>
      </c>
      <c r="C292" s="1414">
        <v>52.93</v>
      </c>
      <c r="I292" s="2807">
        <f t="shared" si="12"/>
        <v>291</v>
      </c>
      <c r="J292" s="2807" t="s">
        <v>4545</v>
      </c>
      <c r="K292" s="1414" t="s">
        <v>4504</v>
      </c>
      <c r="L292" s="2807" t="str">
        <f t="shared" si="13"/>
        <v>B3110</v>
      </c>
      <c r="M292" s="2807">
        <v>8</v>
      </c>
      <c r="N292" s="2807">
        <v>-3</v>
      </c>
      <c r="O292" s="2807">
        <f t="shared" si="14"/>
        <v>52.93</v>
      </c>
      <c r="P292" s="1414" t="s">
        <v>4547</v>
      </c>
      <c r="Q292" s="1414" t="s">
        <v>4547</v>
      </c>
    </row>
    <row r="293" spans="1:17">
      <c r="A293" s="1414">
        <v>291</v>
      </c>
      <c r="B293" s="1414" t="s">
        <v>3737</v>
      </c>
      <c r="C293" s="1414">
        <v>52.93</v>
      </c>
      <c r="I293" s="2807">
        <f t="shared" si="12"/>
        <v>292</v>
      </c>
      <c r="J293" s="2807" t="s">
        <v>4545</v>
      </c>
      <c r="K293" s="1414" t="s">
        <v>4504</v>
      </c>
      <c r="L293" s="2807" t="str">
        <f t="shared" si="13"/>
        <v>B3111</v>
      </c>
      <c r="M293" s="2807">
        <v>8</v>
      </c>
      <c r="N293" s="2807">
        <v>-3</v>
      </c>
      <c r="O293" s="2807">
        <f t="shared" si="14"/>
        <v>52.93</v>
      </c>
      <c r="P293" s="1414" t="s">
        <v>4547</v>
      </c>
      <c r="Q293" s="1414" t="s">
        <v>4547</v>
      </c>
    </row>
    <row r="294" spans="1:17">
      <c r="A294" s="1414">
        <v>292</v>
      </c>
      <c r="B294" s="1414" t="s">
        <v>3738</v>
      </c>
      <c r="C294" s="1414">
        <v>52.93</v>
      </c>
      <c r="I294" s="2807">
        <f t="shared" si="12"/>
        <v>293</v>
      </c>
      <c r="J294" s="2807" t="s">
        <v>4545</v>
      </c>
      <c r="K294" s="1414" t="s">
        <v>4504</v>
      </c>
      <c r="L294" s="2807" t="str">
        <f t="shared" si="13"/>
        <v>B3112</v>
      </c>
      <c r="M294" s="2807">
        <v>8</v>
      </c>
      <c r="N294" s="2807">
        <v>-3</v>
      </c>
      <c r="O294" s="2807">
        <f t="shared" si="14"/>
        <v>52.93</v>
      </c>
      <c r="P294" s="1414" t="s">
        <v>4547</v>
      </c>
      <c r="Q294" s="1414" t="s">
        <v>4547</v>
      </c>
    </row>
    <row r="295" spans="1:17">
      <c r="A295" s="1414">
        <v>293</v>
      </c>
      <c r="B295" s="1414" t="s">
        <v>3739</v>
      </c>
      <c r="C295" s="1414">
        <v>52.93</v>
      </c>
      <c r="I295" s="2807">
        <f t="shared" si="12"/>
        <v>294</v>
      </c>
      <c r="J295" s="2807" t="s">
        <v>4545</v>
      </c>
      <c r="K295" s="1414" t="s">
        <v>4504</v>
      </c>
      <c r="L295" s="2807" t="str">
        <f t="shared" si="13"/>
        <v>B3113</v>
      </c>
      <c r="M295" s="2807">
        <v>8</v>
      </c>
      <c r="N295" s="2807">
        <v>-3</v>
      </c>
      <c r="O295" s="2807">
        <f t="shared" si="14"/>
        <v>59.92</v>
      </c>
      <c r="P295" s="1414" t="s">
        <v>4547</v>
      </c>
      <c r="Q295" s="1414" t="s">
        <v>4547</v>
      </c>
    </row>
    <row r="296" spans="1:17">
      <c r="A296" s="1414">
        <v>294</v>
      </c>
      <c r="B296" s="1414" t="s">
        <v>3740</v>
      </c>
      <c r="C296" s="1414">
        <v>59.92</v>
      </c>
      <c r="I296" s="2807">
        <f t="shared" si="12"/>
        <v>295</v>
      </c>
      <c r="J296" s="2807" t="s">
        <v>4545</v>
      </c>
      <c r="K296" s="1414" t="s">
        <v>4504</v>
      </c>
      <c r="L296" s="2807" t="str">
        <f t="shared" si="13"/>
        <v>B3114</v>
      </c>
      <c r="M296" s="2807">
        <v>8</v>
      </c>
      <c r="N296" s="2807">
        <v>-3</v>
      </c>
      <c r="O296" s="2807">
        <f t="shared" si="14"/>
        <v>50.93</v>
      </c>
      <c r="P296" s="1414" t="s">
        <v>4547</v>
      </c>
      <c r="Q296" s="1414" t="s">
        <v>4547</v>
      </c>
    </row>
    <row r="297" spans="1:17">
      <c r="A297" s="1414">
        <v>295</v>
      </c>
      <c r="B297" s="1414" t="s">
        <v>3741</v>
      </c>
      <c r="C297" s="1414">
        <v>50.93</v>
      </c>
      <c r="I297" s="2807">
        <f t="shared" si="12"/>
        <v>296</v>
      </c>
      <c r="J297" s="2807" t="s">
        <v>4545</v>
      </c>
      <c r="K297" s="1414" t="s">
        <v>4504</v>
      </c>
      <c r="L297" s="2807" t="str">
        <f t="shared" si="13"/>
        <v>B3115</v>
      </c>
      <c r="M297" s="2807">
        <v>8</v>
      </c>
      <c r="N297" s="2807">
        <v>-3</v>
      </c>
      <c r="O297" s="2807">
        <f t="shared" si="14"/>
        <v>52.93</v>
      </c>
      <c r="P297" s="1414" t="s">
        <v>4547</v>
      </c>
      <c r="Q297" s="1414" t="s">
        <v>4547</v>
      </c>
    </row>
    <row r="298" spans="1:17">
      <c r="A298" s="1414">
        <v>296</v>
      </c>
      <c r="B298" s="1414" t="s">
        <v>3742</v>
      </c>
      <c r="C298" s="1414">
        <v>52.93</v>
      </c>
      <c r="I298" s="2807">
        <f t="shared" si="12"/>
        <v>297</v>
      </c>
      <c r="J298" s="2807" t="s">
        <v>4545</v>
      </c>
      <c r="K298" s="1414" t="s">
        <v>4504</v>
      </c>
      <c r="L298" s="2807" t="str">
        <f t="shared" si="13"/>
        <v>B3116</v>
      </c>
      <c r="M298" s="2807">
        <v>8</v>
      </c>
      <c r="N298" s="2807">
        <v>-3</v>
      </c>
      <c r="O298" s="2807">
        <f t="shared" si="14"/>
        <v>52.93</v>
      </c>
      <c r="P298" s="1414" t="s">
        <v>4547</v>
      </c>
      <c r="Q298" s="1414" t="s">
        <v>4547</v>
      </c>
    </row>
    <row r="299" spans="1:17">
      <c r="A299" s="1414">
        <v>297</v>
      </c>
      <c r="B299" s="1414" t="s">
        <v>3743</v>
      </c>
      <c r="C299" s="1414">
        <v>52.93</v>
      </c>
      <c r="I299" s="2807">
        <f t="shared" si="12"/>
        <v>298</v>
      </c>
      <c r="J299" s="2807" t="s">
        <v>4545</v>
      </c>
      <c r="K299" s="1414" t="s">
        <v>4504</v>
      </c>
      <c r="L299" s="2807" t="str">
        <f t="shared" si="13"/>
        <v>B3117</v>
      </c>
      <c r="M299" s="2807">
        <v>8</v>
      </c>
      <c r="N299" s="2807">
        <v>-3</v>
      </c>
      <c r="O299" s="2807">
        <f t="shared" si="14"/>
        <v>52.93</v>
      </c>
      <c r="P299" s="1414" t="s">
        <v>4547</v>
      </c>
      <c r="Q299" s="1414" t="s">
        <v>4547</v>
      </c>
    </row>
    <row r="300" spans="1:17">
      <c r="A300" s="1414">
        <v>298</v>
      </c>
      <c r="B300" s="1414" t="s">
        <v>3744</v>
      </c>
      <c r="C300" s="1414">
        <v>52.93</v>
      </c>
      <c r="I300" s="2807">
        <f t="shared" si="12"/>
        <v>299</v>
      </c>
      <c r="J300" s="2807" t="s">
        <v>4545</v>
      </c>
      <c r="K300" s="1414" t="s">
        <v>4504</v>
      </c>
      <c r="L300" s="2807" t="str">
        <f t="shared" si="13"/>
        <v>B3118</v>
      </c>
      <c r="M300" s="2807">
        <v>8</v>
      </c>
      <c r="N300" s="2807">
        <v>-3</v>
      </c>
      <c r="O300" s="2807">
        <f t="shared" si="14"/>
        <v>52.93</v>
      </c>
      <c r="P300" s="1414" t="s">
        <v>4547</v>
      </c>
      <c r="Q300" s="1414" t="s">
        <v>4547</v>
      </c>
    </row>
    <row r="301" spans="1:17">
      <c r="A301" s="1414">
        <v>299</v>
      </c>
      <c r="B301" s="1414" t="s">
        <v>3745</v>
      </c>
      <c r="C301" s="1414">
        <v>52.93</v>
      </c>
      <c r="I301" s="2807">
        <f t="shared" si="12"/>
        <v>300</v>
      </c>
      <c r="J301" s="2807" t="s">
        <v>4545</v>
      </c>
      <c r="K301" s="1414" t="s">
        <v>4504</v>
      </c>
      <c r="L301" s="2807" t="str">
        <f t="shared" si="13"/>
        <v>B3119</v>
      </c>
      <c r="M301" s="2807">
        <v>8</v>
      </c>
      <c r="N301" s="2807">
        <v>-3</v>
      </c>
      <c r="O301" s="2807">
        <f t="shared" si="14"/>
        <v>52.93</v>
      </c>
      <c r="P301" s="1414" t="s">
        <v>4547</v>
      </c>
      <c r="Q301" s="1414" t="s">
        <v>4547</v>
      </c>
    </row>
    <row r="302" spans="1:17">
      <c r="A302" s="1414">
        <v>300</v>
      </c>
      <c r="B302" s="1414" t="s">
        <v>3746</v>
      </c>
      <c r="C302" s="1414">
        <v>52.93</v>
      </c>
      <c r="I302" s="2807">
        <f t="shared" si="12"/>
        <v>301</v>
      </c>
      <c r="J302" s="2807" t="s">
        <v>4545</v>
      </c>
      <c r="K302" s="1414" t="s">
        <v>4504</v>
      </c>
      <c r="L302" s="2807" t="str">
        <f t="shared" si="13"/>
        <v>B3120</v>
      </c>
      <c r="M302" s="2807">
        <v>8</v>
      </c>
      <c r="N302" s="2807">
        <v>-3</v>
      </c>
      <c r="O302" s="2807">
        <f t="shared" si="14"/>
        <v>52.93</v>
      </c>
      <c r="P302" s="1414" t="s">
        <v>4547</v>
      </c>
      <c r="Q302" s="1414" t="s">
        <v>4547</v>
      </c>
    </row>
    <row r="303" spans="1:17">
      <c r="A303" s="1414">
        <v>301</v>
      </c>
      <c r="B303" s="1414" t="s">
        <v>3747</v>
      </c>
      <c r="C303" s="1414">
        <v>52.93</v>
      </c>
      <c r="I303" s="2807">
        <f t="shared" si="12"/>
        <v>302</v>
      </c>
      <c r="J303" s="2807" t="s">
        <v>4545</v>
      </c>
      <c r="K303" s="1414" t="s">
        <v>4504</v>
      </c>
      <c r="L303" s="2807" t="str">
        <f t="shared" si="13"/>
        <v>B3121</v>
      </c>
      <c r="M303" s="2807">
        <v>8</v>
      </c>
      <c r="N303" s="2807">
        <v>-3</v>
      </c>
      <c r="O303" s="2807">
        <f t="shared" si="14"/>
        <v>52.93</v>
      </c>
      <c r="P303" s="1414" t="s">
        <v>4547</v>
      </c>
      <c r="Q303" s="1414" t="s">
        <v>4547</v>
      </c>
    </row>
    <row r="304" spans="1:17">
      <c r="A304" s="1414">
        <v>302</v>
      </c>
      <c r="B304" s="1414" t="s">
        <v>3748</v>
      </c>
      <c r="C304" s="1414">
        <v>52.93</v>
      </c>
      <c r="I304" s="2807">
        <f t="shared" si="12"/>
        <v>303</v>
      </c>
      <c r="J304" s="2807" t="s">
        <v>4545</v>
      </c>
      <c r="K304" s="1414" t="s">
        <v>4504</v>
      </c>
      <c r="L304" s="2807" t="str">
        <f t="shared" si="13"/>
        <v>B3122</v>
      </c>
      <c r="M304" s="2807">
        <v>8</v>
      </c>
      <c r="N304" s="2807">
        <v>-3</v>
      </c>
      <c r="O304" s="2807">
        <f t="shared" si="14"/>
        <v>52.93</v>
      </c>
      <c r="P304" s="1414" t="s">
        <v>4547</v>
      </c>
      <c r="Q304" s="1414" t="s">
        <v>4547</v>
      </c>
    </row>
    <row r="305" spans="1:17">
      <c r="A305" s="1414">
        <v>303</v>
      </c>
      <c r="B305" s="1414" t="s">
        <v>3749</v>
      </c>
      <c r="C305" s="1414">
        <v>52.93</v>
      </c>
      <c r="I305" s="2807">
        <f t="shared" si="12"/>
        <v>304</v>
      </c>
      <c r="J305" s="2807" t="s">
        <v>4545</v>
      </c>
      <c r="K305" s="1414" t="s">
        <v>4504</v>
      </c>
      <c r="L305" s="2807" t="str">
        <f t="shared" si="13"/>
        <v>B3123</v>
      </c>
      <c r="M305" s="2807">
        <v>8</v>
      </c>
      <c r="N305" s="2807">
        <v>-3</v>
      </c>
      <c r="O305" s="2807">
        <f t="shared" si="14"/>
        <v>52.93</v>
      </c>
      <c r="P305" s="1414" t="s">
        <v>4547</v>
      </c>
      <c r="Q305" s="1414" t="s">
        <v>4547</v>
      </c>
    </row>
    <row r="306" spans="1:17">
      <c r="A306" s="1414">
        <v>304</v>
      </c>
      <c r="B306" s="1414" t="s">
        <v>3750</v>
      </c>
      <c r="C306" s="1414">
        <v>52.93</v>
      </c>
      <c r="I306" s="2807">
        <f t="shared" si="12"/>
        <v>305</v>
      </c>
      <c r="J306" s="2807" t="s">
        <v>4545</v>
      </c>
      <c r="K306" s="1414" t="s">
        <v>4504</v>
      </c>
      <c r="L306" s="2807" t="str">
        <f t="shared" si="13"/>
        <v>B3124</v>
      </c>
      <c r="M306" s="2807">
        <v>8</v>
      </c>
      <c r="N306" s="2807">
        <v>-3</v>
      </c>
      <c r="O306" s="2807">
        <f t="shared" si="14"/>
        <v>52.93</v>
      </c>
      <c r="P306" s="1414" t="s">
        <v>4547</v>
      </c>
      <c r="Q306" s="1414" t="s">
        <v>4547</v>
      </c>
    </row>
    <row r="307" spans="1:17">
      <c r="A307" s="1414">
        <v>305</v>
      </c>
      <c r="B307" s="1414" t="s">
        <v>3751</v>
      </c>
      <c r="C307" s="1414">
        <v>52.93</v>
      </c>
      <c r="I307" s="2807">
        <f t="shared" si="12"/>
        <v>306</v>
      </c>
      <c r="J307" s="2807" t="s">
        <v>4545</v>
      </c>
      <c r="K307" s="1414" t="s">
        <v>4504</v>
      </c>
      <c r="L307" s="2807" t="str">
        <f t="shared" si="13"/>
        <v>B3125</v>
      </c>
      <c r="M307" s="2807">
        <v>8</v>
      </c>
      <c r="N307" s="2807">
        <v>-3</v>
      </c>
      <c r="O307" s="2807">
        <f t="shared" si="14"/>
        <v>52.93</v>
      </c>
      <c r="P307" s="1414" t="s">
        <v>4547</v>
      </c>
      <c r="Q307" s="1414" t="s">
        <v>4547</v>
      </c>
    </row>
    <row r="308" spans="1:17">
      <c r="A308" s="1414">
        <v>306</v>
      </c>
      <c r="B308" s="1414" t="s">
        <v>3752</v>
      </c>
      <c r="C308" s="1414">
        <v>52.93</v>
      </c>
      <c r="I308" s="2807">
        <f t="shared" si="12"/>
        <v>307</v>
      </c>
      <c r="J308" s="2807" t="s">
        <v>4545</v>
      </c>
      <c r="K308" s="1414" t="s">
        <v>4504</v>
      </c>
      <c r="L308" s="2807" t="str">
        <f t="shared" si="13"/>
        <v>B3126</v>
      </c>
      <c r="M308" s="2807">
        <v>8</v>
      </c>
      <c r="N308" s="2807">
        <v>-3</v>
      </c>
      <c r="O308" s="2807">
        <f t="shared" si="14"/>
        <v>52.93</v>
      </c>
      <c r="P308" s="1414" t="s">
        <v>4547</v>
      </c>
      <c r="Q308" s="1414" t="s">
        <v>4547</v>
      </c>
    </row>
    <row r="309" spans="1:17">
      <c r="A309" s="1414">
        <v>307</v>
      </c>
      <c r="B309" s="1414" t="s">
        <v>3753</v>
      </c>
      <c r="C309" s="1414">
        <v>52.93</v>
      </c>
      <c r="I309" s="2807">
        <f t="shared" si="12"/>
        <v>308</v>
      </c>
      <c r="J309" s="2807" t="s">
        <v>4545</v>
      </c>
      <c r="K309" s="1414" t="s">
        <v>4504</v>
      </c>
      <c r="L309" s="2807" t="str">
        <f t="shared" si="13"/>
        <v>B3127</v>
      </c>
      <c r="M309" s="2807">
        <v>8</v>
      </c>
      <c r="N309" s="2807">
        <v>-3</v>
      </c>
      <c r="O309" s="2807">
        <f t="shared" si="14"/>
        <v>52.93</v>
      </c>
      <c r="P309" s="1414" t="s">
        <v>4547</v>
      </c>
      <c r="Q309" s="1414" t="s">
        <v>4547</v>
      </c>
    </row>
    <row r="310" spans="1:17">
      <c r="A310" s="1414">
        <v>308</v>
      </c>
      <c r="B310" s="1414" t="s">
        <v>3754</v>
      </c>
      <c r="C310" s="1414">
        <v>52.93</v>
      </c>
      <c r="I310" s="2807">
        <f t="shared" si="12"/>
        <v>309</v>
      </c>
      <c r="J310" s="2807" t="s">
        <v>4545</v>
      </c>
      <c r="K310" s="1414" t="s">
        <v>4504</v>
      </c>
      <c r="L310" s="2807" t="str">
        <f t="shared" si="13"/>
        <v>B3128</v>
      </c>
      <c r="M310" s="2807">
        <v>8</v>
      </c>
      <c r="N310" s="2807">
        <v>-3</v>
      </c>
      <c r="O310" s="2807">
        <f t="shared" si="14"/>
        <v>52.93</v>
      </c>
      <c r="P310" s="1414" t="s">
        <v>4547</v>
      </c>
      <c r="Q310" s="1414" t="s">
        <v>4547</v>
      </c>
    </row>
    <row r="311" spans="1:17">
      <c r="A311" s="1414">
        <v>309</v>
      </c>
      <c r="B311" s="1414" t="s">
        <v>3755</v>
      </c>
      <c r="C311" s="1414">
        <v>52.93</v>
      </c>
      <c r="I311" s="2807">
        <f t="shared" si="12"/>
        <v>310</v>
      </c>
      <c r="J311" s="2807" t="s">
        <v>4545</v>
      </c>
      <c r="K311" s="1414" t="s">
        <v>4504</v>
      </c>
      <c r="L311" s="2807" t="str">
        <f t="shared" si="13"/>
        <v>B3129</v>
      </c>
      <c r="M311" s="2807">
        <v>8</v>
      </c>
      <c r="N311" s="2807">
        <v>-3</v>
      </c>
      <c r="O311" s="2807">
        <f t="shared" si="14"/>
        <v>50.93</v>
      </c>
      <c r="P311" s="1414" t="s">
        <v>4547</v>
      </c>
      <c r="Q311" s="1414" t="s">
        <v>4547</v>
      </c>
    </row>
    <row r="312" spans="1:17">
      <c r="A312" s="1414">
        <v>310</v>
      </c>
      <c r="B312" s="1414" t="s">
        <v>3756</v>
      </c>
      <c r="C312" s="1414">
        <v>50.93</v>
      </c>
      <c r="I312" s="2807">
        <f t="shared" si="12"/>
        <v>311</v>
      </c>
      <c r="J312" s="2807" t="s">
        <v>4545</v>
      </c>
      <c r="K312" s="1414" t="s">
        <v>4504</v>
      </c>
      <c r="L312" s="2807" t="str">
        <f t="shared" si="13"/>
        <v>B3130</v>
      </c>
      <c r="M312" s="2807">
        <v>8</v>
      </c>
      <c r="N312" s="2807">
        <v>-3</v>
      </c>
      <c r="O312" s="2807">
        <f t="shared" si="14"/>
        <v>50.93</v>
      </c>
      <c r="P312" s="1414" t="s">
        <v>4547</v>
      </c>
      <c r="Q312" s="1414" t="s">
        <v>4547</v>
      </c>
    </row>
    <row r="313" spans="1:17">
      <c r="A313" s="1414">
        <v>311</v>
      </c>
      <c r="B313" s="1414" t="s">
        <v>3757</v>
      </c>
      <c r="C313" s="1414">
        <v>50.93</v>
      </c>
      <c r="I313" s="2807">
        <f t="shared" si="12"/>
        <v>312</v>
      </c>
      <c r="J313" s="2807" t="s">
        <v>4545</v>
      </c>
      <c r="K313" s="1414" t="s">
        <v>4504</v>
      </c>
      <c r="L313" s="2807" t="str">
        <f t="shared" si="13"/>
        <v>B3131</v>
      </c>
      <c r="M313" s="2807">
        <v>8</v>
      </c>
      <c r="N313" s="2807">
        <v>-3</v>
      </c>
      <c r="O313" s="2807">
        <f t="shared" si="14"/>
        <v>50.93</v>
      </c>
      <c r="P313" s="1414" t="s">
        <v>4547</v>
      </c>
      <c r="Q313" s="1414" t="s">
        <v>4547</v>
      </c>
    </row>
    <row r="314" spans="1:17">
      <c r="A314" s="1414">
        <v>312</v>
      </c>
      <c r="B314" s="1414" t="s">
        <v>3758</v>
      </c>
      <c r="C314" s="1414">
        <v>50.93</v>
      </c>
      <c r="I314" s="2807">
        <f t="shared" si="12"/>
        <v>313</v>
      </c>
      <c r="J314" s="2807" t="s">
        <v>4545</v>
      </c>
      <c r="K314" s="1414" t="s">
        <v>4504</v>
      </c>
      <c r="L314" s="2807" t="str">
        <f t="shared" si="13"/>
        <v>B3132</v>
      </c>
      <c r="M314" s="2807">
        <v>8</v>
      </c>
      <c r="N314" s="2807">
        <v>-3</v>
      </c>
      <c r="O314" s="2807">
        <f t="shared" si="14"/>
        <v>50.93</v>
      </c>
      <c r="P314" s="1414" t="s">
        <v>4547</v>
      </c>
      <c r="Q314" s="1414" t="s">
        <v>4547</v>
      </c>
    </row>
    <row r="315" spans="1:17">
      <c r="A315" s="1414">
        <v>313</v>
      </c>
      <c r="B315" s="1414" t="s">
        <v>3759</v>
      </c>
      <c r="C315" s="1414">
        <v>50.93</v>
      </c>
      <c r="I315" s="2807">
        <f t="shared" si="12"/>
        <v>314</v>
      </c>
      <c r="J315" s="2807" t="s">
        <v>4545</v>
      </c>
      <c r="K315" s="1414" t="s">
        <v>4504</v>
      </c>
      <c r="L315" s="2807" t="str">
        <f t="shared" si="13"/>
        <v>B3133</v>
      </c>
      <c r="M315" s="2807">
        <v>8</v>
      </c>
      <c r="N315" s="2807">
        <v>-3</v>
      </c>
      <c r="O315" s="2807">
        <f t="shared" si="14"/>
        <v>50.93</v>
      </c>
      <c r="P315" s="1414" t="s">
        <v>4547</v>
      </c>
      <c r="Q315" s="1414" t="s">
        <v>4547</v>
      </c>
    </row>
    <row r="316" spans="1:17">
      <c r="A316" s="1414">
        <v>314</v>
      </c>
      <c r="B316" s="1414" t="s">
        <v>3760</v>
      </c>
      <c r="C316" s="1414">
        <v>50.93</v>
      </c>
      <c r="I316" s="2807">
        <f t="shared" si="12"/>
        <v>315</v>
      </c>
      <c r="J316" s="2807" t="s">
        <v>4545</v>
      </c>
      <c r="K316" s="1414" t="s">
        <v>4504</v>
      </c>
      <c r="L316" s="2807" t="str">
        <f t="shared" si="13"/>
        <v>B3134</v>
      </c>
      <c r="M316" s="2807">
        <v>8</v>
      </c>
      <c r="N316" s="2807">
        <v>-3</v>
      </c>
      <c r="O316" s="2807">
        <f t="shared" si="14"/>
        <v>50.93</v>
      </c>
      <c r="P316" s="1414" t="s">
        <v>4547</v>
      </c>
      <c r="Q316" s="1414" t="s">
        <v>4547</v>
      </c>
    </row>
    <row r="317" spans="1:17">
      <c r="A317" s="1414">
        <v>315</v>
      </c>
      <c r="B317" s="1414" t="s">
        <v>3761</v>
      </c>
      <c r="C317" s="1414">
        <v>50.93</v>
      </c>
      <c r="I317" s="2807">
        <f t="shared" si="12"/>
        <v>316</v>
      </c>
      <c r="J317" s="2807" t="s">
        <v>4545</v>
      </c>
      <c r="K317" s="1414" t="s">
        <v>4504</v>
      </c>
      <c r="L317" s="2807" t="str">
        <f t="shared" si="13"/>
        <v>B3135</v>
      </c>
      <c r="M317" s="2807">
        <v>8</v>
      </c>
      <c r="N317" s="2807">
        <v>-3</v>
      </c>
      <c r="O317" s="2807">
        <f t="shared" si="14"/>
        <v>50.93</v>
      </c>
      <c r="P317" s="1414" t="s">
        <v>4547</v>
      </c>
      <c r="Q317" s="1414" t="s">
        <v>4547</v>
      </c>
    </row>
    <row r="318" spans="1:17">
      <c r="A318" s="1414">
        <v>316</v>
      </c>
      <c r="B318" s="1414" t="s">
        <v>3762</v>
      </c>
      <c r="C318" s="1414">
        <v>50.93</v>
      </c>
      <c r="I318" s="2807">
        <f t="shared" si="12"/>
        <v>317</v>
      </c>
      <c r="J318" s="2807" t="s">
        <v>4545</v>
      </c>
      <c r="K318" s="1414" t="s">
        <v>4504</v>
      </c>
      <c r="L318" s="2807" t="str">
        <f t="shared" si="13"/>
        <v>B3136</v>
      </c>
      <c r="M318" s="2807">
        <v>8</v>
      </c>
      <c r="N318" s="2807">
        <v>-3</v>
      </c>
      <c r="O318" s="2807">
        <f t="shared" si="14"/>
        <v>52.93</v>
      </c>
      <c r="P318" s="1414" t="s">
        <v>4547</v>
      </c>
      <c r="Q318" s="1414" t="s">
        <v>4547</v>
      </c>
    </row>
    <row r="319" spans="1:17">
      <c r="A319" s="1414">
        <v>317</v>
      </c>
      <c r="B319" s="1414" t="s">
        <v>3763</v>
      </c>
      <c r="C319" s="1414">
        <v>52.93</v>
      </c>
      <c r="I319" s="2807">
        <f t="shared" si="12"/>
        <v>318</v>
      </c>
      <c r="J319" s="2807" t="s">
        <v>4545</v>
      </c>
      <c r="K319" s="1414" t="s">
        <v>4504</v>
      </c>
      <c r="L319" s="2807" t="str">
        <f t="shared" si="13"/>
        <v>B3137</v>
      </c>
      <c r="M319" s="2807">
        <v>8</v>
      </c>
      <c r="N319" s="2807">
        <v>-3</v>
      </c>
      <c r="O319" s="2807">
        <f t="shared" si="14"/>
        <v>52.93</v>
      </c>
      <c r="P319" s="1414" t="s">
        <v>4547</v>
      </c>
      <c r="Q319" s="1414" t="s">
        <v>4547</v>
      </c>
    </row>
    <row r="320" spans="1:17">
      <c r="A320" s="1414">
        <v>318</v>
      </c>
      <c r="B320" s="1414" t="s">
        <v>3764</v>
      </c>
      <c r="C320" s="1414">
        <v>52.93</v>
      </c>
      <c r="I320" s="2807">
        <f t="shared" si="12"/>
        <v>319</v>
      </c>
      <c r="J320" s="2807" t="s">
        <v>4545</v>
      </c>
      <c r="K320" s="1414" t="s">
        <v>4504</v>
      </c>
      <c r="L320" s="2807" t="str">
        <f t="shared" si="13"/>
        <v>B3138</v>
      </c>
      <c r="M320" s="2807">
        <v>8</v>
      </c>
      <c r="N320" s="2807">
        <v>-3</v>
      </c>
      <c r="O320" s="2807">
        <f t="shared" si="14"/>
        <v>52.93</v>
      </c>
      <c r="P320" s="1414" t="s">
        <v>4547</v>
      </c>
      <c r="Q320" s="1414" t="s">
        <v>4547</v>
      </c>
    </row>
    <row r="321" spans="1:17">
      <c r="A321" s="1414">
        <v>319</v>
      </c>
      <c r="B321" s="1414" t="s">
        <v>3765</v>
      </c>
      <c r="C321" s="1414">
        <v>52.93</v>
      </c>
      <c r="I321" s="2807">
        <f t="shared" si="12"/>
        <v>320</v>
      </c>
      <c r="J321" s="2807" t="s">
        <v>4545</v>
      </c>
      <c r="K321" s="1414" t="s">
        <v>4504</v>
      </c>
      <c r="L321" s="2807" t="str">
        <f t="shared" si="13"/>
        <v>B3139</v>
      </c>
      <c r="M321" s="2807">
        <v>8</v>
      </c>
      <c r="N321" s="2807">
        <v>-3</v>
      </c>
      <c r="O321" s="2807">
        <f t="shared" si="14"/>
        <v>50.93</v>
      </c>
      <c r="P321" s="1414" t="s">
        <v>4547</v>
      </c>
      <c r="Q321" s="1414" t="s">
        <v>4547</v>
      </c>
    </row>
    <row r="322" spans="1:17">
      <c r="A322" s="1414">
        <v>320</v>
      </c>
      <c r="B322" s="1414" t="s">
        <v>3766</v>
      </c>
      <c r="C322" s="1414">
        <v>50.93</v>
      </c>
      <c r="I322" s="2807">
        <f t="shared" si="12"/>
        <v>321</v>
      </c>
      <c r="J322" s="2807" t="s">
        <v>4545</v>
      </c>
      <c r="K322" s="1414" t="s">
        <v>4504</v>
      </c>
      <c r="L322" s="2807" t="str">
        <f t="shared" si="13"/>
        <v>B3140</v>
      </c>
      <c r="M322" s="2807">
        <v>8</v>
      </c>
      <c r="N322" s="2807">
        <v>-3</v>
      </c>
      <c r="O322" s="2807">
        <f t="shared" si="14"/>
        <v>50.93</v>
      </c>
      <c r="P322" s="1414" t="s">
        <v>4547</v>
      </c>
      <c r="Q322" s="1414" t="s">
        <v>4547</v>
      </c>
    </row>
    <row r="323" spans="1:17">
      <c r="A323" s="1414">
        <v>321</v>
      </c>
      <c r="B323" s="1414" t="s">
        <v>3767</v>
      </c>
      <c r="C323" s="1414">
        <v>50.93</v>
      </c>
      <c r="I323" s="2807">
        <f t="shared" ref="I323:I386" si="15">A324</f>
        <v>322</v>
      </c>
      <c r="J323" s="2807" t="s">
        <v>4545</v>
      </c>
      <c r="K323" s="1414" t="s">
        <v>4504</v>
      </c>
      <c r="L323" s="2807" t="str">
        <f t="shared" ref="L323:L386" si="16">B324</f>
        <v>B3141</v>
      </c>
      <c r="M323" s="2807">
        <v>8</v>
      </c>
      <c r="N323" s="2807">
        <v>-3</v>
      </c>
      <c r="O323" s="2807">
        <f t="shared" ref="O323:O386" si="17">C324</f>
        <v>50.93</v>
      </c>
      <c r="P323" s="1414" t="s">
        <v>4547</v>
      </c>
      <c r="Q323" s="1414" t="s">
        <v>4547</v>
      </c>
    </row>
    <row r="324" spans="1:17">
      <c r="A324" s="1414">
        <v>322</v>
      </c>
      <c r="B324" s="1414" t="s">
        <v>3768</v>
      </c>
      <c r="C324" s="1414">
        <v>50.93</v>
      </c>
      <c r="I324" s="2807">
        <f t="shared" si="15"/>
        <v>323</v>
      </c>
      <c r="J324" s="2807" t="s">
        <v>4545</v>
      </c>
      <c r="K324" s="1414" t="s">
        <v>4504</v>
      </c>
      <c r="L324" s="2807" t="str">
        <f t="shared" si="16"/>
        <v>B3142</v>
      </c>
      <c r="M324" s="2807">
        <v>8</v>
      </c>
      <c r="N324" s="2807">
        <v>-3</v>
      </c>
      <c r="O324" s="2807">
        <f t="shared" si="17"/>
        <v>50.93</v>
      </c>
      <c r="P324" s="1414" t="s">
        <v>4547</v>
      </c>
      <c r="Q324" s="1414" t="s">
        <v>4547</v>
      </c>
    </row>
    <row r="325" spans="1:17">
      <c r="A325" s="1414">
        <v>323</v>
      </c>
      <c r="B325" s="1414" t="s">
        <v>3769</v>
      </c>
      <c r="C325" s="1414">
        <v>50.93</v>
      </c>
      <c r="I325" s="2807">
        <f t="shared" si="15"/>
        <v>324</v>
      </c>
      <c r="J325" s="2807" t="s">
        <v>4545</v>
      </c>
      <c r="K325" s="1414" t="s">
        <v>4504</v>
      </c>
      <c r="L325" s="2807" t="str">
        <f t="shared" si="16"/>
        <v>B3143</v>
      </c>
      <c r="M325" s="2807">
        <v>8</v>
      </c>
      <c r="N325" s="2807">
        <v>-3</v>
      </c>
      <c r="O325" s="2807">
        <f t="shared" si="17"/>
        <v>50.93</v>
      </c>
      <c r="P325" s="1414" t="s">
        <v>4547</v>
      </c>
      <c r="Q325" s="1414" t="s">
        <v>4547</v>
      </c>
    </row>
    <row r="326" spans="1:17">
      <c r="A326" s="1414">
        <v>324</v>
      </c>
      <c r="B326" s="1414" t="s">
        <v>3770</v>
      </c>
      <c r="C326" s="1414">
        <v>50.93</v>
      </c>
      <c r="I326" s="2807">
        <f t="shared" si="15"/>
        <v>325</v>
      </c>
      <c r="J326" s="2807" t="s">
        <v>4545</v>
      </c>
      <c r="K326" s="1414" t="s">
        <v>4504</v>
      </c>
      <c r="L326" s="2807" t="str">
        <f t="shared" si="16"/>
        <v>B3144</v>
      </c>
      <c r="M326" s="2807">
        <v>8</v>
      </c>
      <c r="N326" s="2807">
        <v>-3</v>
      </c>
      <c r="O326" s="2807">
        <f t="shared" si="17"/>
        <v>50.93</v>
      </c>
      <c r="P326" s="1414" t="s">
        <v>4547</v>
      </c>
      <c r="Q326" s="1414" t="s">
        <v>4547</v>
      </c>
    </row>
    <row r="327" spans="1:17">
      <c r="A327" s="1414">
        <v>325</v>
      </c>
      <c r="B327" s="1414" t="s">
        <v>3771</v>
      </c>
      <c r="C327" s="1414">
        <v>50.93</v>
      </c>
      <c r="I327" s="2807">
        <f t="shared" si="15"/>
        <v>326</v>
      </c>
      <c r="J327" s="2807" t="s">
        <v>4545</v>
      </c>
      <c r="K327" s="1414" t="s">
        <v>4504</v>
      </c>
      <c r="L327" s="2807" t="str">
        <f t="shared" si="16"/>
        <v>B3145</v>
      </c>
      <c r="M327" s="2807">
        <v>8</v>
      </c>
      <c r="N327" s="2807">
        <v>-3</v>
      </c>
      <c r="O327" s="2807">
        <f t="shared" si="17"/>
        <v>50.93</v>
      </c>
      <c r="P327" s="1414" t="s">
        <v>4547</v>
      </c>
      <c r="Q327" s="1414" t="s">
        <v>4547</v>
      </c>
    </row>
    <row r="328" spans="1:17">
      <c r="A328" s="1414">
        <v>326</v>
      </c>
      <c r="B328" s="1414" t="s">
        <v>3772</v>
      </c>
      <c r="C328" s="1414">
        <v>50.93</v>
      </c>
      <c r="I328" s="2807">
        <f t="shared" si="15"/>
        <v>327</v>
      </c>
      <c r="J328" s="2807" t="s">
        <v>4545</v>
      </c>
      <c r="K328" s="1414" t="s">
        <v>4504</v>
      </c>
      <c r="L328" s="2807" t="str">
        <f t="shared" si="16"/>
        <v>B3146</v>
      </c>
      <c r="M328" s="2807">
        <v>8</v>
      </c>
      <c r="N328" s="2807">
        <v>-3</v>
      </c>
      <c r="O328" s="2807">
        <f t="shared" si="17"/>
        <v>50.93</v>
      </c>
      <c r="P328" s="1414" t="s">
        <v>4547</v>
      </c>
      <c r="Q328" s="1414" t="s">
        <v>4547</v>
      </c>
    </row>
    <row r="329" spans="1:17">
      <c r="A329" s="1414">
        <v>327</v>
      </c>
      <c r="B329" s="1414" t="s">
        <v>3773</v>
      </c>
      <c r="C329" s="1414">
        <v>50.93</v>
      </c>
      <c r="I329" s="2807">
        <f t="shared" si="15"/>
        <v>328</v>
      </c>
      <c r="J329" s="2807" t="s">
        <v>4545</v>
      </c>
      <c r="K329" s="1414" t="s">
        <v>4504</v>
      </c>
      <c r="L329" s="2807" t="str">
        <f t="shared" si="16"/>
        <v>B3147</v>
      </c>
      <c r="M329" s="2807">
        <v>8</v>
      </c>
      <c r="N329" s="2807">
        <v>-3</v>
      </c>
      <c r="O329" s="2807">
        <f t="shared" si="17"/>
        <v>50.93</v>
      </c>
      <c r="P329" s="1414" t="s">
        <v>4547</v>
      </c>
      <c r="Q329" s="1414" t="s">
        <v>4547</v>
      </c>
    </row>
    <row r="330" spans="1:17">
      <c r="A330" s="1414">
        <v>328</v>
      </c>
      <c r="B330" s="1414" t="s">
        <v>3774</v>
      </c>
      <c r="C330" s="1414">
        <v>50.93</v>
      </c>
      <c r="I330" s="2807">
        <f t="shared" si="15"/>
        <v>329</v>
      </c>
      <c r="J330" s="2807" t="s">
        <v>4545</v>
      </c>
      <c r="K330" s="1414" t="s">
        <v>4504</v>
      </c>
      <c r="L330" s="2807" t="str">
        <f t="shared" si="16"/>
        <v>B3148</v>
      </c>
      <c r="M330" s="2807">
        <v>8</v>
      </c>
      <c r="N330" s="2807">
        <v>-3</v>
      </c>
      <c r="O330" s="2807">
        <f t="shared" si="17"/>
        <v>50.93</v>
      </c>
      <c r="P330" s="1414" t="s">
        <v>4547</v>
      </c>
      <c r="Q330" s="1414" t="s">
        <v>4547</v>
      </c>
    </row>
    <row r="331" spans="1:17">
      <c r="A331" s="1414">
        <v>329</v>
      </c>
      <c r="B331" s="1414" t="s">
        <v>3775</v>
      </c>
      <c r="C331" s="1414">
        <v>50.93</v>
      </c>
      <c r="I331" s="2807">
        <f t="shared" si="15"/>
        <v>330</v>
      </c>
      <c r="J331" s="2807" t="s">
        <v>4545</v>
      </c>
      <c r="K331" s="2807" t="s">
        <v>4504</v>
      </c>
      <c r="L331" s="2807" t="str">
        <f t="shared" si="16"/>
        <v>B3149</v>
      </c>
      <c r="M331" s="2807">
        <v>8</v>
      </c>
      <c r="N331" s="2807">
        <v>-3</v>
      </c>
      <c r="O331" s="2807">
        <f t="shared" si="17"/>
        <v>50.93</v>
      </c>
      <c r="P331" s="1414" t="s">
        <v>4547</v>
      </c>
      <c r="Q331" s="1414" t="s">
        <v>4547</v>
      </c>
    </row>
    <row r="332" spans="1:17">
      <c r="A332" s="1414">
        <v>330</v>
      </c>
      <c r="B332" s="1414" t="s">
        <v>3776</v>
      </c>
      <c r="C332" s="1414">
        <v>50.93</v>
      </c>
      <c r="I332" s="2807">
        <f t="shared" si="15"/>
        <v>331</v>
      </c>
      <c r="J332" s="2807" t="s">
        <v>4545</v>
      </c>
      <c r="K332" s="2807" t="s">
        <v>4504</v>
      </c>
      <c r="L332" s="2807" t="str">
        <f t="shared" si="16"/>
        <v>B3150</v>
      </c>
      <c r="M332" s="2807">
        <v>8</v>
      </c>
      <c r="N332" s="2807">
        <v>-3</v>
      </c>
      <c r="O332" s="2807">
        <f t="shared" si="17"/>
        <v>50.93</v>
      </c>
      <c r="P332" s="1414" t="s">
        <v>4547</v>
      </c>
      <c r="Q332" s="1414" t="s">
        <v>4547</v>
      </c>
    </row>
    <row r="333" spans="1:17">
      <c r="A333" s="1414">
        <v>331</v>
      </c>
      <c r="B333" s="1414" t="s">
        <v>3777</v>
      </c>
      <c r="C333" s="1414">
        <v>50.93</v>
      </c>
      <c r="I333" s="2807">
        <f t="shared" si="15"/>
        <v>332</v>
      </c>
      <c r="J333" s="2807" t="s">
        <v>4545</v>
      </c>
      <c r="K333" s="2807" t="s">
        <v>4504</v>
      </c>
      <c r="L333" s="2807" t="str">
        <f t="shared" si="16"/>
        <v>B3151</v>
      </c>
      <c r="M333" s="2807">
        <v>8</v>
      </c>
      <c r="N333" s="2807">
        <v>-3</v>
      </c>
      <c r="O333" s="2807">
        <f t="shared" si="17"/>
        <v>50.93</v>
      </c>
      <c r="P333" s="1414" t="s">
        <v>4547</v>
      </c>
      <c r="Q333" s="1414" t="s">
        <v>4547</v>
      </c>
    </row>
    <row r="334" spans="1:17">
      <c r="A334" s="1414">
        <v>332</v>
      </c>
      <c r="B334" s="1414" t="s">
        <v>3778</v>
      </c>
      <c r="C334" s="1414">
        <v>50.93</v>
      </c>
      <c r="I334" s="2807">
        <f t="shared" si="15"/>
        <v>333</v>
      </c>
      <c r="J334" s="2807" t="s">
        <v>4545</v>
      </c>
      <c r="K334" s="2807" t="s">
        <v>4504</v>
      </c>
      <c r="L334" s="2807" t="str">
        <f t="shared" si="16"/>
        <v>B3152</v>
      </c>
      <c r="M334" s="2807">
        <v>8</v>
      </c>
      <c r="N334" s="2807">
        <v>-3</v>
      </c>
      <c r="O334" s="2807">
        <f t="shared" si="17"/>
        <v>50.93</v>
      </c>
      <c r="P334" s="1414" t="s">
        <v>4547</v>
      </c>
      <c r="Q334" s="1414" t="s">
        <v>4547</v>
      </c>
    </row>
    <row r="335" spans="1:17">
      <c r="A335" s="1414">
        <v>333</v>
      </c>
      <c r="B335" s="1414" t="s">
        <v>3779</v>
      </c>
      <c r="C335" s="1414">
        <v>50.93</v>
      </c>
      <c r="I335" s="2807">
        <f t="shared" si="15"/>
        <v>334</v>
      </c>
      <c r="J335" s="2807" t="s">
        <v>4545</v>
      </c>
      <c r="K335" s="2807" t="s">
        <v>4504</v>
      </c>
      <c r="L335" s="2807" t="str">
        <f t="shared" si="16"/>
        <v>B3153</v>
      </c>
      <c r="M335" s="2807">
        <v>8</v>
      </c>
      <c r="N335" s="2807">
        <v>-3</v>
      </c>
      <c r="O335" s="2807">
        <f t="shared" si="17"/>
        <v>50.93</v>
      </c>
      <c r="P335" s="1414" t="s">
        <v>4547</v>
      </c>
      <c r="Q335" s="1414" t="s">
        <v>4547</v>
      </c>
    </row>
    <row r="336" spans="1:17">
      <c r="A336" s="1414">
        <v>334</v>
      </c>
      <c r="B336" s="1414" t="s">
        <v>3780</v>
      </c>
      <c r="C336" s="1414">
        <v>50.93</v>
      </c>
      <c r="I336" s="2807">
        <f t="shared" si="15"/>
        <v>335</v>
      </c>
      <c r="J336" s="2807" t="s">
        <v>4545</v>
      </c>
      <c r="K336" s="2807" t="s">
        <v>4504</v>
      </c>
      <c r="L336" s="2807" t="str">
        <f t="shared" si="16"/>
        <v>B3154</v>
      </c>
      <c r="M336" s="2807">
        <v>8</v>
      </c>
      <c r="N336" s="2807">
        <v>-3</v>
      </c>
      <c r="O336" s="2807">
        <f t="shared" si="17"/>
        <v>50.93</v>
      </c>
      <c r="P336" s="1414" t="s">
        <v>4547</v>
      </c>
      <c r="Q336" s="1414" t="s">
        <v>4547</v>
      </c>
    </row>
    <row r="337" spans="1:17">
      <c r="A337" s="1414">
        <v>335</v>
      </c>
      <c r="B337" s="1414" t="s">
        <v>3781</v>
      </c>
      <c r="C337" s="1414">
        <v>50.93</v>
      </c>
      <c r="I337" s="2807">
        <f t="shared" si="15"/>
        <v>336</v>
      </c>
      <c r="J337" s="2807" t="s">
        <v>4545</v>
      </c>
      <c r="K337" s="2807" t="s">
        <v>4504</v>
      </c>
      <c r="L337" s="2807" t="str">
        <f t="shared" si="16"/>
        <v>B3155</v>
      </c>
      <c r="M337" s="2807">
        <v>8</v>
      </c>
      <c r="N337" s="2807">
        <v>-3</v>
      </c>
      <c r="O337" s="2807">
        <f t="shared" si="17"/>
        <v>50.93</v>
      </c>
      <c r="P337" s="1414" t="s">
        <v>4547</v>
      </c>
      <c r="Q337" s="1414" t="s">
        <v>4547</v>
      </c>
    </row>
    <row r="338" spans="1:17">
      <c r="A338" s="1414">
        <v>336</v>
      </c>
      <c r="B338" s="1414" t="s">
        <v>3782</v>
      </c>
      <c r="C338" s="1414">
        <v>50.93</v>
      </c>
      <c r="I338" s="2807">
        <f t="shared" si="15"/>
        <v>337</v>
      </c>
      <c r="J338" s="2807" t="s">
        <v>4545</v>
      </c>
      <c r="K338" s="2807" t="s">
        <v>4504</v>
      </c>
      <c r="L338" s="2807" t="str">
        <f t="shared" si="16"/>
        <v>B3156</v>
      </c>
      <c r="M338" s="2807">
        <v>8</v>
      </c>
      <c r="N338" s="2807">
        <v>-3</v>
      </c>
      <c r="O338" s="2807">
        <f t="shared" si="17"/>
        <v>50.93</v>
      </c>
      <c r="P338" s="1414" t="s">
        <v>4547</v>
      </c>
      <c r="Q338" s="1414" t="s">
        <v>4547</v>
      </c>
    </row>
    <row r="339" spans="1:17">
      <c r="A339" s="1414">
        <v>337</v>
      </c>
      <c r="B339" s="1414" t="s">
        <v>3783</v>
      </c>
      <c r="C339" s="1414">
        <v>50.93</v>
      </c>
      <c r="I339" s="2807">
        <f t="shared" si="15"/>
        <v>338</v>
      </c>
      <c r="J339" s="2807" t="s">
        <v>4545</v>
      </c>
      <c r="K339" s="2807" t="s">
        <v>4504</v>
      </c>
      <c r="L339" s="2807" t="str">
        <f t="shared" si="16"/>
        <v>B3157</v>
      </c>
      <c r="M339" s="2807">
        <v>8</v>
      </c>
      <c r="N339" s="2807">
        <v>-3</v>
      </c>
      <c r="O339" s="2807">
        <f t="shared" si="17"/>
        <v>50.93</v>
      </c>
      <c r="P339" s="1414" t="s">
        <v>4547</v>
      </c>
      <c r="Q339" s="1414" t="s">
        <v>4547</v>
      </c>
    </row>
    <row r="340" spans="1:17">
      <c r="A340" s="1414">
        <v>338</v>
      </c>
      <c r="B340" s="1414" t="s">
        <v>3784</v>
      </c>
      <c r="C340" s="1414">
        <v>50.93</v>
      </c>
      <c r="I340" s="2807">
        <f t="shared" si="15"/>
        <v>339</v>
      </c>
      <c r="J340" s="2807" t="s">
        <v>4545</v>
      </c>
      <c r="K340" s="2807" t="s">
        <v>4504</v>
      </c>
      <c r="L340" s="2807" t="str">
        <f t="shared" si="16"/>
        <v>B3158</v>
      </c>
      <c r="M340" s="2807">
        <v>8</v>
      </c>
      <c r="N340" s="2807">
        <v>-3</v>
      </c>
      <c r="O340" s="2807">
        <f t="shared" si="17"/>
        <v>50.93</v>
      </c>
      <c r="P340" s="1414" t="s">
        <v>4547</v>
      </c>
      <c r="Q340" s="1414" t="s">
        <v>4547</v>
      </c>
    </row>
    <row r="341" spans="1:17">
      <c r="A341" s="1414">
        <v>339</v>
      </c>
      <c r="B341" s="1414" t="s">
        <v>3785</v>
      </c>
      <c r="C341" s="1414">
        <v>50.93</v>
      </c>
      <c r="I341" s="2807">
        <f t="shared" si="15"/>
        <v>340</v>
      </c>
      <c r="J341" s="2807" t="s">
        <v>4545</v>
      </c>
      <c r="K341" s="2807" t="s">
        <v>4504</v>
      </c>
      <c r="L341" s="2807" t="str">
        <f t="shared" si="16"/>
        <v>B3159</v>
      </c>
      <c r="M341" s="2807">
        <v>8</v>
      </c>
      <c r="N341" s="2807">
        <v>-3</v>
      </c>
      <c r="O341" s="2807">
        <f t="shared" si="17"/>
        <v>50.93</v>
      </c>
      <c r="P341" s="1414" t="s">
        <v>4547</v>
      </c>
      <c r="Q341" s="1414" t="s">
        <v>4547</v>
      </c>
    </row>
    <row r="342" spans="1:17">
      <c r="A342" s="1414">
        <v>340</v>
      </c>
      <c r="B342" s="1414" t="s">
        <v>3786</v>
      </c>
      <c r="C342" s="1414">
        <v>50.93</v>
      </c>
      <c r="I342" s="2807">
        <f t="shared" si="15"/>
        <v>341</v>
      </c>
      <c r="J342" s="2807" t="s">
        <v>4545</v>
      </c>
      <c r="K342" s="2807" t="s">
        <v>4504</v>
      </c>
      <c r="L342" s="2807" t="str">
        <f t="shared" si="16"/>
        <v>B3160</v>
      </c>
      <c r="M342" s="2807">
        <v>8</v>
      </c>
      <c r="N342" s="2807">
        <v>-3</v>
      </c>
      <c r="O342" s="2807">
        <f t="shared" si="17"/>
        <v>50.93</v>
      </c>
      <c r="P342" s="1414" t="s">
        <v>4547</v>
      </c>
      <c r="Q342" s="1414" t="s">
        <v>4547</v>
      </c>
    </row>
    <row r="343" spans="1:17">
      <c r="A343" s="1414">
        <v>341</v>
      </c>
      <c r="B343" s="1414" t="s">
        <v>3787</v>
      </c>
      <c r="C343" s="1414">
        <v>50.93</v>
      </c>
      <c r="I343" s="2807">
        <f t="shared" si="15"/>
        <v>342</v>
      </c>
      <c r="J343" s="2807" t="s">
        <v>4545</v>
      </c>
      <c r="K343" s="2807" t="s">
        <v>4504</v>
      </c>
      <c r="L343" s="2807" t="str">
        <f t="shared" si="16"/>
        <v>B3161</v>
      </c>
      <c r="M343" s="2807">
        <v>8</v>
      </c>
      <c r="N343" s="2807">
        <v>-3</v>
      </c>
      <c r="O343" s="2807">
        <f t="shared" si="17"/>
        <v>50.93</v>
      </c>
      <c r="P343" s="1414" t="s">
        <v>4547</v>
      </c>
      <c r="Q343" s="1414" t="s">
        <v>4547</v>
      </c>
    </row>
    <row r="344" spans="1:17">
      <c r="A344" s="1414">
        <v>342</v>
      </c>
      <c r="B344" s="1414" t="s">
        <v>3788</v>
      </c>
      <c r="C344" s="1414">
        <v>50.93</v>
      </c>
      <c r="I344" s="2807">
        <f t="shared" si="15"/>
        <v>343</v>
      </c>
      <c r="J344" s="2807" t="s">
        <v>4545</v>
      </c>
      <c r="K344" s="2807" t="s">
        <v>4504</v>
      </c>
      <c r="L344" s="2807" t="str">
        <f t="shared" si="16"/>
        <v>B3162</v>
      </c>
      <c r="M344" s="2807">
        <v>8</v>
      </c>
      <c r="N344" s="2807">
        <v>-3</v>
      </c>
      <c r="O344" s="2807">
        <f t="shared" si="17"/>
        <v>50.93</v>
      </c>
      <c r="P344" s="1414" t="s">
        <v>4547</v>
      </c>
      <c r="Q344" s="1414" t="s">
        <v>4547</v>
      </c>
    </row>
    <row r="345" spans="1:17">
      <c r="A345" s="1414">
        <v>343</v>
      </c>
      <c r="B345" s="1414" t="s">
        <v>3789</v>
      </c>
      <c r="C345" s="1414">
        <v>50.93</v>
      </c>
      <c r="I345" s="2807">
        <f t="shared" si="15"/>
        <v>344</v>
      </c>
      <c r="J345" s="2807" t="s">
        <v>4545</v>
      </c>
      <c r="K345" s="2807" t="s">
        <v>4504</v>
      </c>
      <c r="L345" s="2807" t="str">
        <f t="shared" si="16"/>
        <v>B3163</v>
      </c>
      <c r="M345" s="2807">
        <v>8</v>
      </c>
      <c r="N345" s="2807">
        <v>-3</v>
      </c>
      <c r="O345" s="2807">
        <f t="shared" si="17"/>
        <v>50.93</v>
      </c>
      <c r="P345" s="1414" t="s">
        <v>4547</v>
      </c>
      <c r="Q345" s="1414" t="s">
        <v>4547</v>
      </c>
    </row>
    <row r="346" spans="1:17">
      <c r="A346" s="1414">
        <v>344</v>
      </c>
      <c r="B346" s="1414" t="s">
        <v>3790</v>
      </c>
      <c r="C346" s="1414">
        <v>50.93</v>
      </c>
      <c r="I346" s="2807">
        <f t="shared" si="15"/>
        <v>345</v>
      </c>
      <c r="J346" s="2807" t="s">
        <v>4545</v>
      </c>
      <c r="K346" s="2807" t="s">
        <v>4504</v>
      </c>
      <c r="L346" s="2807" t="str">
        <f t="shared" si="16"/>
        <v>B3164</v>
      </c>
      <c r="M346" s="2807">
        <v>8</v>
      </c>
      <c r="N346" s="2807">
        <v>-3</v>
      </c>
      <c r="O346" s="2807">
        <f t="shared" si="17"/>
        <v>50.93</v>
      </c>
      <c r="P346" s="1414" t="s">
        <v>4547</v>
      </c>
      <c r="Q346" s="1414" t="s">
        <v>4547</v>
      </c>
    </row>
    <row r="347" spans="1:17">
      <c r="A347" s="1414">
        <v>345</v>
      </c>
      <c r="B347" s="1414" t="s">
        <v>3791</v>
      </c>
      <c r="C347" s="1414">
        <v>50.93</v>
      </c>
      <c r="I347" s="2807">
        <f t="shared" si="15"/>
        <v>346</v>
      </c>
      <c r="J347" s="2807" t="s">
        <v>4545</v>
      </c>
      <c r="K347" s="2807" t="s">
        <v>4504</v>
      </c>
      <c r="L347" s="2807" t="str">
        <f t="shared" si="16"/>
        <v>B3165</v>
      </c>
      <c r="M347" s="2807">
        <v>8</v>
      </c>
      <c r="N347" s="2807">
        <v>-3</v>
      </c>
      <c r="O347" s="2807">
        <f t="shared" si="17"/>
        <v>50.93</v>
      </c>
      <c r="P347" s="1414" t="s">
        <v>4547</v>
      </c>
      <c r="Q347" s="1414" t="s">
        <v>4547</v>
      </c>
    </row>
    <row r="348" spans="1:17">
      <c r="A348" s="1414">
        <v>346</v>
      </c>
      <c r="B348" s="1414" t="s">
        <v>3792</v>
      </c>
      <c r="C348" s="1414">
        <v>50.93</v>
      </c>
      <c r="I348" s="2807">
        <f t="shared" si="15"/>
        <v>347</v>
      </c>
      <c r="J348" s="2807" t="s">
        <v>4545</v>
      </c>
      <c r="K348" s="2807" t="s">
        <v>4504</v>
      </c>
      <c r="L348" s="2807" t="str">
        <f t="shared" si="16"/>
        <v>B3166</v>
      </c>
      <c r="M348" s="2807">
        <v>8</v>
      </c>
      <c r="N348" s="2807">
        <v>-3</v>
      </c>
      <c r="O348" s="2807">
        <f t="shared" si="17"/>
        <v>52.93</v>
      </c>
      <c r="P348" s="1414" t="s">
        <v>4547</v>
      </c>
      <c r="Q348" s="1414" t="s">
        <v>4547</v>
      </c>
    </row>
    <row r="349" spans="1:17">
      <c r="A349" s="1414">
        <v>347</v>
      </c>
      <c r="B349" s="1414" t="s">
        <v>3793</v>
      </c>
      <c r="C349" s="1414">
        <v>52.93</v>
      </c>
      <c r="I349" s="2807">
        <f t="shared" si="15"/>
        <v>348</v>
      </c>
      <c r="J349" s="2807" t="s">
        <v>4545</v>
      </c>
      <c r="K349" s="2807" t="s">
        <v>4504</v>
      </c>
      <c r="L349" s="2807" t="str">
        <f t="shared" si="16"/>
        <v>B3167</v>
      </c>
      <c r="M349" s="2807">
        <v>8</v>
      </c>
      <c r="N349" s="2807">
        <v>-3</v>
      </c>
      <c r="O349" s="2807">
        <f t="shared" si="17"/>
        <v>52.93</v>
      </c>
      <c r="P349" s="1414" t="s">
        <v>4547</v>
      </c>
      <c r="Q349" s="1414" t="s">
        <v>4547</v>
      </c>
    </row>
    <row r="350" spans="1:17">
      <c r="A350" s="1414">
        <v>348</v>
      </c>
      <c r="B350" s="1414" t="s">
        <v>3794</v>
      </c>
      <c r="C350" s="1414">
        <v>52.93</v>
      </c>
      <c r="I350" s="2807">
        <f t="shared" si="15"/>
        <v>349</v>
      </c>
      <c r="J350" s="2807" t="s">
        <v>4545</v>
      </c>
      <c r="K350" s="2807" t="s">
        <v>4504</v>
      </c>
      <c r="L350" s="2807" t="str">
        <f t="shared" si="16"/>
        <v>B3168</v>
      </c>
      <c r="M350" s="2807">
        <v>8</v>
      </c>
      <c r="N350" s="2807">
        <v>-3</v>
      </c>
      <c r="O350" s="2807">
        <f t="shared" si="17"/>
        <v>52.93</v>
      </c>
      <c r="P350" s="1414" t="s">
        <v>4547</v>
      </c>
      <c r="Q350" s="1414" t="s">
        <v>4547</v>
      </c>
    </row>
    <row r="351" spans="1:17">
      <c r="A351" s="1414">
        <v>349</v>
      </c>
      <c r="B351" s="1414" t="s">
        <v>3795</v>
      </c>
      <c r="C351" s="1414">
        <v>52.93</v>
      </c>
      <c r="I351" s="2807">
        <f t="shared" si="15"/>
        <v>350</v>
      </c>
      <c r="J351" s="2807" t="s">
        <v>4545</v>
      </c>
      <c r="K351" s="2807" t="s">
        <v>4504</v>
      </c>
      <c r="L351" s="2807" t="str">
        <f t="shared" si="16"/>
        <v>B3169</v>
      </c>
      <c r="M351" s="2807">
        <v>8</v>
      </c>
      <c r="N351" s="2807">
        <v>-3</v>
      </c>
      <c r="O351" s="2807">
        <f t="shared" si="17"/>
        <v>50.93</v>
      </c>
      <c r="P351" s="1414" t="s">
        <v>4547</v>
      </c>
      <c r="Q351" s="1414" t="s">
        <v>4547</v>
      </c>
    </row>
    <row r="352" spans="1:17">
      <c r="A352" s="1414">
        <v>350</v>
      </c>
      <c r="B352" s="1414" t="s">
        <v>3796</v>
      </c>
      <c r="C352" s="1414">
        <v>50.93</v>
      </c>
      <c r="I352" s="2807">
        <f t="shared" si="15"/>
        <v>351</v>
      </c>
      <c r="J352" s="2807" t="s">
        <v>4545</v>
      </c>
      <c r="K352" s="2807" t="s">
        <v>4504</v>
      </c>
      <c r="L352" s="2807" t="str">
        <f t="shared" si="16"/>
        <v>B3170</v>
      </c>
      <c r="M352" s="2807">
        <v>8</v>
      </c>
      <c r="N352" s="2807">
        <v>-3</v>
      </c>
      <c r="O352" s="2807">
        <f t="shared" si="17"/>
        <v>50.93</v>
      </c>
      <c r="P352" s="1414" t="s">
        <v>4547</v>
      </c>
      <c r="Q352" s="1414" t="s">
        <v>4547</v>
      </c>
    </row>
    <row r="353" spans="1:17">
      <c r="A353" s="1414">
        <v>351</v>
      </c>
      <c r="B353" s="1414" t="s">
        <v>3797</v>
      </c>
      <c r="C353" s="1414">
        <v>50.93</v>
      </c>
      <c r="I353" s="2807">
        <f t="shared" si="15"/>
        <v>352</v>
      </c>
      <c r="J353" s="2807" t="s">
        <v>4545</v>
      </c>
      <c r="K353" s="2807" t="s">
        <v>4504</v>
      </c>
      <c r="L353" s="2807" t="str">
        <f t="shared" si="16"/>
        <v>B3171</v>
      </c>
      <c r="M353" s="2807">
        <v>8</v>
      </c>
      <c r="N353" s="2807">
        <v>-3</v>
      </c>
      <c r="O353" s="2807">
        <f t="shared" si="17"/>
        <v>50.93</v>
      </c>
      <c r="P353" s="1414" t="s">
        <v>4547</v>
      </c>
      <c r="Q353" s="1414" t="s">
        <v>4547</v>
      </c>
    </row>
    <row r="354" spans="1:17">
      <c r="A354" s="1414">
        <v>352</v>
      </c>
      <c r="B354" s="1414" t="s">
        <v>3798</v>
      </c>
      <c r="C354" s="1414">
        <v>50.93</v>
      </c>
      <c r="I354" s="2807">
        <f t="shared" si="15"/>
        <v>353</v>
      </c>
      <c r="J354" s="2807" t="s">
        <v>4545</v>
      </c>
      <c r="K354" s="2807" t="s">
        <v>4504</v>
      </c>
      <c r="L354" s="2807" t="str">
        <f t="shared" si="16"/>
        <v>B3172</v>
      </c>
      <c r="M354" s="2807">
        <v>8</v>
      </c>
      <c r="N354" s="2807">
        <v>-3</v>
      </c>
      <c r="O354" s="2807">
        <f t="shared" si="17"/>
        <v>50.93</v>
      </c>
      <c r="P354" s="1414" t="s">
        <v>4547</v>
      </c>
      <c r="Q354" s="1414" t="s">
        <v>4547</v>
      </c>
    </row>
    <row r="355" spans="1:17">
      <c r="A355" s="1414">
        <v>353</v>
      </c>
      <c r="B355" s="1414" t="s">
        <v>3799</v>
      </c>
      <c r="C355" s="1414">
        <v>50.93</v>
      </c>
      <c r="I355" s="2807">
        <f t="shared" si="15"/>
        <v>354</v>
      </c>
      <c r="J355" s="2807" t="s">
        <v>4545</v>
      </c>
      <c r="K355" s="2807" t="s">
        <v>4504</v>
      </c>
      <c r="L355" s="2807" t="str">
        <f t="shared" si="16"/>
        <v>B3173</v>
      </c>
      <c r="M355" s="2807">
        <v>8</v>
      </c>
      <c r="N355" s="2807">
        <v>-3</v>
      </c>
      <c r="O355" s="2807">
        <f t="shared" si="17"/>
        <v>50.93</v>
      </c>
      <c r="P355" s="1414" t="s">
        <v>4547</v>
      </c>
      <c r="Q355" s="1414" t="s">
        <v>4547</v>
      </c>
    </row>
    <row r="356" spans="1:17">
      <c r="A356" s="1414">
        <v>354</v>
      </c>
      <c r="B356" s="1414" t="s">
        <v>3800</v>
      </c>
      <c r="C356" s="1414">
        <v>50.93</v>
      </c>
      <c r="I356" s="2807">
        <f t="shared" si="15"/>
        <v>355</v>
      </c>
      <c r="J356" s="2807" t="s">
        <v>4545</v>
      </c>
      <c r="K356" s="2807" t="s">
        <v>4504</v>
      </c>
      <c r="L356" s="2807" t="str">
        <f t="shared" si="16"/>
        <v>B3174</v>
      </c>
      <c r="M356" s="2807">
        <v>8</v>
      </c>
      <c r="N356" s="2807">
        <v>-3</v>
      </c>
      <c r="O356" s="2807">
        <f t="shared" si="17"/>
        <v>50.93</v>
      </c>
      <c r="P356" s="1414" t="s">
        <v>4547</v>
      </c>
      <c r="Q356" s="1414" t="s">
        <v>4547</v>
      </c>
    </row>
    <row r="357" spans="1:17">
      <c r="A357" s="1414">
        <v>355</v>
      </c>
      <c r="B357" s="1414" t="s">
        <v>3801</v>
      </c>
      <c r="C357" s="1414">
        <v>50.93</v>
      </c>
      <c r="I357" s="2807">
        <f t="shared" si="15"/>
        <v>356</v>
      </c>
      <c r="J357" s="2807" t="s">
        <v>4545</v>
      </c>
      <c r="K357" s="2807" t="s">
        <v>4504</v>
      </c>
      <c r="L357" s="2807" t="str">
        <f t="shared" si="16"/>
        <v>B3175</v>
      </c>
      <c r="M357" s="2807">
        <v>8</v>
      </c>
      <c r="N357" s="2807">
        <v>-3</v>
      </c>
      <c r="O357" s="2807">
        <f t="shared" si="17"/>
        <v>50.93</v>
      </c>
      <c r="P357" s="1414" t="s">
        <v>4547</v>
      </c>
      <c r="Q357" s="1414" t="s">
        <v>4547</v>
      </c>
    </row>
    <row r="358" spans="1:17">
      <c r="A358" s="1414">
        <v>356</v>
      </c>
      <c r="B358" s="1414" t="s">
        <v>3802</v>
      </c>
      <c r="C358" s="1414">
        <v>50.93</v>
      </c>
      <c r="I358" s="2807">
        <f t="shared" si="15"/>
        <v>357</v>
      </c>
      <c r="J358" s="2807" t="s">
        <v>4545</v>
      </c>
      <c r="K358" s="2807" t="s">
        <v>4504</v>
      </c>
      <c r="L358" s="2807" t="str">
        <f t="shared" si="16"/>
        <v>B3176</v>
      </c>
      <c r="M358" s="2807">
        <v>8</v>
      </c>
      <c r="N358" s="2807">
        <v>-3</v>
      </c>
      <c r="O358" s="2807">
        <f t="shared" si="17"/>
        <v>59.92</v>
      </c>
      <c r="P358" s="1414" t="s">
        <v>4547</v>
      </c>
      <c r="Q358" s="1414" t="s">
        <v>4547</v>
      </c>
    </row>
    <row r="359" spans="1:17">
      <c r="A359" s="1414">
        <v>357</v>
      </c>
      <c r="B359" s="1414" t="s">
        <v>3803</v>
      </c>
      <c r="C359" s="1414">
        <v>59.92</v>
      </c>
      <c r="I359" s="2807">
        <f t="shared" si="15"/>
        <v>358</v>
      </c>
      <c r="J359" s="2807" t="s">
        <v>4545</v>
      </c>
      <c r="K359" s="2807" t="s">
        <v>4504</v>
      </c>
      <c r="L359" s="2807" t="str">
        <f t="shared" si="16"/>
        <v>B3177</v>
      </c>
      <c r="M359" s="2807">
        <v>8</v>
      </c>
      <c r="N359" s="2807">
        <v>-3</v>
      </c>
      <c r="O359" s="2807">
        <f t="shared" si="17"/>
        <v>59.92</v>
      </c>
      <c r="P359" s="1414" t="s">
        <v>4547</v>
      </c>
      <c r="Q359" s="1414" t="s">
        <v>4547</v>
      </c>
    </row>
    <row r="360" spans="1:17">
      <c r="A360" s="1414">
        <v>358</v>
      </c>
      <c r="B360" s="1414" t="s">
        <v>3804</v>
      </c>
      <c r="C360" s="1414">
        <v>59.92</v>
      </c>
      <c r="I360" s="2807">
        <f t="shared" si="15"/>
        <v>359</v>
      </c>
      <c r="J360" s="2807" t="s">
        <v>4545</v>
      </c>
      <c r="K360" s="2807" t="s">
        <v>4504</v>
      </c>
      <c r="L360" s="2807" t="str">
        <f t="shared" si="16"/>
        <v>B3178</v>
      </c>
      <c r="M360" s="2807">
        <v>8</v>
      </c>
      <c r="N360" s="2807">
        <v>-3</v>
      </c>
      <c r="O360" s="2807">
        <f t="shared" si="17"/>
        <v>59.92</v>
      </c>
      <c r="P360" s="1414" t="s">
        <v>4547</v>
      </c>
      <c r="Q360" s="1414" t="s">
        <v>4547</v>
      </c>
    </row>
    <row r="361" spans="1:17">
      <c r="A361" s="1414">
        <v>359</v>
      </c>
      <c r="B361" s="1414" t="s">
        <v>3805</v>
      </c>
      <c r="C361" s="1414">
        <v>59.92</v>
      </c>
      <c r="I361" s="2807">
        <f t="shared" si="15"/>
        <v>360</v>
      </c>
      <c r="J361" s="2807" t="s">
        <v>4545</v>
      </c>
      <c r="K361" s="2807" t="s">
        <v>4504</v>
      </c>
      <c r="L361" s="2807" t="str">
        <f t="shared" si="16"/>
        <v>B3179</v>
      </c>
      <c r="M361" s="2807">
        <v>8</v>
      </c>
      <c r="N361" s="2807">
        <v>-3</v>
      </c>
      <c r="O361" s="2807">
        <f t="shared" si="17"/>
        <v>59.92</v>
      </c>
      <c r="P361" s="1414" t="s">
        <v>4547</v>
      </c>
      <c r="Q361" s="1414" t="s">
        <v>4547</v>
      </c>
    </row>
    <row r="362" spans="1:17">
      <c r="A362" s="1414">
        <v>360</v>
      </c>
      <c r="B362" s="1414" t="s">
        <v>3806</v>
      </c>
      <c r="C362" s="1414">
        <v>59.92</v>
      </c>
      <c r="I362" s="2807">
        <f t="shared" si="15"/>
        <v>361</v>
      </c>
      <c r="J362" s="2807" t="s">
        <v>4545</v>
      </c>
      <c r="K362" s="2807" t="s">
        <v>4504</v>
      </c>
      <c r="L362" s="2807" t="str">
        <f t="shared" si="16"/>
        <v>B3180</v>
      </c>
      <c r="M362" s="2807">
        <v>8</v>
      </c>
      <c r="N362" s="2807">
        <v>-3</v>
      </c>
      <c r="O362" s="2807">
        <f t="shared" si="17"/>
        <v>52.93</v>
      </c>
      <c r="P362" s="1414" t="s">
        <v>4547</v>
      </c>
      <c r="Q362" s="1414" t="s">
        <v>4547</v>
      </c>
    </row>
    <row r="363" spans="1:17">
      <c r="A363" s="1414">
        <v>361</v>
      </c>
      <c r="B363" s="1414" t="s">
        <v>3807</v>
      </c>
      <c r="C363" s="1414">
        <v>52.93</v>
      </c>
      <c r="I363" s="2807">
        <f t="shared" si="15"/>
        <v>362</v>
      </c>
      <c r="J363" s="2807" t="s">
        <v>4545</v>
      </c>
      <c r="K363" s="2807" t="s">
        <v>4504</v>
      </c>
      <c r="L363" s="2807" t="str">
        <f t="shared" si="16"/>
        <v>B3181</v>
      </c>
      <c r="M363" s="2807">
        <v>8</v>
      </c>
      <c r="N363" s="2807">
        <v>-3</v>
      </c>
      <c r="O363" s="2807">
        <f t="shared" si="17"/>
        <v>52.93</v>
      </c>
      <c r="P363" s="1414" t="s">
        <v>4547</v>
      </c>
      <c r="Q363" s="1414" t="s">
        <v>4547</v>
      </c>
    </row>
    <row r="364" spans="1:17">
      <c r="A364" s="1414">
        <v>362</v>
      </c>
      <c r="B364" s="1414" t="s">
        <v>3808</v>
      </c>
      <c r="C364" s="1414">
        <v>52.93</v>
      </c>
      <c r="I364" s="2807">
        <f t="shared" si="15"/>
        <v>363</v>
      </c>
      <c r="J364" s="2807" t="s">
        <v>4545</v>
      </c>
      <c r="K364" s="2807" t="s">
        <v>4504</v>
      </c>
      <c r="L364" s="2807" t="str">
        <f t="shared" si="16"/>
        <v>B3182</v>
      </c>
      <c r="M364" s="2807">
        <v>8</v>
      </c>
      <c r="N364" s="2807">
        <v>-3</v>
      </c>
      <c r="O364" s="2807">
        <f t="shared" si="17"/>
        <v>52.93</v>
      </c>
      <c r="P364" s="1414" t="s">
        <v>4547</v>
      </c>
      <c r="Q364" s="1414" t="s">
        <v>4547</v>
      </c>
    </row>
    <row r="365" spans="1:17">
      <c r="A365" s="1414">
        <v>363</v>
      </c>
      <c r="B365" s="1414" t="s">
        <v>3809</v>
      </c>
      <c r="C365" s="1414">
        <v>52.93</v>
      </c>
      <c r="I365" s="2807">
        <f t="shared" si="15"/>
        <v>364</v>
      </c>
      <c r="J365" s="2807" t="s">
        <v>4545</v>
      </c>
      <c r="K365" s="2807" t="s">
        <v>4504</v>
      </c>
      <c r="L365" s="2807" t="str">
        <f t="shared" si="16"/>
        <v>B3183</v>
      </c>
      <c r="M365" s="2807">
        <v>8</v>
      </c>
      <c r="N365" s="2807">
        <v>-3</v>
      </c>
      <c r="O365" s="2807">
        <f t="shared" si="17"/>
        <v>52.93</v>
      </c>
      <c r="P365" s="1414" t="s">
        <v>4547</v>
      </c>
      <c r="Q365" s="1414" t="s">
        <v>4547</v>
      </c>
    </row>
    <row r="366" spans="1:17">
      <c r="A366" s="1414">
        <v>364</v>
      </c>
      <c r="B366" s="1414" t="s">
        <v>3810</v>
      </c>
      <c r="C366" s="1414">
        <v>52.93</v>
      </c>
      <c r="I366" s="2807">
        <f t="shared" si="15"/>
        <v>365</v>
      </c>
      <c r="J366" s="2807" t="s">
        <v>4545</v>
      </c>
      <c r="K366" s="2807" t="s">
        <v>4504</v>
      </c>
      <c r="L366" s="2807" t="str">
        <f t="shared" si="16"/>
        <v>B3184</v>
      </c>
      <c r="M366" s="2807">
        <v>8</v>
      </c>
      <c r="N366" s="2807">
        <v>-3</v>
      </c>
      <c r="O366" s="2807">
        <f t="shared" si="17"/>
        <v>52.93</v>
      </c>
      <c r="P366" s="1414" t="s">
        <v>4547</v>
      </c>
      <c r="Q366" s="1414" t="s">
        <v>4547</v>
      </c>
    </row>
    <row r="367" spans="1:17">
      <c r="A367" s="1414">
        <v>365</v>
      </c>
      <c r="B367" s="1414" t="s">
        <v>3811</v>
      </c>
      <c r="C367" s="1414">
        <v>52.93</v>
      </c>
      <c r="I367" s="2807">
        <f t="shared" si="15"/>
        <v>366</v>
      </c>
      <c r="J367" s="2807" t="s">
        <v>4545</v>
      </c>
      <c r="K367" s="2807" t="s">
        <v>4504</v>
      </c>
      <c r="L367" s="2807" t="str">
        <f t="shared" si="16"/>
        <v>B3185</v>
      </c>
      <c r="M367" s="2807">
        <v>8</v>
      </c>
      <c r="N367" s="2807">
        <v>-3</v>
      </c>
      <c r="O367" s="2807">
        <f t="shared" si="17"/>
        <v>50.93</v>
      </c>
      <c r="P367" s="1414" t="s">
        <v>4547</v>
      </c>
      <c r="Q367" s="1414" t="s">
        <v>4547</v>
      </c>
    </row>
    <row r="368" spans="1:17">
      <c r="A368" s="1414">
        <v>366</v>
      </c>
      <c r="B368" s="1414" t="s">
        <v>3812</v>
      </c>
      <c r="C368" s="1414">
        <v>50.93</v>
      </c>
      <c r="I368" s="2807">
        <f t="shared" si="15"/>
        <v>367</v>
      </c>
      <c r="J368" s="2807" t="s">
        <v>4545</v>
      </c>
      <c r="K368" s="2807" t="s">
        <v>4504</v>
      </c>
      <c r="L368" s="2807" t="str">
        <f t="shared" si="16"/>
        <v>B3186</v>
      </c>
      <c r="M368" s="2807">
        <v>8</v>
      </c>
      <c r="N368" s="2807">
        <v>-3</v>
      </c>
      <c r="O368" s="2807">
        <f t="shared" si="17"/>
        <v>50.93</v>
      </c>
      <c r="P368" s="1414" t="s">
        <v>4547</v>
      </c>
      <c r="Q368" s="1414" t="s">
        <v>4547</v>
      </c>
    </row>
    <row r="369" spans="1:17">
      <c r="A369" s="1414">
        <v>367</v>
      </c>
      <c r="B369" s="1414" t="s">
        <v>3813</v>
      </c>
      <c r="C369" s="1414">
        <v>50.93</v>
      </c>
      <c r="I369" s="2807">
        <f t="shared" si="15"/>
        <v>368</v>
      </c>
      <c r="J369" s="2807" t="s">
        <v>4545</v>
      </c>
      <c r="K369" s="2807" t="s">
        <v>4504</v>
      </c>
      <c r="L369" s="2807" t="str">
        <f t="shared" si="16"/>
        <v>B3187</v>
      </c>
      <c r="M369" s="2807">
        <v>8</v>
      </c>
      <c r="N369" s="2807">
        <v>-3</v>
      </c>
      <c r="O369" s="2807">
        <f t="shared" si="17"/>
        <v>50.93</v>
      </c>
      <c r="P369" s="1414" t="s">
        <v>4547</v>
      </c>
      <c r="Q369" s="1414" t="s">
        <v>4547</v>
      </c>
    </row>
    <row r="370" spans="1:17">
      <c r="A370" s="1414">
        <v>368</v>
      </c>
      <c r="B370" s="1414" t="s">
        <v>3814</v>
      </c>
      <c r="C370" s="1414">
        <v>50.93</v>
      </c>
      <c r="I370" s="2807">
        <f t="shared" si="15"/>
        <v>369</v>
      </c>
      <c r="J370" s="2807" t="s">
        <v>4545</v>
      </c>
      <c r="K370" s="2807" t="s">
        <v>4504</v>
      </c>
      <c r="L370" s="2807" t="str">
        <f t="shared" si="16"/>
        <v>B3188</v>
      </c>
      <c r="M370" s="2807">
        <v>8</v>
      </c>
      <c r="N370" s="2807">
        <v>-3</v>
      </c>
      <c r="O370" s="2807">
        <f t="shared" si="17"/>
        <v>50.93</v>
      </c>
      <c r="P370" s="1414" t="s">
        <v>4547</v>
      </c>
      <c r="Q370" s="1414" t="s">
        <v>4547</v>
      </c>
    </row>
    <row r="371" spans="1:17">
      <c r="A371" s="1414">
        <v>369</v>
      </c>
      <c r="B371" s="1414" t="s">
        <v>3815</v>
      </c>
      <c r="C371" s="1414">
        <v>50.93</v>
      </c>
      <c r="I371" s="2807">
        <f t="shared" si="15"/>
        <v>370</v>
      </c>
      <c r="J371" s="2807" t="s">
        <v>4545</v>
      </c>
      <c r="K371" s="2807" t="s">
        <v>4504</v>
      </c>
      <c r="L371" s="2807" t="str">
        <f t="shared" si="16"/>
        <v>B3189</v>
      </c>
      <c r="M371" s="2807">
        <v>8</v>
      </c>
      <c r="N371" s="2807">
        <v>-3</v>
      </c>
      <c r="O371" s="2807">
        <f t="shared" si="17"/>
        <v>50.93</v>
      </c>
      <c r="P371" s="1414" t="s">
        <v>4547</v>
      </c>
      <c r="Q371" s="1414" t="s">
        <v>4547</v>
      </c>
    </row>
    <row r="372" spans="1:17">
      <c r="A372" s="1414">
        <v>370</v>
      </c>
      <c r="B372" s="1414" t="s">
        <v>3816</v>
      </c>
      <c r="C372" s="1414">
        <v>50.93</v>
      </c>
      <c r="I372" s="2807">
        <f t="shared" si="15"/>
        <v>371</v>
      </c>
      <c r="J372" s="2807" t="s">
        <v>4545</v>
      </c>
      <c r="K372" s="2807" t="s">
        <v>4504</v>
      </c>
      <c r="L372" s="2807" t="str">
        <f t="shared" si="16"/>
        <v>B3190</v>
      </c>
      <c r="M372" s="2807">
        <v>8</v>
      </c>
      <c r="N372" s="2807">
        <v>-3</v>
      </c>
      <c r="O372" s="2807">
        <f t="shared" si="17"/>
        <v>50.93</v>
      </c>
      <c r="P372" s="1414" t="s">
        <v>4547</v>
      </c>
      <c r="Q372" s="1414" t="s">
        <v>4547</v>
      </c>
    </row>
    <row r="373" spans="1:17">
      <c r="A373" s="1414">
        <v>371</v>
      </c>
      <c r="B373" s="1414" t="s">
        <v>3817</v>
      </c>
      <c r="C373" s="1414">
        <v>50.93</v>
      </c>
      <c r="I373" s="2807">
        <f t="shared" si="15"/>
        <v>372</v>
      </c>
      <c r="J373" s="2807" t="s">
        <v>4545</v>
      </c>
      <c r="K373" s="2807" t="s">
        <v>4504</v>
      </c>
      <c r="L373" s="2807" t="str">
        <f t="shared" si="16"/>
        <v>B3191</v>
      </c>
      <c r="M373" s="2807">
        <v>8</v>
      </c>
      <c r="N373" s="2807">
        <v>-3</v>
      </c>
      <c r="O373" s="2807">
        <f t="shared" si="17"/>
        <v>50.93</v>
      </c>
      <c r="P373" s="1414" t="s">
        <v>4547</v>
      </c>
      <c r="Q373" s="1414" t="s">
        <v>4547</v>
      </c>
    </row>
    <row r="374" spans="1:17">
      <c r="A374" s="1414">
        <v>372</v>
      </c>
      <c r="B374" s="1414" t="s">
        <v>3818</v>
      </c>
      <c r="C374" s="1414">
        <v>50.93</v>
      </c>
      <c r="I374" s="2807">
        <f t="shared" si="15"/>
        <v>373</v>
      </c>
      <c r="J374" s="2807" t="s">
        <v>4545</v>
      </c>
      <c r="K374" s="2807" t="s">
        <v>4504</v>
      </c>
      <c r="L374" s="2807" t="str">
        <f t="shared" si="16"/>
        <v>B3192</v>
      </c>
      <c r="M374" s="2807">
        <v>8</v>
      </c>
      <c r="N374" s="2807">
        <v>-3</v>
      </c>
      <c r="O374" s="2807">
        <f t="shared" si="17"/>
        <v>50.93</v>
      </c>
      <c r="P374" s="1414" t="s">
        <v>4547</v>
      </c>
      <c r="Q374" s="1414" t="s">
        <v>4547</v>
      </c>
    </row>
    <row r="375" spans="1:17">
      <c r="A375" s="1414">
        <v>373</v>
      </c>
      <c r="B375" s="1414" t="s">
        <v>3819</v>
      </c>
      <c r="C375" s="1414">
        <v>50.93</v>
      </c>
      <c r="I375" s="2807">
        <f t="shared" si="15"/>
        <v>374</v>
      </c>
      <c r="J375" s="2807" t="s">
        <v>4545</v>
      </c>
      <c r="K375" s="2807" t="s">
        <v>4504</v>
      </c>
      <c r="L375" s="2807" t="str">
        <f t="shared" si="16"/>
        <v>B3193</v>
      </c>
      <c r="M375" s="2807">
        <v>8</v>
      </c>
      <c r="N375" s="2807">
        <v>-3</v>
      </c>
      <c r="O375" s="2807">
        <f t="shared" si="17"/>
        <v>50.93</v>
      </c>
      <c r="P375" s="1414" t="s">
        <v>4547</v>
      </c>
      <c r="Q375" s="1414" t="s">
        <v>4547</v>
      </c>
    </row>
    <row r="376" spans="1:17">
      <c r="A376" s="1414">
        <v>374</v>
      </c>
      <c r="B376" s="1414" t="s">
        <v>3820</v>
      </c>
      <c r="C376" s="1414">
        <v>50.93</v>
      </c>
      <c r="I376" s="2807">
        <f t="shared" si="15"/>
        <v>375</v>
      </c>
      <c r="J376" s="2807" t="s">
        <v>4545</v>
      </c>
      <c r="K376" s="2807" t="s">
        <v>4504</v>
      </c>
      <c r="L376" s="2807" t="str">
        <f t="shared" si="16"/>
        <v>B3194</v>
      </c>
      <c r="M376" s="2807">
        <v>8</v>
      </c>
      <c r="N376" s="2807">
        <v>-3</v>
      </c>
      <c r="O376" s="2807">
        <f t="shared" si="17"/>
        <v>50.93</v>
      </c>
      <c r="P376" s="1414" t="s">
        <v>4547</v>
      </c>
      <c r="Q376" s="1414" t="s">
        <v>4547</v>
      </c>
    </row>
    <row r="377" spans="1:17">
      <c r="A377" s="1414">
        <v>375</v>
      </c>
      <c r="B377" s="1414" t="s">
        <v>3821</v>
      </c>
      <c r="C377" s="1414">
        <v>50.93</v>
      </c>
      <c r="I377" s="2807">
        <f t="shared" si="15"/>
        <v>376</v>
      </c>
      <c r="J377" s="2807" t="s">
        <v>4545</v>
      </c>
      <c r="K377" s="2807" t="s">
        <v>4504</v>
      </c>
      <c r="L377" s="2807" t="str">
        <f t="shared" si="16"/>
        <v>B3195</v>
      </c>
      <c r="M377" s="2807">
        <v>8</v>
      </c>
      <c r="N377" s="2807">
        <v>-3</v>
      </c>
      <c r="O377" s="2807">
        <f t="shared" si="17"/>
        <v>50.93</v>
      </c>
      <c r="P377" s="1414" t="s">
        <v>4547</v>
      </c>
      <c r="Q377" s="1414" t="s">
        <v>4547</v>
      </c>
    </row>
    <row r="378" spans="1:17">
      <c r="A378" s="1414">
        <v>376</v>
      </c>
      <c r="B378" s="1414" t="s">
        <v>3822</v>
      </c>
      <c r="C378" s="1414">
        <v>50.93</v>
      </c>
      <c r="I378" s="2807">
        <f t="shared" si="15"/>
        <v>377</v>
      </c>
      <c r="J378" s="2807" t="s">
        <v>4545</v>
      </c>
      <c r="K378" s="2807" t="s">
        <v>4504</v>
      </c>
      <c r="L378" s="2807" t="str">
        <f t="shared" si="16"/>
        <v>B3196</v>
      </c>
      <c r="M378" s="2807">
        <v>8</v>
      </c>
      <c r="N378" s="2807">
        <v>-3</v>
      </c>
      <c r="O378" s="2807">
        <f t="shared" si="17"/>
        <v>50.93</v>
      </c>
      <c r="P378" s="1414" t="s">
        <v>4547</v>
      </c>
      <c r="Q378" s="1414" t="s">
        <v>4547</v>
      </c>
    </row>
    <row r="379" spans="1:17">
      <c r="A379" s="1414">
        <v>377</v>
      </c>
      <c r="B379" s="1414" t="s">
        <v>3823</v>
      </c>
      <c r="C379" s="1414">
        <v>50.93</v>
      </c>
      <c r="I379" s="2807">
        <f t="shared" si="15"/>
        <v>378</v>
      </c>
      <c r="J379" s="2807" t="s">
        <v>4545</v>
      </c>
      <c r="K379" s="2807" t="s">
        <v>4504</v>
      </c>
      <c r="L379" s="2807" t="str">
        <f t="shared" si="16"/>
        <v>B3197</v>
      </c>
      <c r="M379" s="2807">
        <v>8</v>
      </c>
      <c r="N379" s="2807">
        <v>-3</v>
      </c>
      <c r="O379" s="2807">
        <f t="shared" si="17"/>
        <v>50.93</v>
      </c>
      <c r="P379" s="1414" t="s">
        <v>4547</v>
      </c>
      <c r="Q379" s="1414" t="s">
        <v>4547</v>
      </c>
    </row>
    <row r="380" spans="1:17">
      <c r="A380" s="1414">
        <v>378</v>
      </c>
      <c r="B380" s="1414" t="s">
        <v>3824</v>
      </c>
      <c r="C380" s="1414">
        <v>50.93</v>
      </c>
      <c r="I380" s="2807">
        <f t="shared" si="15"/>
        <v>379</v>
      </c>
      <c r="J380" s="2807" t="s">
        <v>4545</v>
      </c>
      <c r="K380" s="2807" t="s">
        <v>4504</v>
      </c>
      <c r="L380" s="2807" t="str">
        <f t="shared" si="16"/>
        <v>B3198</v>
      </c>
      <c r="M380" s="2807">
        <v>8</v>
      </c>
      <c r="N380" s="2807">
        <v>-3</v>
      </c>
      <c r="O380" s="2807">
        <f t="shared" si="17"/>
        <v>50.93</v>
      </c>
      <c r="P380" s="1414" t="s">
        <v>4547</v>
      </c>
      <c r="Q380" s="1414" t="s">
        <v>4547</v>
      </c>
    </row>
    <row r="381" spans="1:17">
      <c r="A381" s="1414">
        <v>379</v>
      </c>
      <c r="B381" s="1414" t="s">
        <v>3825</v>
      </c>
      <c r="C381" s="1414">
        <v>50.93</v>
      </c>
      <c r="I381" s="2807">
        <f t="shared" si="15"/>
        <v>380</v>
      </c>
      <c r="J381" s="2807" t="s">
        <v>4545</v>
      </c>
      <c r="K381" s="2807" t="s">
        <v>4504</v>
      </c>
      <c r="L381" s="2807" t="str">
        <f t="shared" si="16"/>
        <v>B3199</v>
      </c>
      <c r="M381" s="2807">
        <v>8</v>
      </c>
      <c r="N381" s="2807">
        <v>-3</v>
      </c>
      <c r="O381" s="2807">
        <f t="shared" si="17"/>
        <v>50.93</v>
      </c>
      <c r="P381" s="1414" t="s">
        <v>4547</v>
      </c>
      <c r="Q381" s="1414" t="s">
        <v>4547</v>
      </c>
    </row>
    <row r="382" spans="1:17">
      <c r="A382" s="1414">
        <v>380</v>
      </c>
      <c r="B382" s="1414" t="s">
        <v>3826</v>
      </c>
      <c r="C382" s="1414">
        <v>50.93</v>
      </c>
      <c r="I382" s="2807">
        <f t="shared" si="15"/>
        <v>381</v>
      </c>
      <c r="J382" s="2807" t="s">
        <v>4545</v>
      </c>
      <c r="K382" s="2807" t="s">
        <v>4504</v>
      </c>
      <c r="L382" s="2807" t="str">
        <f t="shared" si="16"/>
        <v>B3200</v>
      </c>
      <c r="M382" s="2807">
        <v>8</v>
      </c>
      <c r="N382" s="2807">
        <v>-3</v>
      </c>
      <c r="O382" s="2807">
        <f t="shared" si="17"/>
        <v>50.93</v>
      </c>
      <c r="P382" s="1414" t="s">
        <v>4547</v>
      </c>
      <c r="Q382" s="1414" t="s">
        <v>4547</v>
      </c>
    </row>
    <row r="383" spans="1:17">
      <c r="A383" s="1414">
        <v>381</v>
      </c>
      <c r="B383" s="1414" t="s">
        <v>3827</v>
      </c>
      <c r="C383" s="1414">
        <v>50.93</v>
      </c>
      <c r="I383" s="2807">
        <f t="shared" si="15"/>
        <v>382</v>
      </c>
      <c r="J383" s="2807" t="s">
        <v>4545</v>
      </c>
      <c r="K383" s="2807" t="s">
        <v>4504</v>
      </c>
      <c r="L383" s="2807" t="str">
        <f t="shared" si="16"/>
        <v>B3201</v>
      </c>
      <c r="M383" s="2807">
        <v>8</v>
      </c>
      <c r="N383" s="2807">
        <v>-3</v>
      </c>
      <c r="O383" s="2807">
        <f t="shared" si="17"/>
        <v>50.93</v>
      </c>
      <c r="P383" s="1414" t="s">
        <v>4547</v>
      </c>
      <c r="Q383" s="1414" t="s">
        <v>4547</v>
      </c>
    </row>
    <row r="384" spans="1:17">
      <c r="A384" s="1414">
        <v>382</v>
      </c>
      <c r="B384" s="1414" t="s">
        <v>3828</v>
      </c>
      <c r="C384" s="1414">
        <v>50.93</v>
      </c>
      <c r="I384" s="2807">
        <f t="shared" si="15"/>
        <v>383</v>
      </c>
      <c r="J384" s="2807" t="s">
        <v>4545</v>
      </c>
      <c r="K384" s="2807" t="s">
        <v>4504</v>
      </c>
      <c r="L384" s="2807" t="str">
        <f t="shared" si="16"/>
        <v>B3202</v>
      </c>
      <c r="M384" s="2807">
        <v>8</v>
      </c>
      <c r="N384" s="2807">
        <v>-3</v>
      </c>
      <c r="O384" s="2807">
        <f t="shared" si="17"/>
        <v>50.93</v>
      </c>
      <c r="P384" s="1414" t="s">
        <v>4547</v>
      </c>
      <c r="Q384" s="1414" t="s">
        <v>4547</v>
      </c>
    </row>
    <row r="385" spans="1:17">
      <c r="A385" s="1414">
        <v>383</v>
      </c>
      <c r="B385" s="1414" t="s">
        <v>3829</v>
      </c>
      <c r="C385" s="1414">
        <v>50.93</v>
      </c>
      <c r="I385" s="2807">
        <f t="shared" si="15"/>
        <v>384</v>
      </c>
      <c r="J385" s="2807" t="s">
        <v>4545</v>
      </c>
      <c r="K385" s="2807" t="s">
        <v>4504</v>
      </c>
      <c r="L385" s="2807" t="str">
        <f t="shared" si="16"/>
        <v>B3203</v>
      </c>
      <c r="M385" s="2807">
        <v>8</v>
      </c>
      <c r="N385" s="2807">
        <v>-3</v>
      </c>
      <c r="O385" s="2807">
        <f t="shared" si="17"/>
        <v>50.93</v>
      </c>
      <c r="P385" s="1414" t="s">
        <v>4547</v>
      </c>
      <c r="Q385" s="1414" t="s">
        <v>4547</v>
      </c>
    </row>
    <row r="386" spans="1:17">
      <c r="A386" s="1414">
        <v>384</v>
      </c>
      <c r="B386" s="1414" t="s">
        <v>3830</v>
      </c>
      <c r="C386" s="1414">
        <v>50.93</v>
      </c>
      <c r="I386" s="2807">
        <f t="shared" si="15"/>
        <v>385</v>
      </c>
      <c r="J386" s="2807" t="s">
        <v>4545</v>
      </c>
      <c r="K386" s="2807" t="s">
        <v>4504</v>
      </c>
      <c r="L386" s="2807" t="str">
        <f t="shared" si="16"/>
        <v>B3204</v>
      </c>
      <c r="M386" s="2807">
        <v>8</v>
      </c>
      <c r="N386" s="2807">
        <v>-3</v>
      </c>
      <c r="O386" s="2807">
        <f t="shared" si="17"/>
        <v>50.93</v>
      </c>
      <c r="P386" s="1414" t="s">
        <v>4547</v>
      </c>
      <c r="Q386" s="1414" t="s">
        <v>4547</v>
      </c>
    </row>
    <row r="387" spans="1:17">
      <c r="A387" s="1414">
        <v>385</v>
      </c>
      <c r="B387" s="1414" t="s">
        <v>3831</v>
      </c>
      <c r="C387" s="1414">
        <v>50.93</v>
      </c>
      <c r="I387" s="2807">
        <f t="shared" ref="I387:I450" si="18">A388</f>
        <v>386</v>
      </c>
      <c r="J387" s="2807" t="s">
        <v>4545</v>
      </c>
      <c r="K387" s="2807" t="s">
        <v>4504</v>
      </c>
      <c r="L387" s="2807" t="str">
        <f t="shared" ref="L387:L450" si="19">B388</f>
        <v>B3205</v>
      </c>
      <c r="M387" s="2807">
        <v>8</v>
      </c>
      <c r="N387" s="2807">
        <v>-3</v>
      </c>
      <c r="O387" s="2807">
        <f t="shared" ref="O387:O450" si="20">C388</f>
        <v>50.93</v>
      </c>
      <c r="P387" s="1414" t="s">
        <v>4547</v>
      </c>
      <c r="Q387" s="1414" t="s">
        <v>4547</v>
      </c>
    </row>
    <row r="388" spans="1:17">
      <c r="A388" s="1414">
        <v>386</v>
      </c>
      <c r="B388" s="1414" t="s">
        <v>3832</v>
      </c>
      <c r="C388" s="1414">
        <v>50.93</v>
      </c>
      <c r="I388" s="2807">
        <f t="shared" si="18"/>
        <v>387</v>
      </c>
      <c r="J388" s="2807" t="s">
        <v>4545</v>
      </c>
      <c r="K388" s="2807" t="s">
        <v>4504</v>
      </c>
      <c r="L388" s="2807" t="str">
        <f t="shared" si="19"/>
        <v>B3206</v>
      </c>
      <c r="M388" s="2807">
        <v>8</v>
      </c>
      <c r="N388" s="2807">
        <v>-3</v>
      </c>
      <c r="O388" s="2807">
        <f t="shared" si="20"/>
        <v>50.93</v>
      </c>
      <c r="P388" s="1414" t="s">
        <v>4547</v>
      </c>
      <c r="Q388" s="1414" t="s">
        <v>4547</v>
      </c>
    </row>
    <row r="389" spans="1:17">
      <c r="A389" s="1414">
        <v>387</v>
      </c>
      <c r="B389" s="1414" t="s">
        <v>3833</v>
      </c>
      <c r="C389" s="1414">
        <v>50.93</v>
      </c>
      <c r="I389" s="2807">
        <f t="shared" si="18"/>
        <v>388</v>
      </c>
      <c r="J389" s="2807" t="s">
        <v>4545</v>
      </c>
      <c r="K389" s="2807" t="s">
        <v>4504</v>
      </c>
      <c r="L389" s="2807" t="str">
        <f t="shared" si="19"/>
        <v>B3207</v>
      </c>
      <c r="M389" s="2807">
        <v>8</v>
      </c>
      <c r="N389" s="2807">
        <v>-3</v>
      </c>
      <c r="O389" s="2807">
        <f t="shared" si="20"/>
        <v>50.93</v>
      </c>
      <c r="P389" s="1414" t="s">
        <v>4547</v>
      </c>
      <c r="Q389" s="1414" t="s">
        <v>4547</v>
      </c>
    </row>
    <row r="390" spans="1:17">
      <c r="A390" s="1414">
        <v>388</v>
      </c>
      <c r="B390" s="1414" t="s">
        <v>3834</v>
      </c>
      <c r="C390" s="1414">
        <v>50.93</v>
      </c>
      <c r="I390" s="2807">
        <f t="shared" si="18"/>
        <v>389</v>
      </c>
      <c r="J390" s="2807" t="s">
        <v>4545</v>
      </c>
      <c r="K390" s="2807" t="s">
        <v>4504</v>
      </c>
      <c r="L390" s="2807" t="str">
        <f t="shared" si="19"/>
        <v>B3208</v>
      </c>
      <c r="M390" s="2807">
        <v>8</v>
      </c>
      <c r="N390" s="2807">
        <v>-3</v>
      </c>
      <c r="O390" s="2807">
        <f t="shared" si="20"/>
        <v>50.93</v>
      </c>
      <c r="P390" s="1414" t="s">
        <v>4547</v>
      </c>
      <c r="Q390" s="1414" t="s">
        <v>4547</v>
      </c>
    </row>
    <row r="391" spans="1:17">
      <c r="A391" s="1414">
        <v>389</v>
      </c>
      <c r="B391" s="1414" t="s">
        <v>3835</v>
      </c>
      <c r="C391" s="1414">
        <v>50.93</v>
      </c>
      <c r="I391" s="2807">
        <f t="shared" si="18"/>
        <v>390</v>
      </c>
      <c r="J391" s="2807" t="s">
        <v>4545</v>
      </c>
      <c r="K391" s="2807" t="s">
        <v>4504</v>
      </c>
      <c r="L391" s="2807" t="str">
        <f t="shared" si="19"/>
        <v>B3209</v>
      </c>
      <c r="M391" s="2807">
        <v>8</v>
      </c>
      <c r="N391" s="2807">
        <v>-3</v>
      </c>
      <c r="O391" s="2807">
        <f t="shared" si="20"/>
        <v>50.93</v>
      </c>
      <c r="P391" s="1414" t="s">
        <v>4547</v>
      </c>
      <c r="Q391" s="1414" t="s">
        <v>4547</v>
      </c>
    </row>
    <row r="392" spans="1:17">
      <c r="A392" s="1414">
        <v>390</v>
      </c>
      <c r="B392" s="1414" t="s">
        <v>3836</v>
      </c>
      <c r="C392" s="1414">
        <v>50.93</v>
      </c>
      <c r="I392" s="2807">
        <f t="shared" si="18"/>
        <v>391</v>
      </c>
      <c r="J392" s="2807" t="s">
        <v>4545</v>
      </c>
      <c r="K392" s="2807" t="s">
        <v>4504</v>
      </c>
      <c r="L392" s="2807" t="str">
        <f t="shared" si="19"/>
        <v>B3210</v>
      </c>
      <c r="M392" s="2807">
        <v>8</v>
      </c>
      <c r="N392" s="2807">
        <v>-3</v>
      </c>
      <c r="O392" s="2807">
        <f t="shared" si="20"/>
        <v>50.93</v>
      </c>
      <c r="P392" s="1414" t="s">
        <v>4547</v>
      </c>
      <c r="Q392" s="1414" t="s">
        <v>4547</v>
      </c>
    </row>
    <row r="393" spans="1:17">
      <c r="A393" s="1414">
        <v>391</v>
      </c>
      <c r="B393" s="1414" t="s">
        <v>3837</v>
      </c>
      <c r="C393" s="1414">
        <v>50.93</v>
      </c>
      <c r="I393" s="2807">
        <f t="shared" si="18"/>
        <v>392</v>
      </c>
      <c r="J393" s="2807" t="s">
        <v>4545</v>
      </c>
      <c r="K393" s="2807" t="s">
        <v>4504</v>
      </c>
      <c r="L393" s="2807" t="str">
        <f t="shared" si="19"/>
        <v>B3211</v>
      </c>
      <c r="M393" s="2807">
        <v>8</v>
      </c>
      <c r="N393" s="2807">
        <v>-3</v>
      </c>
      <c r="O393" s="2807">
        <f t="shared" si="20"/>
        <v>52.93</v>
      </c>
      <c r="P393" s="1414" t="s">
        <v>4547</v>
      </c>
      <c r="Q393" s="1414" t="s">
        <v>4547</v>
      </c>
    </row>
    <row r="394" spans="1:17">
      <c r="A394" s="1414">
        <v>392</v>
      </c>
      <c r="B394" s="1414" t="s">
        <v>3838</v>
      </c>
      <c r="C394" s="1414">
        <v>52.93</v>
      </c>
      <c r="I394" s="2807">
        <f t="shared" si="18"/>
        <v>393</v>
      </c>
      <c r="J394" s="2807" t="s">
        <v>4545</v>
      </c>
      <c r="K394" s="2807" t="s">
        <v>4504</v>
      </c>
      <c r="L394" s="2807" t="str">
        <f t="shared" si="19"/>
        <v>B3212</v>
      </c>
      <c r="M394" s="2807">
        <v>8</v>
      </c>
      <c r="N394" s="2807">
        <v>-3</v>
      </c>
      <c r="O394" s="2807">
        <f t="shared" si="20"/>
        <v>52.93</v>
      </c>
      <c r="P394" s="1414" t="s">
        <v>4547</v>
      </c>
      <c r="Q394" s="1414" t="s">
        <v>4547</v>
      </c>
    </row>
    <row r="395" spans="1:17">
      <c r="A395" s="1414">
        <v>393</v>
      </c>
      <c r="B395" s="1414" t="s">
        <v>3839</v>
      </c>
      <c r="C395" s="1414">
        <v>52.93</v>
      </c>
      <c r="I395" s="2807">
        <f t="shared" si="18"/>
        <v>394</v>
      </c>
      <c r="J395" s="2807" t="s">
        <v>4545</v>
      </c>
      <c r="K395" s="2807" t="s">
        <v>4504</v>
      </c>
      <c r="L395" s="2807" t="str">
        <f t="shared" si="19"/>
        <v>B3213</v>
      </c>
      <c r="M395" s="2807">
        <v>8</v>
      </c>
      <c r="N395" s="2807">
        <v>-3</v>
      </c>
      <c r="O395" s="2807">
        <f t="shared" si="20"/>
        <v>52.93</v>
      </c>
      <c r="P395" s="1414" t="s">
        <v>4547</v>
      </c>
      <c r="Q395" s="1414" t="s">
        <v>4547</v>
      </c>
    </row>
    <row r="396" spans="1:17">
      <c r="A396" s="1414">
        <v>394</v>
      </c>
      <c r="B396" s="1414" t="s">
        <v>3840</v>
      </c>
      <c r="C396" s="1414">
        <v>52.93</v>
      </c>
      <c r="I396" s="2807">
        <f t="shared" si="18"/>
        <v>395</v>
      </c>
      <c r="J396" s="2807" t="s">
        <v>4545</v>
      </c>
      <c r="K396" s="2807" t="s">
        <v>4504</v>
      </c>
      <c r="L396" s="2807" t="str">
        <f t="shared" si="19"/>
        <v>B3214</v>
      </c>
      <c r="M396" s="2807">
        <v>8</v>
      </c>
      <c r="N396" s="2807">
        <v>-3</v>
      </c>
      <c r="O396" s="2807">
        <f t="shared" si="20"/>
        <v>52.93</v>
      </c>
      <c r="P396" s="1414" t="s">
        <v>4547</v>
      </c>
      <c r="Q396" s="1414" t="s">
        <v>4547</v>
      </c>
    </row>
    <row r="397" spans="1:17">
      <c r="A397" s="1414">
        <v>395</v>
      </c>
      <c r="B397" s="1414" t="s">
        <v>3841</v>
      </c>
      <c r="C397" s="1414">
        <v>52.93</v>
      </c>
      <c r="I397" s="2807">
        <f t="shared" si="18"/>
        <v>396</v>
      </c>
      <c r="J397" s="2807" t="s">
        <v>4545</v>
      </c>
      <c r="K397" s="2807" t="s">
        <v>4504</v>
      </c>
      <c r="L397" s="2807" t="str">
        <f t="shared" si="19"/>
        <v>B3215</v>
      </c>
      <c r="M397" s="2807">
        <v>8</v>
      </c>
      <c r="N397" s="2807">
        <v>-3</v>
      </c>
      <c r="O397" s="2807">
        <f t="shared" si="20"/>
        <v>52.93</v>
      </c>
      <c r="P397" s="1414" t="s">
        <v>4547</v>
      </c>
      <c r="Q397" s="1414" t="s">
        <v>4547</v>
      </c>
    </row>
    <row r="398" spans="1:17">
      <c r="A398" s="1414">
        <v>396</v>
      </c>
      <c r="B398" s="1414" t="s">
        <v>3842</v>
      </c>
      <c r="C398" s="1414">
        <v>52.93</v>
      </c>
      <c r="I398" s="2807">
        <f t="shared" si="18"/>
        <v>397</v>
      </c>
      <c r="J398" s="2807" t="s">
        <v>4545</v>
      </c>
      <c r="K398" s="2807" t="s">
        <v>4504</v>
      </c>
      <c r="L398" s="2807" t="str">
        <f t="shared" si="19"/>
        <v>B3216</v>
      </c>
      <c r="M398" s="2807">
        <v>8</v>
      </c>
      <c r="N398" s="2807">
        <v>-3</v>
      </c>
      <c r="O398" s="2807">
        <f t="shared" si="20"/>
        <v>52.93</v>
      </c>
      <c r="P398" s="1414" t="s">
        <v>4547</v>
      </c>
      <c r="Q398" s="1414" t="s">
        <v>4547</v>
      </c>
    </row>
    <row r="399" spans="1:17">
      <c r="A399" s="1414">
        <v>397</v>
      </c>
      <c r="B399" s="1414" t="s">
        <v>3843</v>
      </c>
      <c r="C399" s="1414">
        <v>52.93</v>
      </c>
      <c r="I399" s="2807">
        <f t="shared" si="18"/>
        <v>398</v>
      </c>
      <c r="J399" s="2807" t="s">
        <v>4545</v>
      </c>
      <c r="K399" s="2807" t="s">
        <v>4504</v>
      </c>
      <c r="L399" s="2807" t="str">
        <f t="shared" si="19"/>
        <v>B3217</v>
      </c>
      <c r="M399" s="2807">
        <v>8</v>
      </c>
      <c r="N399" s="2807">
        <v>-3</v>
      </c>
      <c r="O399" s="2807">
        <f t="shared" si="20"/>
        <v>52.93</v>
      </c>
      <c r="P399" s="1414" t="s">
        <v>4547</v>
      </c>
      <c r="Q399" s="1414" t="s">
        <v>4547</v>
      </c>
    </row>
    <row r="400" spans="1:17">
      <c r="A400" s="1414">
        <v>398</v>
      </c>
      <c r="B400" s="1414" t="s">
        <v>3844</v>
      </c>
      <c r="C400" s="1414">
        <v>52.93</v>
      </c>
      <c r="I400" s="2807">
        <f t="shared" si="18"/>
        <v>399</v>
      </c>
      <c r="J400" s="2807" t="s">
        <v>4545</v>
      </c>
      <c r="K400" s="2807" t="s">
        <v>4504</v>
      </c>
      <c r="L400" s="2807" t="str">
        <f t="shared" si="19"/>
        <v>B3218</v>
      </c>
      <c r="M400" s="2807">
        <v>8</v>
      </c>
      <c r="N400" s="2807">
        <v>-3</v>
      </c>
      <c r="O400" s="2807">
        <f t="shared" si="20"/>
        <v>52.93</v>
      </c>
      <c r="P400" s="1414" t="s">
        <v>4547</v>
      </c>
      <c r="Q400" s="1414" t="s">
        <v>4547</v>
      </c>
    </row>
    <row r="401" spans="1:17">
      <c r="A401" s="1414">
        <v>399</v>
      </c>
      <c r="B401" s="1414" t="s">
        <v>3845</v>
      </c>
      <c r="C401" s="1414">
        <v>52.93</v>
      </c>
      <c r="I401" s="2807">
        <f t="shared" si="18"/>
        <v>400</v>
      </c>
      <c r="J401" s="2807" t="s">
        <v>4545</v>
      </c>
      <c r="K401" s="2807" t="s">
        <v>4504</v>
      </c>
      <c r="L401" s="2807" t="str">
        <f t="shared" si="19"/>
        <v>B3219</v>
      </c>
      <c r="M401" s="2807">
        <v>8</v>
      </c>
      <c r="N401" s="2807">
        <v>-3</v>
      </c>
      <c r="O401" s="2807">
        <f t="shared" si="20"/>
        <v>52.93</v>
      </c>
      <c r="P401" s="1414" t="s">
        <v>4547</v>
      </c>
      <c r="Q401" s="1414" t="s">
        <v>4547</v>
      </c>
    </row>
    <row r="402" spans="1:17">
      <c r="A402" s="1414">
        <v>400</v>
      </c>
      <c r="B402" s="1414" t="s">
        <v>3846</v>
      </c>
      <c r="C402" s="1414">
        <v>52.93</v>
      </c>
      <c r="I402" s="2807">
        <f t="shared" si="18"/>
        <v>401</v>
      </c>
      <c r="J402" s="2807" t="s">
        <v>4545</v>
      </c>
      <c r="K402" s="2807" t="s">
        <v>4504</v>
      </c>
      <c r="L402" s="2807" t="str">
        <f t="shared" si="19"/>
        <v>B3220</v>
      </c>
      <c r="M402" s="2807">
        <v>8</v>
      </c>
      <c r="N402" s="2807">
        <v>-3</v>
      </c>
      <c r="O402" s="2807">
        <f t="shared" si="20"/>
        <v>52.93</v>
      </c>
      <c r="P402" s="1414" t="s">
        <v>4547</v>
      </c>
      <c r="Q402" s="1414" t="s">
        <v>4547</v>
      </c>
    </row>
    <row r="403" spans="1:17">
      <c r="A403" s="1414">
        <v>401</v>
      </c>
      <c r="B403" s="1414" t="s">
        <v>3847</v>
      </c>
      <c r="C403" s="1414">
        <v>52.93</v>
      </c>
      <c r="I403" s="2807">
        <f t="shared" si="18"/>
        <v>402</v>
      </c>
      <c r="J403" s="2807" t="s">
        <v>4545</v>
      </c>
      <c r="K403" s="2807" t="s">
        <v>4504</v>
      </c>
      <c r="L403" s="2807" t="str">
        <f t="shared" si="19"/>
        <v>B3221</v>
      </c>
      <c r="M403" s="2807">
        <v>8</v>
      </c>
      <c r="N403" s="2807">
        <v>-3</v>
      </c>
      <c r="O403" s="2807">
        <f t="shared" si="20"/>
        <v>52.93</v>
      </c>
      <c r="P403" s="1414" t="s">
        <v>4547</v>
      </c>
      <c r="Q403" s="1414" t="s">
        <v>4547</v>
      </c>
    </row>
    <row r="404" spans="1:17">
      <c r="A404" s="1414">
        <v>402</v>
      </c>
      <c r="B404" s="1414" t="s">
        <v>3848</v>
      </c>
      <c r="C404" s="1414">
        <v>52.93</v>
      </c>
      <c r="I404" s="2807">
        <f t="shared" si="18"/>
        <v>403</v>
      </c>
      <c r="J404" s="2807" t="s">
        <v>4545</v>
      </c>
      <c r="K404" s="2807" t="s">
        <v>4504</v>
      </c>
      <c r="L404" s="2807" t="str">
        <f t="shared" si="19"/>
        <v>B3222</v>
      </c>
      <c r="M404" s="2807">
        <v>8</v>
      </c>
      <c r="N404" s="2807">
        <v>-3</v>
      </c>
      <c r="O404" s="2807">
        <f t="shared" si="20"/>
        <v>52.93</v>
      </c>
      <c r="P404" s="1414" t="s">
        <v>4547</v>
      </c>
      <c r="Q404" s="1414" t="s">
        <v>4547</v>
      </c>
    </row>
    <row r="405" spans="1:17">
      <c r="A405" s="1414">
        <v>403</v>
      </c>
      <c r="B405" s="1414" t="s">
        <v>3849</v>
      </c>
      <c r="C405" s="1414">
        <v>52.93</v>
      </c>
      <c r="I405" s="2807">
        <f t="shared" si="18"/>
        <v>404</v>
      </c>
      <c r="J405" s="2807" t="s">
        <v>4545</v>
      </c>
      <c r="K405" s="2807" t="s">
        <v>4504</v>
      </c>
      <c r="L405" s="2807" t="str">
        <f t="shared" si="19"/>
        <v>B3223</v>
      </c>
      <c r="M405" s="2807">
        <v>8</v>
      </c>
      <c r="N405" s="2807">
        <v>-3</v>
      </c>
      <c r="O405" s="2807">
        <f t="shared" si="20"/>
        <v>52.93</v>
      </c>
      <c r="P405" s="1414" t="s">
        <v>4547</v>
      </c>
      <c r="Q405" s="1414" t="s">
        <v>4547</v>
      </c>
    </row>
    <row r="406" spans="1:17">
      <c r="A406" s="1414">
        <v>404</v>
      </c>
      <c r="B406" s="1414" t="s">
        <v>3850</v>
      </c>
      <c r="C406" s="1414">
        <v>52.93</v>
      </c>
      <c r="I406" s="2807">
        <f t="shared" si="18"/>
        <v>405</v>
      </c>
      <c r="J406" s="2807" t="s">
        <v>4545</v>
      </c>
      <c r="K406" s="2807" t="s">
        <v>4504</v>
      </c>
      <c r="L406" s="2807" t="str">
        <f t="shared" si="19"/>
        <v>B3224</v>
      </c>
      <c r="M406" s="2807">
        <v>8</v>
      </c>
      <c r="N406" s="2807">
        <v>-3</v>
      </c>
      <c r="O406" s="2807">
        <f t="shared" si="20"/>
        <v>52.93</v>
      </c>
      <c r="P406" s="1414" t="s">
        <v>4547</v>
      </c>
      <c r="Q406" s="1414" t="s">
        <v>4547</v>
      </c>
    </row>
    <row r="407" spans="1:17">
      <c r="A407" s="1414">
        <v>405</v>
      </c>
      <c r="B407" s="1414" t="s">
        <v>3851</v>
      </c>
      <c r="C407" s="1414">
        <v>52.93</v>
      </c>
      <c r="I407" s="2807">
        <f t="shared" si="18"/>
        <v>406</v>
      </c>
      <c r="J407" s="2807" t="s">
        <v>4545</v>
      </c>
      <c r="K407" s="2807" t="s">
        <v>4504</v>
      </c>
      <c r="L407" s="2807" t="str">
        <f t="shared" si="19"/>
        <v>B3225</v>
      </c>
      <c r="M407" s="2807">
        <v>8</v>
      </c>
      <c r="N407" s="2807">
        <v>-3</v>
      </c>
      <c r="O407" s="2807">
        <f t="shared" si="20"/>
        <v>59.92</v>
      </c>
      <c r="P407" s="1414" t="s">
        <v>4547</v>
      </c>
      <c r="Q407" s="1414" t="s">
        <v>4547</v>
      </c>
    </row>
    <row r="408" spans="1:17">
      <c r="A408" s="1414">
        <v>406</v>
      </c>
      <c r="B408" s="1414" t="s">
        <v>3852</v>
      </c>
      <c r="C408" s="1414">
        <v>59.92</v>
      </c>
      <c r="I408" s="2807">
        <f t="shared" si="18"/>
        <v>407</v>
      </c>
      <c r="J408" s="2807" t="s">
        <v>4545</v>
      </c>
      <c r="K408" s="2807" t="s">
        <v>4504</v>
      </c>
      <c r="L408" s="2807" t="str">
        <f t="shared" si="19"/>
        <v>B3226</v>
      </c>
      <c r="M408" s="2807">
        <v>8</v>
      </c>
      <c r="N408" s="2807">
        <v>-3</v>
      </c>
      <c r="O408" s="2807">
        <f t="shared" si="20"/>
        <v>52.93</v>
      </c>
      <c r="P408" s="1414" t="s">
        <v>4547</v>
      </c>
      <c r="Q408" s="1414" t="s">
        <v>4547</v>
      </c>
    </row>
    <row r="409" spans="1:17">
      <c r="A409" s="1414">
        <v>407</v>
      </c>
      <c r="B409" s="1414" t="s">
        <v>3853</v>
      </c>
      <c r="C409" s="1414">
        <v>52.93</v>
      </c>
      <c r="I409" s="2807">
        <f t="shared" si="18"/>
        <v>408</v>
      </c>
      <c r="J409" s="2807" t="s">
        <v>4545</v>
      </c>
      <c r="K409" s="2807" t="s">
        <v>4504</v>
      </c>
      <c r="L409" s="2807" t="str">
        <f t="shared" si="19"/>
        <v>B3227</v>
      </c>
      <c r="M409" s="2807">
        <v>8</v>
      </c>
      <c r="N409" s="2807">
        <v>-3</v>
      </c>
      <c r="O409" s="2807">
        <f t="shared" si="20"/>
        <v>52.93</v>
      </c>
      <c r="P409" s="1414" t="s">
        <v>4547</v>
      </c>
      <c r="Q409" s="1414" t="s">
        <v>4547</v>
      </c>
    </row>
    <row r="410" spans="1:17">
      <c r="A410" s="1414">
        <v>408</v>
      </c>
      <c r="B410" s="1414" t="s">
        <v>3854</v>
      </c>
      <c r="C410" s="1414">
        <v>52.93</v>
      </c>
      <c r="I410" s="2807">
        <f t="shared" si="18"/>
        <v>409</v>
      </c>
      <c r="J410" s="2807" t="s">
        <v>4545</v>
      </c>
      <c r="K410" s="2807" t="s">
        <v>4504</v>
      </c>
      <c r="L410" s="2807" t="str">
        <f t="shared" si="19"/>
        <v>B3228</v>
      </c>
      <c r="M410" s="2807">
        <v>8</v>
      </c>
      <c r="N410" s="2807">
        <v>-3</v>
      </c>
      <c r="O410" s="2807">
        <f t="shared" si="20"/>
        <v>52.93</v>
      </c>
      <c r="P410" s="1414" t="s">
        <v>4547</v>
      </c>
      <c r="Q410" s="1414" t="s">
        <v>4547</v>
      </c>
    </row>
    <row r="411" spans="1:17">
      <c r="A411" s="1414">
        <v>409</v>
      </c>
      <c r="B411" s="1414" t="s">
        <v>3855</v>
      </c>
      <c r="C411" s="1414">
        <v>52.93</v>
      </c>
      <c r="I411" s="2807">
        <f t="shared" si="18"/>
        <v>410</v>
      </c>
      <c r="J411" s="2807" t="s">
        <v>4545</v>
      </c>
      <c r="K411" s="2807" t="s">
        <v>4504</v>
      </c>
      <c r="L411" s="2807" t="str">
        <f t="shared" si="19"/>
        <v>B3229</v>
      </c>
      <c r="M411" s="2807">
        <v>8</v>
      </c>
      <c r="N411" s="2807">
        <v>-3</v>
      </c>
      <c r="O411" s="2807">
        <f t="shared" si="20"/>
        <v>52.93</v>
      </c>
      <c r="P411" s="1414" t="s">
        <v>4547</v>
      </c>
      <c r="Q411" s="1414" t="s">
        <v>4547</v>
      </c>
    </row>
    <row r="412" spans="1:17">
      <c r="A412" s="1414">
        <v>410</v>
      </c>
      <c r="B412" s="1414" t="s">
        <v>3856</v>
      </c>
      <c r="C412" s="1414">
        <v>52.93</v>
      </c>
      <c r="I412" s="2807">
        <f t="shared" si="18"/>
        <v>411</v>
      </c>
      <c r="J412" s="2807" t="s">
        <v>4545</v>
      </c>
      <c r="K412" s="2807" t="s">
        <v>4504</v>
      </c>
      <c r="L412" s="2807" t="str">
        <f t="shared" si="19"/>
        <v>B3230</v>
      </c>
      <c r="M412" s="2807">
        <v>8</v>
      </c>
      <c r="N412" s="2807">
        <v>-3</v>
      </c>
      <c r="O412" s="2807">
        <f t="shared" si="20"/>
        <v>52.93</v>
      </c>
      <c r="P412" s="1414" t="s">
        <v>4547</v>
      </c>
      <c r="Q412" s="1414" t="s">
        <v>4547</v>
      </c>
    </row>
    <row r="413" spans="1:17">
      <c r="A413" s="1414">
        <v>411</v>
      </c>
      <c r="B413" s="1414" t="s">
        <v>3857</v>
      </c>
      <c r="C413" s="1414">
        <v>52.93</v>
      </c>
      <c r="I413" s="2807">
        <f t="shared" si="18"/>
        <v>412</v>
      </c>
      <c r="J413" s="2807" t="s">
        <v>4545</v>
      </c>
      <c r="K413" s="2807" t="s">
        <v>4504</v>
      </c>
      <c r="L413" s="2807" t="str">
        <f t="shared" si="19"/>
        <v>B3231</v>
      </c>
      <c r="M413" s="2807">
        <v>8</v>
      </c>
      <c r="N413" s="2807">
        <v>-3</v>
      </c>
      <c r="O413" s="2807">
        <f t="shared" si="20"/>
        <v>52.93</v>
      </c>
      <c r="P413" s="1414" t="s">
        <v>4547</v>
      </c>
      <c r="Q413" s="1414" t="s">
        <v>4547</v>
      </c>
    </row>
    <row r="414" spans="1:17">
      <c r="A414" s="1414">
        <v>412</v>
      </c>
      <c r="B414" s="1414" t="s">
        <v>3858</v>
      </c>
      <c r="C414" s="1414">
        <v>52.93</v>
      </c>
      <c r="I414" s="2807">
        <f t="shared" si="18"/>
        <v>413</v>
      </c>
      <c r="J414" s="2807" t="s">
        <v>4545</v>
      </c>
      <c r="K414" s="2807" t="s">
        <v>4504</v>
      </c>
      <c r="L414" s="2807" t="str">
        <f t="shared" si="19"/>
        <v>B3232</v>
      </c>
      <c r="M414" s="2807">
        <v>8</v>
      </c>
      <c r="N414" s="2807">
        <v>-3</v>
      </c>
      <c r="O414" s="2807">
        <f t="shared" si="20"/>
        <v>52.93</v>
      </c>
      <c r="P414" s="1414" t="s">
        <v>4547</v>
      </c>
      <c r="Q414" s="1414" t="s">
        <v>4547</v>
      </c>
    </row>
    <row r="415" spans="1:17">
      <c r="A415" s="1414">
        <v>413</v>
      </c>
      <c r="B415" s="1414" t="s">
        <v>3859</v>
      </c>
      <c r="C415" s="1414">
        <v>52.93</v>
      </c>
      <c r="I415" s="2807">
        <f t="shared" si="18"/>
        <v>414</v>
      </c>
      <c r="J415" s="2807" t="s">
        <v>4545</v>
      </c>
      <c r="K415" s="2807" t="s">
        <v>4504</v>
      </c>
      <c r="L415" s="2807" t="str">
        <f t="shared" si="19"/>
        <v>B3233</v>
      </c>
      <c r="M415" s="2807">
        <v>8</v>
      </c>
      <c r="N415" s="2807">
        <v>-3</v>
      </c>
      <c r="O415" s="2807">
        <f t="shared" si="20"/>
        <v>59.92</v>
      </c>
      <c r="P415" s="1414" t="s">
        <v>4547</v>
      </c>
      <c r="Q415" s="1414" t="s">
        <v>4547</v>
      </c>
    </row>
    <row r="416" spans="1:17">
      <c r="A416" s="1414">
        <v>414</v>
      </c>
      <c r="B416" s="1414" t="s">
        <v>3860</v>
      </c>
      <c r="C416" s="1414">
        <v>59.92</v>
      </c>
      <c r="I416" s="2807">
        <f t="shared" si="18"/>
        <v>415</v>
      </c>
      <c r="J416" s="2807" t="s">
        <v>4545</v>
      </c>
      <c r="K416" s="2807" t="s">
        <v>4504</v>
      </c>
      <c r="L416" s="2807" t="str">
        <f t="shared" si="19"/>
        <v>B3234</v>
      </c>
      <c r="M416" s="2807">
        <v>8</v>
      </c>
      <c r="N416" s="2807">
        <v>-3</v>
      </c>
      <c r="O416" s="2807">
        <f t="shared" si="20"/>
        <v>59.92</v>
      </c>
      <c r="P416" s="1414" t="s">
        <v>4547</v>
      </c>
      <c r="Q416" s="1414" t="s">
        <v>4547</v>
      </c>
    </row>
    <row r="417" spans="1:17">
      <c r="A417" s="1414">
        <v>415</v>
      </c>
      <c r="B417" s="1414" t="s">
        <v>3861</v>
      </c>
      <c r="C417" s="1414">
        <v>59.92</v>
      </c>
      <c r="I417" s="2807">
        <f t="shared" si="18"/>
        <v>416</v>
      </c>
      <c r="J417" s="2807" t="s">
        <v>4545</v>
      </c>
      <c r="K417" s="2807" t="s">
        <v>4504</v>
      </c>
      <c r="L417" s="2807" t="str">
        <f t="shared" si="19"/>
        <v>B3235</v>
      </c>
      <c r="M417" s="2807">
        <v>8</v>
      </c>
      <c r="N417" s="2807">
        <v>-3</v>
      </c>
      <c r="O417" s="2807">
        <f t="shared" si="20"/>
        <v>59.92</v>
      </c>
      <c r="P417" s="1414" t="s">
        <v>4547</v>
      </c>
      <c r="Q417" s="1414" t="s">
        <v>4547</v>
      </c>
    </row>
    <row r="418" spans="1:17">
      <c r="A418" s="1414">
        <v>416</v>
      </c>
      <c r="B418" s="1414" t="s">
        <v>3862</v>
      </c>
      <c r="C418" s="1414">
        <v>59.92</v>
      </c>
      <c r="I418" s="2807">
        <f t="shared" si="18"/>
        <v>417</v>
      </c>
      <c r="J418" s="2807" t="s">
        <v>4545</v>
      </c>
      <c r="K418" s="2807" t="s">
        <v>4504</v>
      </c>
      <c r="L418" s="2807" t="str">
        <f t="shared" si="19"/>
        <v>B3236</v>
      </c>
      <c r="M418" s="2807">
        <v>8</v>
      </c>
      <c r="N418" s="2807">
        <v>-3</v>
      </c>
      <c r="O418" s="2807">
        <f t="shared" si="20"/>
        <v>59.92</v>
      </c>
      <c r="P418" s="1414" t="s">
        <v>4547</v>
      </c>
      <c r="Q418" s="1414" t="s">
        <v>4547</v>
      </c>
    </row>
    <row r="419" spans="1:17">
      <c r="A419" s="1414">
        <v>417</v>
      </c>
      <c r="B419" s="1414" t="s">
        <v>3863</v>
      </c>
      <c r="C419" s="1414">
        <v>59.92</v>
      </c>
      <c r="I419" s="2807">
        <f t="shared" si="18"/>
        <v>418</v>
      </c>
      <c r="J419" s="2807" t="s">
        <v>4545</v>
      </c>
      <c r="K419" s="2807" t="s">
        <v>4504</v>
      </c>
      <c r="L419" s="2807" t="str">
        <f t="shared" si="19"/>
        <v>B3237</v>
      </c>
      <c r="M419" s="2807">
        <v>8</v>
      </c>
      <c r="N419" s="2807">
        <v>-3</v>
      </c>
      <c r="O419" s="2807">
        <f t="shared" si="20"/>
        <v>59.92</v>
      </c>
      <c r="P419" s="1414" t="s">
        <v>4547</v>
      </c>
      <c r="Q419" s="1414" t="s">
        <v>4547</v>
      </c>
    </row>
    <row r="420" spans="1:17">
      <c r="A420" s="1414">
        <v>418</v>
      </c>
      <c r="B420" s="1414" t="s">
        <v>3864</v>
      </c>
      <c r="C420" s="1414">
        <v>59.92</v>
      </c>
      <c r="I420" s="2807">
        <f t="shared" si="18"/>
        <v>419</v>
      </c>
      <c r="J420" s="2807" t="s">
        <v>4545</v>
      </c>
      <c r="K420" s="2807" t="s">
        <v>4504</v>
      </c>
      <c r="L420" s="2807" t="str">
        <f t="shared" si="19"/>
        <v>B3238</v>
      </c>
      <c r="M420" s="2807">
        <v>8</v>
      </c>
      <c r="N420" s="2807">
        <v>-3</v>
      </c>
      <c r="O420" s="2807">
        <f t="shared" si="20"/>
        <v>59.92</v>
      </c>
      <c r="P420" s="1414" t="s">
        <v>4547</v>
      </c>
      <c r="Q420" s="1414" t="s">
        <v>4547</v>
      </c>
    </row>
    <row r="421" spans="1:17">
      <c r="A421" s="1414">
        <v>419</v>
      </c>
      <c r="B421" s="1414" t="s">
        <v>3865</v>
      </c>
      <c r="C421" s="1414">
        <v>59.92</v>
      </c>
      <c r="I421" s="2807">
        <f t="shared" si="18"/>
        <v>420</v>
      </c>
      <c r="J421" s="2807" t="s">
        <v>4545</v>
      </c>
      <c r="K421" s="2807" t="s">
        <v>4504</v>
      </c>
      <c r="L421" s="2807" t="str">
        <f t="shared" si="19"/>
        <v>B3239</v>
      </c>
      <c r="M421" s="2807">
        <v>8</v>
      </c>
      <c r="N421" s="2807">
        <v>-3</v>
      </c>
      <c r="O421" s="2807">
        <f t="shared" si="20"/>
        <v>59.92</v>
      </c>
      <c r="P421" s="1414" t="s">
        <v>4547</v>
      </c>
      <c r="Q421" s="1414" t="s">
        <v>4547</v>
      </c>
    </row>
    <row r="422" spans="1:17">
      <c r="A422" s="1414">
        <v>420</v>
      </c>
      <c r="B422" s="1414" t="s">
        <v>3866</v>
      </c>
      <c r="C422" s="1414">
        <v>59.92</v>
      </c>
      <c r="I422" s="2807">
        <f t="shared" si="18"/>
        <v>421</v>
      </c>
      <c r="J422" s="2807" t="s">
        <v>4545</v>
      </c>
      <c r="K422" s="2807" t="s">
        <v>4504</v>
      </c>
      <c r="L422" s="2807" t="str">
        <f t="shared" si="19"/>
        <v>B3240</v>
      </c>
      <c r="M422" s="2807">
        <v>8</v>
      </c>
      <c r="N422" s="2807">
        <v>-3</v>
      </c>
      <c r="O422" s="2807">
        <f t="shared" si="20"/>
        <v>59.92</v>
      </c>
      <c r="P422" s="1414" t="s">
        <v>4547</v>
      </c>
      <c r="Q422" s="1414" t="s">
        <v>4547</v>
      </c>
    </row>
    <row r="423" spans="1:17">
      <c r="A423" s="1414">
        <v>421</v>
      </c>
      <c r="B423" s="1414" t="s">
        <v>3867</v>
      </c>
      <c r="C423" s="1414">
        <v>59.92</v>
      </c>
      <c r="I423" s="2807">
        <f t="shared" si="18"/>
        <v>422</v>
      </c>
      <c r="J423" s="2807" t="s">
        <v>4545</v>
      </c>
      <c r="K423" s="2807" t="s">
        <v>4504</v>
      </c>
      <c r="L423" s="2807" t="str">
        <f t="shared" si="19"/>
        <v>B3241</v>
      </c>
      <c r="M423" s="2807">
        <v>8</v>
      </c>
      <c r="N423" s="2807">
        <v>-3</v>
      </c>
      <c r="O423" s="2807">
        <f t="shared" si="20"/>
        <v>59.92</v>
      </c>
      <c r="P423" s="1414" t="s">
        <v>4547</v>
      </c>
      <c r="Q423" s="1414" t="s">
        <v>4547</v>
      </c>
    </row>
    <row r="424" spans="1:17">
      <c r="A424" s="1414">
        <v>422</v>
      </c>
      <c r="B424" s="1414" t="s">
        <v>3868</v>
      </c>
      <c r="C424" s="1414">
        <v>59.92</v>
      </c>
      <c r="I424" s="2807">
        <f t="shared" si="18"/>
        <v>423</v>
      </c>
      <c r="J424" s="2807" t="s">
        <v>4545</v>
      </c>
      <c r="K424" s="2807" t="s">
        <v>4504</v>
      </c>
      <c r="L424" s="2807" t="str">
        <f t="shared" si="19"/>
        <v>B3242</v>
      </c>
      <c r="M424" s="2807">
        <v>8</v>
      </c>
      <c r="N424" s="2807">
        <v>-3</v>
      </c>
      <c r="O424" s="2807">
        <f t="shared" si="20"/>
        <v>59.92</v>
      </c>
      <c r="P424" s="1414" t="s">
        <v>4547</v>
      </c>
      <c r="Q424" s="1414" t="s">
        <v>4547</v>
      </c>
    </row>
    <row r="425" spans="1:17">
      <c r="A425" s="1414">
        <v>423</v>
      </c>
      <c r="B425" s="1414" t="s">
        <v>3869</v>
      </c>
      <c r="C425" s="1414">
        <v>59.92</v>
      </c>
      <c r="I425" s="2807">
        <f t="shared" si="18"/>
        <v>424</v>
      </c>
      <c r="J425" s="2807" t="s">
        <v>4545</v>
      </c>
      <c r="K425" s="2807" t="s">
        <v>4504</v>
      </c>
      <c r="L425" s="2807" t="str">
        <f t="shared" si="19"/>
        <v>B3243</v>
      </c>
      <c r="M425" s="2807">
        <v>8</v>
      </c>
      <c r="N425" s="2807">
        <v>-3</v>
      </c>
      <c r="O425" s="2807">
        <f t="shared" si="20"/>
        <v>52.93</v>
      </c>
      <c r="P425" s="1414" t="s">
        <v>4547</v>
      </c>
      <c r="Q425" s="1414" t="s">
        <v>4547</v>
      </c>
    </row>
    <row r="426" spans="1:17">
      <c r="A426" s="1414">
        <v>424</v>
      </c>
      <c r="B426" s="1414" t="s">
        <v>3870</v>
      </c>
      <c r="C426" s="1414">
        <v>52.93</v>
      </c>
      <c r="I426" s="2807">
        <f t="shared" si="18"/>
        <v>425</v>
      </c>
      <c r="J426" s="2807" t="s">
        <v>4545</v>
      </c>
      <c r="K426" s="2807" t="s">
        <v>4504</v>
      </c>
      <c r="L426" s="2807" t="str">
        <f t="shared" si="19"/>
        <v>B3244</v>
      </c>
      <c r="M426" s="2807">
        <v>8</v>
      </c>
      <c r="N426" s="2807">
        <v>-3</v>
      </c>
      <c r="O426" s="2807">
        <f t="shared" si="20"/>
        <v>52.93</v>
      </c>
      <c r="P426" s="1414" t="s">
        <v>4547</v>
      </c>
      <c r="Q426" s="1414" t="s">
        <v>4547</v>
      </c>
    </row>
    <row r="427" spans="1:17">
      <c r="A427" s="1414">
        <v>425</v>
      </c>
      <c r="B427" s="1414" t="s">
        <v>3871</v>
      </c>
      <c r="C427" s="1414">
        <v>52.93</v>
      </c>
      <c r="I427" s="2807">
        <f t="shared" si="18"/>
        <v>426</v>
      </c>
      <c r="J427" s="2807" t="s">
        <v>4545</v>
      </c>
      <c r="K427" s="2807" t="s">
        <v>4504</v>
      </c>
      <c r="L427" s="2807" t="str">
        <f t="shared" si="19"/>
        <v>B3245</v>
      </c>
      <c r="M427" s="2807">
        <v>8</v>
      </c>
      <c r="N427" s="2807">
        <v>-3</v>
      </c>
      <c r="O427" s="2807">
        <f t="shared" si="20"/>
        <v>50.93</v>
      </c>
      <c r="P427" s="1414" t="s">
        <v>4547</v>
      </c>
      <c r="Q427" s="1414" t="s">
        <v>4547</v>
      </c>
    </row>
    <row r="428" spans="1:17">
      <c r="A428" s="1414">
        <v>426</v>
      </c>
      <c r="B428" s="1414" t="s">
        <v>3872</v>
      </c>
      <c r="C428" s="1414">
        <v>50.93</v>
      </c>
      <c r="I428" s="2807">
        <f t="shared" si="18"/>
        <v>427</v>
      </c>
      <c r="J428" s="2807" t="s">
        <v>4545</v>
      </c>
      <c r="K428" s="2807" t="s">
        <v>4504</v>
      </c>
      <c r="L428" s="2807" t="str">
        <f t="shared" si="19"/>
        <v>B3246</v>
      </c>
      <c r="M428" s="2807">
        <v>8</v>
      </c>
      <c r="N428" s="2807">
        <v>-3</v>
      </c>
      <c r="O428" s="2807">
        <f t="shared" si="20"/>
        <v>89.38</v>
      </c>
      <c r="P428" s="1414" t="s">
        <v>4547</v>
      </c>
      <c r="Q428" s="1414" t="s">
        <v>4547</v>
      </c>
    </row>
    <row r="429" spans="1:17">
      <c r="A429" s="1414">
        <v>427</v>
      </c>
      <c r="B429" s="1414" t="s">
        <v>3873</v>
      </c>
      <c r="C429" s="1414">
        <v>89.38</v>
      </c>
      <c r="I429" s="2807">
        <f t="shared" si="18"/>
        <v>428</v>
      </c>
      <c r="J429" s="2807" t="s">
        <v>4545</v>
      </c>
      <c r="K429" s="2807" t="s">
        <v>4504</v>
      </c>
      <c r="L429" s="2807" t="str">
        <f t="shared" si="19"/>
        <v>B3247</v>
      </c>
      <c r="M429" s="2807">
        <v>8</v>
      </c>
      <c r="N429" s="2807">
        <v>-3</v>
      </c>
      <c r="O429" s="2807">
        <f t="shared" si="20"/>
        <v>50.93</v>
      </c>
      <c r="P429" s="1414" t="s">
        <v>4547</v>
      </c>
      <c r="Q429" s="1414" t="s">
        <v>4547</v>
      </c>
    </row>
    <row r="430" spans="1:17">
      <c r="A430" s="1414">
        <v>428</v>
      </c>
      <c r="B430" s="1414" t="s">
        <v>3874</v>
      </c>
      <c r="C430" s="1414">
        <v>50.93</v>
      </c>
      <c r="I430" s="2807">
        <f t="shared" si="18"/>
        <v>429</v>
      </c>
      <c r="J430" s="2807" t="s">
        <v>4545</v>
      </c>
      <c r="K430" s="2807" t="s">
        <v>4504</v>
      </c>
      <c r="L430" s="2807" t="str">
        <f t="shared" si="19"/>
        <v>B3248</v>
      </c>
      <c r="M430" s="2807">
        <v>8</v>
      </c>
      <c r="N430" s="2807">
        <v>-3</v>
      </c>
      <c r="O430" s="2807">
        <f t="shared" si="20"/>
        <v>50.93</v>
      </c>
      <c r="P430" s="1414" t="s">
        <v>4547</v>
      </c>
      <c r="Q430" s="1414" t="s">
        <v>4547</v>
      </c>
    </row>
    <row r="431" spans="1:17">
      <c r="A431" s="1414">
        <v>429</v>
      </c>
      <c r="B431" s="1414" t="s">
        <v>3875</v>
      </c>
      <c r="C431" s="1414">
        <v>50.93</v>
      </c>
      <c r="I431" s="2807">
        <f t="shared" si="18"/>
        <v>430</v>
      </c>
      <c r="J431" s="2807" t="s">
        <v>4545</v>
      </c>
      <c r="K431" s="2807" t="s">
        <v>4504</v>
      </c>
      <c r="L431" s="2807" t="str">
        <f t="shared" si="19"/>
        <v>B3249</v>
      </c>
      <c r="M431" s="2807">
        <v>8</v>
      </c>
      <c r="N431" s="2807">
        <v>-3</v>
      </c>
      <c r="O431" s="2807">
        <f t="shared" si="20"/>
        <v>89.38</v>
      </c>
      <c r="P431" s="1414" t="s">
        <v>4547</v>
      </c>
      <c r="Q431" s="1414" t="s">
        <v>4547</v>
      </c>
    </row>
    <row r="432" spans="1:17">
      <c r="A432" s="1414">
        <v>430</v>
      </c>
      <c r="B432" s="1414" t="s">
        <v>3876</v>
      </c>
      <c r="C432" s="1414">
        <v>89.38</v>
      </c>
      <c r="I432" s="2807">
        <f t="shared" si="18"/>
        <v>431</v>
      </c>
      <c r="J432" s="2807" t="s">
        <v>4545</v>
      </c>
      <c r="K432" s="2807" t="s">
        <v>4504</v>
      </c>
      <c r="L432" s="2807" t="str">
        <f t="shared" si="19"/>
        <v>B3250</v>
      </c>
      <c r="M432" s="2807">
        <v>8</v>
      </c>
      <c r="N432" s="2807">
        <v>-3</v>
      </c>
      <c r="O432" s="2807">
        <f t="shared" si="20"/>
        <v>89.38</v>
      </c>
      <c r="P432" s="1414" t="s">
        <v>4547</v>
      </c>
      <c r="Q432" s="1414" t="s">
        <v>4547</v>
      </c>
    </row>
    <row r="433" spans="1:17">
      <c r="A433" s="1414">
        <v>431</v>
      </c>
      <c r="B433" s="1414" t="s">
        <v>3877</v>
      </c>
      <c r="C433" s="1414">
        <v>89.38</v>
      </c>
      <c r="I433" s="2807">
        <f t="shared" si="18"/>
        <v>432</v>
      </c>
      <c r="J433" s="2807" t="s">
        <v>4545</v>
      </c>
      <c r="K433" s="2807" t="s">
        <v>4504</v>
      </c>
      <c r="L433" s="2807" t="str">
        <f t="shared" si="19"/>
        <v>B3251</v>
      </c>
      <c r="M433" s="2807">
        <v>8</v>
      </c>
      <c r="N433" s="2807">
        <v>-3</v>
      </c>
      <c r="O433" s="2807">
        <f t="shared" si="20"/>
        <v>52.93</v>
      </c>
      <c r="P433" s="1414" t="s">
        <v>4547</v>
      </c>
      <c r="Q433" s="1414" t="s">
        <v>4547</v>
      </c>
    </row>
    <row r="434" spans="1:17">
      <c r="A434" s="1414">
        <v>432</v>
      </c>
      <c r="B434" s="1414" t="s">
        <v>3878</v>
      </c>
      <c r="C434" s="1414">
        <v>52.93</v>
      </c>
      <c r="I434" s="2807">
        <f t="shared" si="18"/>
        <v>433</v>
      </c>
      <c r="J434" s="2807" t="s">
        <v>4545</v>
      </c>
      <c r="K434" s="2807" t="s">
        <v>4504</v>
      </c>
      <c r="L434" s="2807" t="str">
        <f t="shared" si="19"/>
        <v>B3252</v>
      </c>
      <c r="M434" s="2807">
        <v>8</v>
      </c>
      <c r="N434" s="2807">
        <v>-3</v>
      </c>
      <c r="O434" s="2807">
        <f t="shared" si="20"/>
        <v>50.93</v>
      </c>
      <c r="P434" s="1414" t="s">
        <v>4547</v>
      </c>
      <c r="Q434" s="1414" t="s">
        <v>4547</v>
      </c>
    </row>
    <row r="435" spans="1:17">
      <c r="A435" s="1414">
        <v>433</v>
      </c>
      <c r="B435" s="1414" t="s">
        <v>3879</v>
      </c>
      <c r="C435" s="1414">
        <v>50.93</v>
      </c>
      <c r="I435" s="2807">
        <f t="shared" si="18"/>
        <v>434</v>
      </c>
      <c r="J435" s="2807" t="s">
        <v>4545</v>
      </c>
      <c r="K435" s="2807" t="s">
        <v>4504</v>
      </c>
      <c r="L435" s="2807" t="str">
        <f t="shared" si="19"/>
        <v>B3253</v>
      </c>
      <c r="M435" s="2807">
        <v>8</v>
      </c>
      <c r="N435" s="2807">
        <v>-3</v>
      </c>
      <c r="O435" s="2807">
        <f t="shared" si="20"/>
        <v>50.93</v>
      </c>
      <c r="P435" s="1414" t="s">
        <v>4547</v>
      </c>
      <c r="Q435" s="1414" t="s">
        <v>4547</v>
      </c>
    </row>
    <row r="436" spans="1:17">
      <c r="A436" s="1414">
        <v>434</v>
      </c>
      <c r="B436" s="1414" t="s">
        <v>3880</v>
      </c>
      <c r="C436" s="1414">
        <v>50.93</v>
      </c>
      <c r="I436" s="2807">
        <f t="shared" si="18"/>
        <v>435</v>
      </c>
      <c r="J436" s="2807" t="s">
        <v>4545</v>
      </c>
      <c r="K436" s="2807" t="s">
        <v>4504</v>
      </c>
      <c r="L436" s="2807" t="str">
        <f t="shared" si="19"/>
        <v>B3254</v>
      </c>
      <c r="M436" s="2807">
        <v>8</v>
      </c>
      <c r="N436" s="2807">
        <v>-3</v>
      </c>
      <c r="O436" s="2807">
        <f t="shared" si="20"/>
        <v>50.93</v>
      </c>
      <c r="P436" s="1414" t="s">
        <v>4547</v>
      </c>
      <c r="Q436" s="1414" t="s">
        <v>4547</v>
      </c>
    </row>
    <row r="437" spans="1:17">
      <c r="A437" s="1414">
        <v>435</v>
      </c>
      <c r="B437" s="1414" t="s">
        <v>3881</v>
      </c>
      <c r="C437" s="1414">
        <v>50.93</v>
      </c>
      <c r="I437" s="2807">
        <f t="shared" si="18"/>
        <v>436</v>
      </c>
      <c r="J437" s="2807" t="s">
        <v>4545</v>
      </c>
      <c r="K437" s="2807" t="s">
        <v>4504</v>
      </c>
      <c r="L437" s="2807" t="str">
        <f t="shared" si="19"/>
        <v>B3255</v>
      </c>
      <c r="M437" s="2807">
        <v>8</v>
      </c>
      <c r="N437" s="2807">
        <v>-3</v>
      </c>
      <c r="O437" s="2807">
        <f t="shared" si="20"/>
        <v>50.93</v>
      </c>
      <c r="P437" s="1414" t="s">
        <v>4547</v>
      </c>
      <c r="Q437" s="1414" t="s">
        <v>4547</v>
      </c>
    </row>
    <row r="438" spans="1:17">
      <c r="A438" s="1414">
        <v>436</v>
      </c>
      <c r="B438" s="1414" t="s">
        <v>3882</v>
      </c>
      <c r="C438" s="1414">
        <v>50.93</v>
      </c>
      <c r="I438" s="2807">
        <f t="shared" si="18"/>
        <v>437</v>
      </c>
      <c r="J438" s="2807" t="s">
        <v>4545</v>
      </c>
      <c r="K438" s="2807" t="s">
        <v>4504</v>
      </c>
      <c r="L438" s="2807" t="str">
        <f t="shared" si="19"/>
        <v>B3256</v>
      </c>
      <c r="M438" s="2807">
        <v>8</v>
      </c>
      <c r="N438" s="2807">
        <v>-3</v>
      </c>
      <c r="O438" s="2807">
        <f t="shared" si="20"/>
        <v>50.93</v>
      </c>
      <c r="P438" s="1414" t="s">
        <v>4547</v>
      </c>
      <c r="Q438" s="1414" t="s">
        <v>4547</v>
      </c>
    </row>
    <row r="439" spans="1:17">
      <c r="A439" s="1414">
        <v>437</v>
      </c>
      <c r="B439" s="1414" t="s">
        <v>3883</v>
      </c>
      <c r="C439" s="1414">
        <v>50.93</v>
      </c>
      <c r="I439" s="2807">
        <f t="shared" si="18"/>
        <v>438</v>
      </c>
      <c r="J439" s="2807" t="s">
        <v>4545</v>
      </c>
      <c r="K439" s="2807" t="s">
        <v>4504</v>
      </c>
      <c r="L439" s="2807" t="str">
        <f t="shared" si="19"/>
        <v>B3257</v>
      </c>
      <c r="M439" s="2807">
        <v>8</v>
      </c>
      <c r="N439" s="2807">
        <v>-3</v>
      </c>
      <c r="O439" s="2807">
        <f t="shared" si="20"/>
        <v>50.93</v>
      </c>
      <c r="P439" s="1414" t="s">
        <v>4547</v>
      </c>
      <c r="Q439" s="1414" t="s">
        <v>4547</v>
      </c>
    </row>
    <row r="440" spans="1:17">
      <c r="A440" s="1414">
        <v>438</v>
      </c>
      <c r="B440" s="1414" t="s">
        <v>3884</v>
      </c>
      <c r="C440" s="1414">
        <v>50.93</v>
      </c>
      <c r="I440" s="2807">
        <f t="shared" si="18"/>
        <v>439</v>
      </c>
      <c r="J440" s="2807" t="s">
        <v>4545</v>
      </c>
      <c r="K440" s="2807" t="s">
        <v>4504</v>
      </c>
      <c r="L440" s="2807" t="str">
        <f t="shared" si="19"/>
        <v>B3258</v>
      </c>
      <c r="M440" s="2807">
        <v>8</v>
      </c>
      <c r="N440" s="2807">
        <v>-3</v>
      </c>
      <c r="O440" s="2807">
        <f t="shared" si="20"/>
        <v>50.93</v>
      </c>
      <c r="P440" s="1414" t="s">
        <v>4547</v>
      </c>
      <c r="Q440" s="1414" t="s">
        <v>4547</v>
      </c>
    </row>
    <row r="441" spans="1:17">
      <c r="A441" s="1414">
        <v>439</v>
      </c>
      <c r="B441" s="1414" t="s">
        <v>3885</v>
      </c>
      <c r="C441" s="1414">
        <v>50.93</v>
      </c>
      <c r="I441" s="2807">
        <f t="shared" si="18"/>
        <v>440</v>
      </c>
      <c r="J441" s="2807" t="s">
        <v>4545</v>
      </c>
      <c r="K441" s="2807" t="s">
        <v>4504</v>
      </c>
      <c r="L441" s="2807" t="str">
        <f t="shared" si="19"/>
        <v>B3259</v>
      </c>
      <c r="M441" s="2807">
        <v>8</v>
      </c>
      <c r="N441" s="2807">
        <v>-3</v>
      </c>
      <c r="O441" s="2807">
        <f t="shared" si="20"/>
        <v>50.93</v>
      </c>
      <c r="P441" s="1414" t="s">
        <v>4547</v>
      </c>
      <c r="Q441" s="1414" t="s">
        <v>4547</v>
      </c>
    </row>
    <row r="442" spans="1:17">
      <c r="A442" s="1414">
        <v>440</v>
      </c>
      <c r="B442" s="1414" t="s">
        <v>3886</v>
      </c>
      <c r="C442" s="1414">
        <v>50.93</v>
      </c>
      <c r="I442" s="2807">
        <f t="shared" si="18"/>
        <v>441</v>
      </c>
      <c r="J442" s="2807" t="s">
        <v>4545</v>
      </c>
      <c r="K442" s="2807" t="s">
        <v>4504</v>
      </c>
      <c r="L442" s="2807" t="str">
        <f t="shared" si="19"/>
        <v>B3260</v>
      </c>
      <c r="M442" s="2807">
        <v>8</v>
      </c>
      <c r="N442" s="2807">
        <v>-3</v>
      </c>
      <c r="O442" s="2807">
        <f t="shared" si="20"/>
        <v>50.93</v>
      </c>
      <c r="P442" s="1414" t="s">
        <v>4547</v>
      </c>
      <c r="Q442" s="1414" t="s">
        <v>4547</v>
      </c>
    </row>
    <row r="443" spans="1:17">
      <c r="A443" s="1414">
        <v>441</v>
      </c>
      <c r="B443" s="1414" t="s">
        <v>3887</v>
      </c>
      <c r="C443" s="1414">
        <v>50.93</v>
      </c>
      <c r="I443" s="2807">
        <f t="shared" si="18"/>
        <v>442</v>
      </c>
      <c r="J443" s="2807" t="s">
        <v>4545</v>
      </c>
      <c r="K443" s="2807" t="s">
        <v>4504</v>
      </c>
      <c r="L443" s="2807" t="str">
        <f t="shared" si="19"/>
        <v>B3261</v>
      </c>
      <c r="M443" s="2807">
        <v>8</v>
      </c>
      <c r="N443" s="2807">
        <v>-3</v>
      </c>
      <c r="O443" s="2807">
        <f t="shared" si="20"/>
        <v>50.93</v>
      </c>
      <c r="P443" s="1414" t="s">
        <v>4547</v>
      </c>
      <c r="Q443" s="1414" t="s">
        <v>4547</v>
      </c>
    </row>
    <row r="444" spans="1:17">
      <c r="A444" s="1414">
        <v>442</v>
      </c>
      <c r="B444" s="1414" t="s">
        <v>3888</v>
      </c>
      <c r="C444" s="1414">
        <v>50.93</v>
      </c>
      <c r="I444" s="2807">
        <f t="shared" si="18"/>
        <v>443</v>
      </c>
      <c r="J444" s="2807" t="s">
        <v>4545</v>
      </c>
      <c r="K444" s="2807" t="s">
        <v>4504</v>
      </c>
      <c r="L444" s="2807" t="str">
        <f t="shared" si="19"/>
        <v>B3262</v>
      </c>
      <c r="M444" s="2807">
        <v>8</v>
      </c>
      <c r="N444" s="2807">
        <v>-3</v>
      </c>
      <c r="O444" s="2807">
        <f t="shared" si="20"/>
        <v>50.93</v>
      </c>
      <c r="P444" s="1414" t="s">
        <v>4547</v>
      </c>
      <c r="Q444" s="1414" t="s">
        <v>4547</v>
      </c>
    </row>
    <row r="445" spans="1:17">
      <c r="A445" s="1414">
        <v>443</v>
      </c>
      <c r="B445" s="1414" t="s">
        <v>3889</v>
      </c>
      <c r="C445" s="1414">
        <v>50.93</v>
      </c>
      <c r="I445" s="2807">
        <f t="shared" si="18"/>
        <v>444</v>
      </c>
      <c r="J445" s="2807" t="s">
        <v>4545</v>
      </c>
      <c r="K445" s="2807" t="s">
        <v>4504</v>
      </c>
      <c r="L445" s="2807" t="str">
        <f t="shared" si="19"/>
        <v>B3263</v>
      </c>
      <c r="M445" s="2807">
        <v>8</v>
      </c>
      <c r="N445" s="2807">
        <v>-3</v>
      </c>
      <c r="O445" s="2807">
        <f t="shared" si="20"/>
        <v>50.93</v>
      </c>
      <c r="P445" s="1414" t="s">
        <v>4547</v>
      </c>
      <c r="Q445" s="1414" t="s">
        <v>4547</v>
      </c>
    </row>
    <row r="446" spans="1:17">
      <c r="A446" s="1414">
        <v>444</v>
      </c>
      <c r="B446" s="1414" t="s">
        <v>3890</v>
      </c>
      <c r="C446" s="1414">
        <v>50.93</v>
      </c>
      <c r="I446" s="2807">
        <f t="shared" si="18"/>
        <v>445</v>
      </c>
      <c r="J446" s="2807" t="s">
        <v>4545</v>
      </c>
      <c r="K446" s="2807" t="s">
        <v>4504</v>
      </c>
      <c r="L446" s="2807" t="str">
        <f t="shared" si="19"/>
        <v>B3264</v>
      </c>
      <c r="M446" s="2807">
        <v>8</v>
      </c>
      <c r="N446" s="2807">
        <v>-3</v>
      </c>
      <c r="O446" s="2807">
        <f t="shared" si="20"/>
        <v>50.93</v>
      </c>
      <c r="P446" s="1414" t="s">
        <v>4547</v>
      </c>
      <c r="Q446" s="1414" t="s">
        <v>4547</v>
      </c>
    </row>
    <row r="447" spans="1:17">
      <c r="A447" s="1414">
        <v>445</v>
      </c>
      <c r="B447" s="1414" t="s">
        <v>3891</v>
      </c>
      <c r="C447" s="1414">
        <v>50.93</v>
      </c>
      <c r="I447" s="2807">
        <f t="shared" si="18"/>
        <v>446</v>
      </c>
      <c r="J447" s="2807" t="s">
        <v>4545</v>
      </c>
      <c r="K447" s="2807" t="s">
        <v>4504</v>
      </c>
      <c r="L447" s="2807" t="str">
        <f t="shared" si="19"/>
        <v>B3265</v>
      </c>
      <c r="M447" s="2807">
        <v>8</v>
      </c>
      <c r="N447" s="2807">
        <v>-3</v>
      </c>
      <c r="O447" s="2807">
        <f t="shared" si="20"/>
        <v>50.93</v>
      </c>
      <c r="P447" s="1414" t="s">
        <v>4547</v>
      </c>
      <c r="Q447" s="1414" t="s">
        <v>4547</v>
      </c>
    </row>
    <row r="448" spans="1:17">
      <c r="A448" s="1414">
        <v>446</v>
      </c>
      <c r="B448" s="1414" t="s">
        <v>3892</v>
      </c>
      <c r="C448" s="1414">
        <v>50.93</v>
      </c>
      <c r="I448" s="2807">
        <f t="shared" si="18"/>
        <v>447</v>
      </c>
      <c r="J448" s="2807" t="s">
        <v>4545</v>
      </c>
      <c r="K448" s="2807" t="s">
        <v>4504</v>
      </c>
      <c r="L448" s="2807" t="str">
        <f t="shared" si="19"/>
        <v>B3266</v>
      </c>
      <c r="M448" s="2807">
        <v>8</v>
      </c>
      <c r="N448" s="2807">
        <v>-3</v>
      </c>
      <c r="O448" s="2807">
        <f t="shared" si="20"/>
        <v>50.93</v>
      </c>
      <c r="P448" s="1414" t="s">
        <v>4547</v>
      </c>
      <c r="Q448" s="1414" t="s">
        <v>4547</v>
      </c>
    </row>
    <row r="449" spans="1:17">
      <c r="A449" s="1414">
        <v>447</v>
      </c>
      <c r="B449" s="1414" t="s">
        <v>3893</v>
      </c>
      <c r="C449" s="1414">
        <v>50.93</v>
      </c>
      <c r="I449" s="2807">
        <f t="shared" si="18"/>
        <v>448</v>
      </c>
      <c r="J449" s="2807" t="s">
        <v>4545</v>
      </c>
      <c r="K449" s="2807" t="s">
        <v>4504</v>
      </c>
      <c r="L449" s="2807" t="str">
        <f t="shared" si="19"/>
        <v>B3267</v>
      </c>
      <c r="M449" s="2807">
        <v>8</v>
      </c>
      <c r="N449" s="2807">
        <v>-3</v>
      </c>
      <c r="O449" s="2807">
        <f t="shared" si="20"/>
        <v>50.93</v>
      </c>
      <c r="P449" s="1414" t="s">
        <v>4547</v>
      </c>
      <c r="Q449" s="1414" t="s">
        <v>4547</v>
      </c>
    </row>
    <row r="450" spans="1:17">
      <c r="A450" s="1414">
        <v>448</v>
      </c>
      <c r="B450" s="1414" t="s">
        <v>3894</v>
      </c>
      <c r="C450" s="1414">
        <v>50.93</v>
      </c>
      <c r="I450" s="2807">
        <f t="shared" si="18"/>
        <v>449</v>
      </c>
      <c r="J450" s="2807" t="s">
        <v>4545</v>
      </c>
      <c r="K450" s="2807" t="s">
        <v>4504</v>
      </c>
      <c r="L450" s="2807" t="str">
        <f t="shared" si="19"/>
        <v>B3268</v>
      </c>
      <c r="M450" s="2807">
        <v>8</v>
      </c>
      <c r="N450" s="2807">
        <v>-3</v>
      </c>
      <c r="O450" s="2807">
        <f t="shared" si="20"/>
        <v>50.93</v>
      </c>
      <c r="P450" s="1414" t="s">
        <v>4547</v>
      </c>
      <c r="Q450" s="1414" t="s">
        <v>4547</v>
      </c>
    </row>
    <row r="451" spans="1:17">
      <c r="A451" s="1414">
        <v>449</v>
      </c>
      <c r="B451" s="1414" t="s">
        <v>3895</v>
      </c>
      <c r="C451" s="1414">
        <v>50.93</v>
      </c>
      <c r="I451" s="2807">
        <f t="shared" ref="I451:I514" si="21">A452</f>
        <v>450</v>
      </c>
      <c r="J451" s="2807" t="s">
        <v>4545</v>
      </c>
      <c r="K451" s="2807" t="s">
        <v>4504</v>
      </c>
      <c r="L451" s="2807" t="str">
        <f t="shared" ref="L451:L514" si="22">B452</f>
        <v>B3269</v>
      </c>
      <c r="M451" s="2807">
        <v>8</v>
      </c>
      <c r="N451" s="2807">
        <v>-3</v>
      </c>
      <c r="O451" s="2807">
        <f t="shared" ref="O451:O514" si="23">C452</f>
        <v>50.93</v>
      </c>
      <c r="P451" s="1414" t="s">
        <v>4547</v>
      </c>
      <c r="Q451" s="1414" t="s">
        <v>4547</v>
      </c>
    </row>
    <row r="452" spans="1:17">
      <c r="A452" s="1414">
        <v>450</v>
      </c>
      <c r="B452" s="1414" t="s">
        <v>3896</v>
      </c>
      <c r="C452" s="1414">
        <v>50.93</v>
      </c>
      <c r="I452" s="2807">
        <f t="shared" si="21"/>
        <v>451</v>
      </c>
      <c r="J452" s="2807" t="s">
        <v>4545</v>
      </c>
      <c r="K452" s="2807" t="s">
        <v>4504</v>
      </c>
      <c r="L452" s="2807" t="str">
        <f t="shared" si="22"/>
        <v>B3270</v>
      </c>
      <c r="M452" s="2807">
        <v>8</v>
      </c>
      <c r="N452" s="2807">
        <v>-3</v>
      </c>
      <c r="O452" s="2807">
        <f t="shared" si="23"/>
        <v>50.93</v>
      </c>
      <c r="P452" s="1414" t="s">
        <v>4547</v>
      </c>
      <c r="Q452" s="1414" t="s">
        <v>4547</v>
      </c>
    </row>
    <row r="453" spans="1:17">
      <c r="A453" s="1414">
        <v>451</v>
      </c>
      <c r="B453" s="1414" t="s">
        <v>3897</v>
      </c>
      <c r="C453" s="1414">
        <v>50.93</v>
      </c>
      <c r="I453" s="2807">
        <f t="shared" si="21"/>
        <v>452</v>
      </c>
      <c r="J453" s="2807" t="s">
        <v>4545</v>
      </c>
      <c r="K453" s="2807" t="s">
        <v>4504</v>
      </c>
      <c r="L453" s="2807" t="str">
        <f t="shared" si="22"/>
        <v>B3271</v>
      </c>
      <c r="M453" s="2807">
        <v>8</v>
      </c>
      <c r="N453" s="2807">
        <v>-3</v>
      </c>
      <c r="O453" s="2807">
        <f t="shared" si="23"/>
        <v>50.93</v>
      </c>
      <c r="P453" s="1414" t="s">
        <v>4547</v>
      </c>
      <c r="Q453" s="1414" t="s">
        <v>4547</v>
      </c>
    </row>
    <row r="454" spans="1:17">
      <c r="A454" s="1414">
        <v>452</v>
      </c>
      <c r="B454" s="1414" t="s">
        <v>3898</v>
      </c>
      <c r="C454" s="1414">
        <v>50.93</v>
      </c>
      <c r="I454" s="2807">
        <f t="shared" si="21"/>
        <v>453</v>
      </c>
      <c r="J454" s="2807" t="s">
        <v>4545</v>
      </c>
      <c r="K454" s="2807" t="s">
        <v>4504</v>
      </c>
      <c r="L454" s="2807" t="str">
        <f t="shared" si="22"/>
        <v>B3272</v>
      </c>
      <c r="M454" s="2807">
        <v>8</v>
      </c>
      <c r="N454" s="2807">
        <v>-3</v>
      </c>
      <c r="O454" s="2807">
        <f t="shared" si="23"/>
        <v>50.93</v>
      </c>
      <c r="P454" s="1414" t="s">
        <v>4547</v>
      </c>
      <c r="Q454" s="1414" t="s">
        <v>4547</v>
      </c>
    </row>
    <row r="455" spans="1:17">
      <c r="A455" s="1414">
        <v>453</v>
      </c>
      <c r="B455" s="1414" t="s">
        <v>3899</v>
      </c>
      <c r="C455" s="1414">
        <v>50.93</v>
      </c>
      <c r="I455" s="2807">
        <f t="shared" si="21"/>
        <v>454</v>
      </c>
      <c r="J455" s="2807" t="s">
        <v>4545</v>
      </c>
      <c r="K455" s="2807" t="s">
        <v>4504</v>
      </c>
      <c r="L455" s="2807" t="str">
        <f t="shared" si="22"/>
        <v>B3273</v>
      </c>
      <c r="M455" s="2807">
        <v>8</v>
      </c>
      <c r="N455" s="2807">
        <v>-3</v>
      </c>
      <c r="O455" s="2807">
        <f t="shared" si="23"/>
        <v>50.93</v>
      </c>
      <c r="P455" s="1414" t="s">
        <v>4547</v>
      </c>
      <c r="Q455" s="1414" t="s">
        <v>4547</v>
      </c>
    </row>
    <row r="456" spans="1:17">
      <c r="A456" s="1414">
        <v>454</v>
      </c>
      <c r="B456" s="1414" t="s">
        <v>3900</v>
      </c>
      <c r="C456" s="1414">
        <v>50.93</v>
      </c>
      <c r="I456" s="2807">
        <f t="shared" si="21"/>
        <v>455</v>
      </c>
      <c r="J456" s="2807" t="s">
        <v>4545</v>
      </c>
      <c r="K456" s="2807" t="s">
        <v>4504</v>
      </c>
      <c r="L456" s="2807" t="str">
        <f t="shared" si="22"/>
        <v>B3274</v>
      </c>
      <c r="M456" s="2807">
        <v>8</v>
      </c>
      <c r="N456" s="2807">
        <v>-3</v>
      </c>
      <c r="O456" s="2807">
        <f t="shared" si="23"/>
        <v>50.93</v>
      </c>
      <c r="P456" s="1414" t="s">
        <v>4547</v>
      </c>
      <c r="Q456" s="1414" t="s">
        <v>4547</v>
      </c>
    </row>
    <row r="457" spans="1:17">
      <c r="A457" s="1414">
        <v>455</v>
      </c>
      <c r="B457" s="1414" t="s">
        <v>3901</v>
      </c>
      <c r="C457" s="1414">
        <v>50.93</v>
      </c>
      <c r="I457" s="2807">
        <f t="shared" si="21"/>
        <v>456</v>
      </c>
      <c r="J457" s="2807" t="s">
        <v>4545</v>
      </c>
      <c r="K457" s="2807" t="s">
        <v>4504</v>
      </c>
      <c r="L457" s="2807" t="str">
        <f t="shared" si="22"/>
        <v>B3275</v>
      </c>
      <c r="M457" s="2807">
        <v>8</v>
      </c>
      <c r="N457" s="2807">
        <v>-3</v>
      </c>
      <c r="O457" s="2807">
        <f t="shared" si="23"/>
        <v>50.93</v>
      </c>
      <c r="P457" s="1414" t="s">
        <v>4547</v>
      </c>
      <c r="Q457" s="1414" t="s">
        <v>4547</v>
      </c>
    </row>
    <row r="458" spans="1:17">
      <c r="A458" s="1414">
        <v>456</v>
      </c>
      <c r="B458" s="1414" t="s">
        <v>3902</v>
      </c>
      <c r="C458" s="1414">
        <v>50.93</v>
      </c>
      <c r="I458" s="2807">
        <f t="shared" si="21"/>
        <v>457</v>
      </c>
      <c r="J458" s="2807" t="s">
        <v>4545</v>
      </c>
      <c r="K458" s="2807" t="s">
        <v>4504</v>
      </c>
      <c r="L458" s="2807" t="str">
        <f t="shared" si="22"/>
        <v>B3276</v>
      </c>
      <c r="M458" s="2807">
        <v>8</v>
      </c>
      <c r="N458" s="2807">
        <v>-3</v>
      </c>
      <c r="O458" s="2807">
        <f t="shared" si="23"/>
        <v>50.93</v>
      </c>
      <c r="P458" s="1414" t="s">
        <v>4547</v>
      </c>
      <c r="Q458" s="1414" t="s">
        <v>4547</v>
      </c>
    </row>
    <row r="459" spans="1:17">
      <c r="A459" s="1414">
        <v>457</v>
      </c>
      <c r="B459" s="1414" t="s">
        <v>3903</v>
      </c>
      <c r="C459" s="1414">
        <v>50.93</v>
      </c>
      <c r="I459" s="2807">
        <f t="shared" si="21"/>
        <v>458</v>
      </c>
      <c r="J459" s="2807" t="s">
        <v>4545</v>
      </c>
      <c r="K459" s="2807" t="s">
        <v>4504</v>
      </c>
      <c r="L459" s="2807" t="str">
        <f t="shared" si="22"/>
        <v>B3277</v>
      </c>
      <c r="M459" s="2807">
        <v>8</v>
      </c>
      <c r="N459" s="2807">
        <v>-3</v>
      </c>
      <c r="O459" s="2807">
        <f t="shared" si="23"/>
        <v>50.93</v>
      </c>
      <c r="P459" s="1414" t="s">
        <v>4547</v>
      </c>
      <c r="Q459" s="1414" t="s">
        <v>4547</v>
      </c>
    </row>
    <row r="460" spans="1:17">
      <c r="A460" s="1414">
        <v>458</v>
      </c>
      <c r="B460" s="1414" t="s">
        <v>3904</v>
      </c>
      <c r="C460" s="1414">
        <v>50.93</v>
      </c>
      <c r="I460" s="2807">
        <f t="shared" si="21"/>
        <v>459</v>
      </c>
      <c r="J460" s="2807" t="s">
        <v>4545</v>
      </c>
      <c r="K460" s="2807" t="s">
        <v>4504</v>
      </c>
      <c r="L460" s="2807" t="str">
        <f t="shared" si="22"/>
        <v>B3278</v>
      </c>
      <c r="M460" s="2807">
        <v>8</v>
      </c>
      <c r="N460" s="2807">
        <v>-3</v>
      </c>
      <c r="O460" s="2807">
        <f t="shared" si="23"/>
        <v>50.93</v>
      </c>
      <c r="P460" s="1414" t="s">
        <v>4547</v>
      </c>
      <c r="Q460" s="1414" t="s">
        <v>4547</v>
      </c>
    </row>
    <row r="461" spans="1:17">
      <c r="A461" s="1414">
        <v>459</v>
      </c>
      <c r="B461" s="1414" t="s">
        <v>3905</v>
      </c>
      <c r="C461" s="1414">
        <v>50.93</v>
      </c>
      <c r="I461" s="2807">
        <f t="shared" si="21"/>
        <v>460</v>
      </c>
      <c r="J461" s="2807" t="s">
        <v>4545</v>
      </c>
      <c r="K461" s="2807" t="s">
        <v>4504</v>
      </c>
      <c r="L461" s="2807" t="str">
        <f t="shared" si="22"/>
        <v>B3279</v>
      </c>
      <c r="M461" s="2807">
        <v>8</v>
      </c>
      <c r="N461" s="2807">
        <v>-3</v>
      </c>
      <c r="O461" s="2807">
        <f t="shared" si="23"/>
        <v>50.93</v>
      </c>
      <c r="P461" s="1414" t="s">
        <v>4547</v>
      </c>
      <c r="Q461" s="1414" t="s">
        <v>4547</v>
      </c>
    </row>
    <row r="462" spans="1:17">
      <c r="A462" s="1414">
        <v>460</v>
      </c>
      <c r="B462" s="1414" t="s">
        <v>3906</v>
      </c>
      <c r="C462" s="1414">
        <v>50.93</v>
      </c>
      <c r="I462" s="2807">
        <f t="shared" si="21"/>
        <v>461</v>
      </c>
      <c r="J462" s="2807" t="s">
        <v>4545</v>
      </c>
      <c r="K462" s="2807" t="s">
        <v>4504</v>
      </c>
      <c r="L462" s="2807" t="str">
        <f t="shared" si="22"/>
        <v>B3280</v>
      </c>
      <c r="M462" s="2807">
        <v>8</v>
      </c>
      <c r="N462" s="2807">
        <v>-3</v>
      </c>
      <c r="O462" s="2807">
        <f t="shared" si="23"/>
        <v>50.93</v>
      </c>
      <c r="P462" s="1414" t="s">
        <v>4547</v>
      </c>
      <c r="Q462" s="1414" t="s">
        <v>4547</v>
      </c>
    </row>
    <row r="463" spans="1:17">
      <c r="A463" s="1414">
        <v>461</v>
      </c>
      <c r="B463" s="1414" t="s">
        <v>3907</v>
      </c>
      <c r="C463" s="1414">
        <v>50.93</v>
      </c>
      <c r="I463" s="2807">
        <f t="shared" si="21"/>
        <v>462</v>
      </c>
      <c r="J463" s="2807" t="s">
        <v>4545</v>
      </c>
      <c r="K463" s="2807" t="s">
        <v>4504</v>
      </c>
      <c r="L463" s="2807" t="str">
        <f t="shared" si="22"/>
        <v>B3281</v>
      </c>
      <c r="M463" s="2807">
        <v>8</v>
      </c>
      <c r="N463" s="2807">
        <v>-3</v>
      </c>
      <c r="O463" s="2807">
        <f t="shared" si="23"/>
        <v>52.93</v>
      </c>
      <c r="P463" s="1414" t="s">
        <v>4547</v>
      </c>
      <c r="Q463" s="1414" t="s">
        <v>4547</v>
      </c>
    </row>
    <row r="464" spans="1:17">
      <c r="A464" s="1414">
        <v>462</v>
      </c>
      <c r="B464" s="1414" t="s">
        <v>3908</v>
      </c>
      <c r="C464" s="1414">
        <v>52.93</v>
      </c>
      <c r="I464" s="2807">
        <f t="shared" si="21"/>
        <v>463</v>
      </c>
      <c r="J464" s="2807" t="s">
        <v>4545</v>
      </c>
      <c r="K464" s="2807" t="s">
        <v>4504</v>
      </c>
      <c r="L464" s="2807" t="str">
        <f t="shared" si="22"/>
        <v>B3282</v>
      </c>
      <c r="M464" s="2807">
        <v>8</v>
      </c>
      <c r="N464" s="2807">
        <v>-3</v>
      </c>
      <c r="O464" s="2807">
        <f t="shared" si="23"/>
        <v>52.93</v>
      </c>
      <c r="P464" s="1414" t="s">
        <v>4547</v>
      </c>
      <c r="Q464" s="1414" t="s">
        <v>4547</v>
      </c>
    </row>
    <row r="465" spans="1:17">
      <c r="A465" s="1414">
        <v>463</v>
      </c>
      <c r="B465" s="1414" t="s">
        <v>3909</v>
      </c>
      <c r="C465" s="1414">
        <v>52.93</v>
      </c>
      <c r="I465" s="2807">
        <f t="shared" si="21"/>
        <v>464</v>
      </c>
      <c r="J465" s="2807" t="s">
        <v>4545</v>
      </c>
      <c r="K465" s="2807" t="s">
        <v>4504</v>
      </c>
      <c r="L465" s="2807" t="str">
        <f t="shared" si="22"/>
        <v>B3283</v>
      </c>
      <c r="M465" s="2807">
        <v>8</v>
      </c>
      <c r="N465" s="2807">
        <v>-3</v>
      </c>
      <c r="O465" s="2807">
        <f t="shared" si="23"/>
        <v>52.93</v>
      </c>
      <c r="P465" s="1414" t="s">
        <v>4547</v>
      </c>
      <c r="Q465" s="1414" t="s">
        <v>4547</v>
      </c>
    </row>
    <row r="466" spans="1:17">
      <c r="A466" s="1414">
        <v>464</v>
      </c>
      <c r="B466" s="1414" t="s">
        <v>3910</v>
      </c>
      <c r="C466" s="1414">
        <v>52.93</v>
      </c>
      <c r="I466" s="2807">
        <f t="shared" si="21"/>
        <v>465</v>
      </c>
      <c r="J466" s="2807" t="s">
        <v>4545</v>
      </c>
      <c r="K466" s="2807" t="s">
        <v>4504</v>
      </c>
      <c r="L466" s="2807" t="str">
        <f t="shared" si="22"/>
        <v>B3284</v>
      </c>
      <c r="M466" s="2807">
        <v>8</v>
      </c>
      <c r="N466" s="2807">
        <v>-3</v>
      </c>
      <c r="O466" s="2807">
        <f t="shared" si="23"/>
        <v>52.93</v>
      </c>
      <c r="P466" s="1414" t="s">
        <v>4547</v>
      </c>
      <c r="Q466" s="1414" t="s">
        <v>4547</v>
      </c>
    </row>
    <row r="467" spans="1:17">
      <c r="A467" s="1414">
        <v>465</v>
      </c>
      <c r="B467" s="1414" t="s">
        <v>3911</v>
      </c>
      <c r="C467" s="1414">
        <v>52.93</v>
      </c>
      <c r="I467" s="2807">
        <f t="shared" si="21"/>
        <v>466</v>
      </c>
      <c r="J467" s="2807" t="s">
        <v>4545</v>
      </c>
      <c r="K467" s="2807" t="s">
        <v>4504</v>
      </c>
      <c r="L467" s="2807" t="str">
        <f t="shared" si="22"/>
        <v>B3285</v>
      </c>
      <c r="M467" s="2807">
        <v>8</v>
      </c>
      <c r="N467" s="2807">
        <v>-3</v>
      </c>
      <c r="O467" s="2807">
        <f t="shared" si="23"/>
        <v>52.93</v>
      </c>
      <c r="P467" s="1414" t="s">
        <v>4547</v>
      </c>
      <c r="Q467" s="1414" t="s">
        <v>4547</v>
      </c>
    </row>
    <row r="468" spans="1:17">
      <c r="A468" s="1414">
        <v>466</v>
      </c>
      <c r="B468" s="1414" t="s">
        <v>3912</v>
      </c>
      <c r="C468" s="1414">
        <v>52.93</v>
      </c>
      <c r="I468" s="2807">
        <f t="shared" si="21"/>
        <v>467</v>
      </c>
      <c r="J468" s="2807" t="s">
        <v>4545</v>
      </c>
      <c r="K468" s="2807" t="s">
        <v>4504</v>
      </c>
      <c r="L468" s="2807" t="str">
        <f t="shared" si="22"/>
        <v>B3286</v>
      </c>
      <c r="M468" s="2807">
        <v>8</v>
      </c>
      <c r="N468" s="2807">
        <v>-3</v>
      </c>
      <c r="O468" s="2807">
        <f t="shared" si="23"/>
        <v>52.93</v>
      </c>
      <c r="P468" s="1414" t="s">
        <v>4547</v>
      </c>
      <c r="Q468" s="1414" t="s">
        <v>4547</v>
      </c>
    </row>
    <row r="469" spans="1:17">
      <c r="A469" s="1414">
        <v>467</v>
      </c>
      <c r="B469" s="1414" t="s">
        <v>3913</v>
      </c>
      <c r="C469" s="1414">
        <v>52.93</v>
      </c>
      <c r="I469" s="2807">
        <f t="shared" si="21"/>
        <v>468</v>
      </c>
      <c r="J469" s="2807" t="s">
        <v>4545</v>
      </c>
      <c r="K469" s="2807" t="s">
        <v>4504</v>
      </c>
      <c r="L469" s="2807" t="str">
        <f t="shared" si="22"/>
        <v>B3287</v>
      </c>
      <c r="M469" s="2807">
        <v>8</v>
      </c>
      <c r="N469" s="2807">
        <v>-3</v>
      </c>
      <c r="O469" s="2807">
        <f t="shared" si="23"/>
        <v>52.93</v>
      </c>
      <c r="P469" s="1414" t="s">
        <v>4547</v>
      </c>
      <c r="Q469" s="1414" t="s">
        <v>4547</v>
      </c>
    </row>
    <row r="470" spans="1:17">
      <c r="A470" s="1414">
        <v>468</v>
      </c>
      <c r="B470" s="1414" t="s">
        <v>3914</v>
      </c>
      <c r="C470" s="1414">
        <v>52.93</v>
      </c>
      <c r="I470" s="2807">
        <f t="shared" si="21"/>
        <v>469</v>
      </c>
      <c r="J470" s="2807" t="s">
        <v>4545</v>
      </c>
      <c r="K470" s="2807" t="s">
        <v>4504</v>
      </c>
      <c r="L470" s="2807" t="str">
        <f t="shared" si="22"/>
        <v>B3288</v>
      </c>
      <c r="M470" s="2807">
        <v>8</v>
      </c>
      <c r="N470" s="2807">
        <v>-3</v>
      </c>
      <c r="O470" s="2807">
        <f t="shared" si="23"/>
        <v>52.93</v>
      </c>
      <c r="P470" s="1414" t="s">
        <v>4547</v>
      </c>
      <c r="Q470" s="1414" t="s">
        <v>4547</v>
      </c>
    </row>
    <row r="471" spans="1:17">
      <c r="A471" s="1414">
        <v>469</v>
      </c>
      <c r="B471" s="1414" t="s">
        <v>3915</v>
      </c>
      <c r="C471" s="1414">
        <v>52.93</v>
      </c>
      <c r="I471" s="2807">
        <f t="shared" si="21"/>
        <v>470</v>
      </c>
      <c r="J471" s="2807" t="s">
        <v>4545</v>
      </c>
      <c r="K471" s="2807" t="s">
        <v>4504</v>
      </c>
      <c r="L471" s="2807" t="str">
        <f t="shared" si="22"/>
        <v>B3289</v>
      </c>
      <c r="M471" s="2807">
        <v>8</v>
      </c>
      <c r="N471" s="2807">
        <v>-3</v>
      </c>
      <c r="O471" s="2807">
        <f t="shared" si="23"/>
        <v>52.93</v>
      </c>
      <c r="P471" s="1414" t="s">
        <v>4547</v>
      </c>
      <c r="Q471" s="1414" t="s">
        <v>4547</v>
      </c>
    </row>
    <row r="472" spans="1:17">
      <c r="A472" s="1414">
        <v>470</v>
      </c>
      <c r="B472" s="1414" t="s">
        <v>3916</v>
      </c>
      <c r="C472" s="1414">
        <v>52.93</v>
      </c>
      <c r="I472" s="2807">
        <f t="shared" si="21"/>
        <v>471</v>
      </c>
      <c r="J472" s="2807" t="s">
        <v>4545</v>
      </c>
      <c r="K472" s="2807" t="s">
        <v>4504</v>
      </c>
      <c r="L472" s="2807" t="str">
        <f t="shared" si="22"/>
        <v>B3290</v>
      </c>
      <c r="M472" s="2807">
        <v>8</v>
      </c>
      <c r="N472" s="2807">
        <v>-3</v>
      </c>
      <c r="O472" s="2807">
        <f t="shared" si="23"/>
        <v>52.93</v>
      </c>
      <c r="P472" s="1414" t="s">
        <v>4547</v>
      </c>
      <c r="Q472" s="1414" t="s">
        <v>4547</v>
      </c>
    </row>
    <row r="473" spans="1:17">
      <c r="A473" s="1414">
        <v>471</v>
      </c>
      <c r="B473" s="1414" t="s">
        <v>3917</v>
      </c>
      <c r="C473" s="1414">
        <v>52.93</v>
      </c>
      <c r="I473" s="2807">
        <f t="shared" si="21"/>
        <v>472</v>
      </c>
      <c r="J473" s="2807" t="s">
        <v>4545</v>
      </c>
      <c r="K473" s="2807" t="s">
        <v>4504</v>
      </c>
      <c r="L473" s="2807" t="str">
        <f t="shared" si="22"/>
        <v>B3291</v>
      </c>
      <c r="M473" s="2807">
        <v>8</v>
      </c>
      <c r="N473" s="2807">
        <v>-3</v>
      </c>
      <c r="O473" s="2807">
        <f t="shared" si="23"/>
        <v>52.93</v>
      </c>
      <c r="P473" s="1414" t="s">
        <v>4547</v>
      </c>
      <c r="Q473" s="1414" t="s">
        <v>4547</v>
      </c>
    </row>
    <row r="474" spans="1:17">
      <c r="A474" s="1414">
        <v>472</v>
      </c>
      <c r="B474" s="1414" t="s">
        <v>3918</v>
      </c>
      <c r="C474" s="1414">
        <v>52.93</v>
      </c>
      <c r="I474" s="2807">
        <f t="shared" si="21"/>
        <v>473</v>
      </c>
      <c r="J474" s="2807" t="s">
        <v>4545</v>
      </c>
      <c r="K474" s="2807" t="s">
        <v>4504</v>
      </c>
      <c r="L474" s="2807" t="str">
        <f t="shared" si="22"/>
        <v>B3292</v>
      </c>
      <c r="M474" s="2807">
        <v>8</v>
      </c>
      <c r="N474" s="2807">
        <v>-3</v>
      </c>
      <c r="O474" s="2807">
        <f t="shared" si="23"/>
        <v>52.93</v>
      </c>
      <c r="P474" s="1414" t="s">
        <v>4547</v>
      </c>
      <c r="Q474" s="1414" t="s">
        <v>4547</v>
      </c>
    </row>
    <row r="475" spans="1:17">
      <c r="A475" s="1414">
        <v>473</v>
      </c>
      <c r="B475" s="1414" t="s">
        <v>3919</v>
      </c>
      <c r="C475" s="1414">
        <v>52.93</v>
      </c>
      <c r="I475" s="2807">
        <f t="shared" si="21"/>
        <v>474</v>
      </c>
      <c r="J475" s="2807" t="s">
        <v>4545</v>
      </c>
      <c r="K475" s="2807" t="s">
        <v>4504</v>
      </c>
      <c r="L475" s="2807" t="str">
        <f t="shared" si="22"/>
        <v>B3293</v>
      </c>
      <c r="M475" s="2807">
        <v>8</v>
      </c>
      <c r="N475" s="2807">
        <v>-3</v>
      </c>
      <c r="O475" s="2807">
        <f t="shared" si="23"/>
        <v>52.93</v>
      </c>
      <c r="P475" s="1414" t="s">
        <v>4547</v>
      </c>
      <c r="Q475" s="1414" t="s">
        <v>4547</v>
      </c>
    </row>
    <row r="476" spans="1:17">
      <c r="A476" s="1414">
        <v>474</v>
      </c>
      <c r="B476" s="1414" t="s">
        <v>3920</v>
      </c>
      <c r="C476" s="1414">
        <v>52.93</v>
      </c>
      <c r="I476" s="2807">
        <f t="shared" si="21"/>
        <v>475</v>
      </c>
      <c r="J476" s="2807" t="s">
        <v>4545</v>
      </c>
      <c r="K476" s="2807" t="s">
        <v>4504</v>
      </c>
      <c r="L476" s="2807" t="str">
        <f t="shared" si="22"/>
        <v>B3294</v>
      </c>
      <c r="M476" s="2807">
        <v>8</v>
      </c>
      <c r="N476" s="2807">
        <v>-3</v>
      </c>
      <c r="O476" s="2807">
        <f t="shared" si="23"/>
        <v>52.93</v>
      </c>
      <c r="P476" s="1414" t="s">
        <v>4547</v>
      </c>
      <c r="Q476" s="1414" t="s">
        <v>4547</v>
      </c>
    </row>
    <row r="477" spans="1:17">
      <c r="A477" s="1414">
        <v>475</v>
      </c>
      <c r="B477" s="1414" t="s">
        <v>3921</v>
      </c>
      <c r="C477" s="1414">
        <v>52.93</v>
      </c>
      <c r="I477" s="2807">
        <f t="shared" si="21"/>
        <v>476</v>
      </c>
      <c r="J477" s="2807" t="s">
        <v>4545</v>
      </c>
      <c r="K477" s="2807" t="s">
        <v>4504</v>
      </c>
      <c r="L477" s="2807" t="str">
        <f t="shared" si="22"/>
        <v>B3295</v>
      </c>
      <c r="M477" s="2807">
        <v>8</v>
      </c>
      <c r="N477" s="2807">
        <v>-3</v>
      </c>
      <c r="O477" s="2807">
        <f t="shared" si="23"/>
        <v>52.93</v>
      </c>
      <c r="P477" s="1414" t="s">
        <v>4547</v>
      </c>
      <c r="Q477" s="1414" t="s">
        <v>4547</v>
      </c>
    </row>
    <row r="478" spans="1:17">
      <c r="A478" s="1414">
        <v>476</v>
      </c>
      <c r="B478" s="1414" t="s">
        <v>3922</v>
      </c>
      <c r="C478" s="1414">
        <v>52.93</v>
      </c>
      <c r="I478" s="2807">
        <f t="shared" si="21"/>
        <v>477</v>
      </c>
      <c r="J478" s="2807" t="s">
        <v>4545</v>
      </c>
      <c r="K478" s="2807" t="s">
        <v>4504</v>
      </c>
      <c r="L478" s="2807" t="str">
        <f t="shared" si="22"/>
        <v>B3296</v>
      </c>
      <c r="M478" s="2807">
        <v>8</v>
      </c>
      <c r="N478" s="2807">
        <v>-3</v>
      </c>
      <c r="O478" s="2807">
        <f t="shared" si="23"/>
        <v>52.93</v>
      </c>
      <c r="P478" s="1414" t="s">
        <v>4547</v>
      </c>
      <c r="Q478" s="1414" t="s">
        <v>4547</v>
      </c>
    </row>
    <row r="479" spans="1:17">
      <c r="A479" s="1414">
        <v>477</v>
      </c>
      <c r="B479" s="1414" t="s">
        <v>3923</v>
      </c>
      <c r="C479" s="1414">
        <v>52.93</v>
      </c>
      <c r="I479" s="2807">
        <f t="shared" si="21"/>
        <v>478</v>
      </c>
      <c r="J479" s="2807" t="s">
        <v>4545</v>
      </c>
      <c r="K479" s="2807" t="s">
        <v>4504</v>
      </c>
      <c r="L479" s="2807" t="str">
        <f t="shared" si="22"/>
        <v>B3297</v>
      </c>
      <c r="M479" s="2807">
        <v>8</v>
      </c>
      <c r="N479" s="2807">
        <v>-3</v>
      </c>
      <c r="O479" s="2807">
        <f t="shared" si="23"/>
        <v>52.93</v>
      </c>
      <c r="P479" s="1414" t="s">
        <v>4547</v>
      </c>
      <c r="Q479" s="1414" t="s">
        <v>4547</v>
      </c>
    </row>
    <row r="480" spans="1:17">
      <c r="A480" s="1414">
        <v>478</v>
      </c>
      <c r="B480" s="1414" t="s">
        <v>3924</v>
      </c>
      <c r="C480" s="1414">
        <v>52.93</v>
      </c>
      <c r="I480" s="2807">
        <f t="shared" si="21"/>
        <v>479</v>
      </c>
      <c r="J480" s="2807" t="s">
        <v>4545</v>
      </c>
      <c r="K480" s="2807" t="s">
        <v>4504</v>
      </c>
      <c r="L480" s="2807" t="str">
        <f t="shared" si="22"/>
        <v>B3298</v>
      </c>
      <c r="M480" s="2807">
        <v>8</v>
      </c>
      <c r="N480" s="2807">
        <v>-3</v>
      </c>
      <c r="O480" s="2807">
        <f t="shared" si="23"/>
        <v>52.93</v>
      </c>
      <c r="P480" s="1414" t="s">
        <v>4547</v>
      </c>
      <c r="Q480" s="1414" t="s">
        <v>4547</v>
      </c>
    </row>
    <row r="481" spans="1:17">
      <c r="A481" s="1414">
        <v>479</v>
      </c>
      <c r="B481" s="1414" t="s">
        <v>3925</v>
      </c>
      <c r="C481" s="1414">
        <v>52.93</v>
      </c>
      <c r="I481" s="2807">
        <f t="shared" si="21"/>
        <v>480</v>
      </c>
      <c r="J481" s="2807" t="s">
        <v>4545</v>
      </c>
      <c r="K481" s="2807" t="s">
        <v>4504</v>
      </c>
      <c r="L481" s="2807" t="str">
        <f t="shared" si="22"/>
        <v>B3299</v>
      </c>
      <c r="M481" s="2807">
        <v>8</v>
      </c>
      <c r="N481" s="2807">
        <v>-3</v>
      </c>
      <c r="O481" s="2807">
        <f t="shared" si="23"/>
        <v>52.93</v>
      </c>
      <c r="P481" s="1414" t="s">
        <v>4547</v>
      </c>
      <c r="Q481" s="1414" t="s">
        <v>4547</v>
      </c>
    </row>
    <row r="482" spans="1:17">
      <c r="A482" s="1414">
        <v>480</v>
      </c>
      <c r="B482" s="1414" t="s">
        <v>3926</v>
      </c>
      <c r="C482" s="1414">
        <v>52.93</v>
      </c>
      <c r="I482" s="2807">
        <f t="shared" si="21"/>
        <v>481</v>
      </c>
      <c r="J482" s="2807" t="s">
        <v>4545</v>
      </c>
      <c r="K482" s="2807" t="s">
        <v>4504</v>
      </c>
      <c r="L482" s="2807" t="str">
        <f t="shared" si="22"/>
        <v>B3300</v>
      </c>
      <c r="M482" s="2807">
        <v>8</v>
      </c>
      <c r="N482" s="2807">
        <v>-3</v>
      </c>
      <c r="O482" s="2807">
        <f t="shared" si="23"/>
        <v>52.93</v>
      </c>
      <c r="P482" s="1414" t="s">
        <v>4547</v>
      </c>
      <c r="Q482" s="1414" t="s">
        <v>4547</v>
      </c>
    </row>
    <row r="483" spans="1:17">
      <c r="A483" s="1414">
        <v>481</v>
      </c>
      <c r="B483" s="1414" t="s">
        <v>3927</v>
      </c>
      <c r="C483" s="1414">
        <v>52.93</v>
      </c>
      <c r="I483" s="2807">
        <f t="shared" si="21"/>
        <v>482</v>
      </c>
      <c r="J483" s="2807" t="s">
        <v>4545</v>
      </c>
      <c r="K483" s="2807" t="s">
        <v>4504</v>
      </c>
      <c r="L483" s="2807" t="str">
        <f t="shared" si="22"/>
        <v>B3301</v>
      </c>
      <c r="M483" s="2807">
        <v>8</v>
      </c>
      <c r="N483" s="2807">
        <v>-3</v>
      </c>
      <c r="O483" s="2807">
        <f t="shared" si="23"/>
        <v>52.93</v>
      </c>
      <c r="P483" s="1414" t="s">
        <v>4547</v>
      </c>
      <c r="Q483" s="1414" t="s">
        <v>4547</v>
      </c>
    </row>
    <row r="484" spans="1:17">
      <c r="A484" s="1414">
        <v>482</v>
      </c>
      <c r="B484" s="1414" t="s">
        <v>3928</v>
      </c>
      <c r="C484" s="1414">
        <v>52.93</v>
      </c>
      <c r="I484" s="2807">
        <f t="shared" si="21"/>
        <v>483</v>
      </c>
      <c r="J484" s="2807" t="s">
        <v>4545</v>
      </c>
      <c r="K484" s="2807" t="s">
        <v>4504</v>
      </c>
      <c r="L484" s="2807" t="str">
        <f t="shared" si="22"/>
        <v>B3302</v>
      </c>
      <c r="M484" s="2807">
        <v>8</v>
      </c>
      <c r="N484" s="2807">
        <v>-3</v>
      </c>
      <c r="O484" s="2807">
        <f t="shared" si="23"/>
        <v>52.93</v>
      </c>
      <c r="P484" s="1414" t="s">
        <v>4547</v>
      </c>
      <c r="Q484" s="1414" t="s">
        <v>4547</v>
      </c>
    </row>
    <row r="485" spans="1:17">
      <c r="A485" s="1414">
        <v>483</v>
      </c>
      <c r="B485" s="1414" t="s">
        <v>3929</v>
      </c>
      <c r="C485" s="1414">
        <v>52.93</v>
      </c>
      <c r="I485" s="2807">
        <f t="shared" si="21"/>
        <v>484</v>
      </c>
      <c r="J485" s="2807" t="s">
        <v>4545</v>
      </c>
      <c r="K485" s="2807" t="s">
        <v>4504</v>
      </c>
      <c r="L485" s="2807" t="str">
        <f t="shared" si="22"/>
        <v>B3303</v>
      </c>
      <c r="M485" s="2807">
        <v>8</v>
      </c>
      <c r="N485" s="2807">
        <v>-3</v>
      </c>
      <c r="O485" s="2807">
        <f t="shared" si="23"/>
        <v>52.93</v>
      </c>
      <c r="P485" s="1414" t="s">
        <v>4547</v>
      </c>
      <c r="Q485" s="1414" t="s">
        <v>4547</v>
      </c>
    </row>
    <row r="486" spans="1:17">
      <c r="A486" s="1414">
        <v>484</v>
      </c>
      <c r="B486" s="1414" t="s">
        <v>3930</v>
      </c>
      <c r="C486" s="1414">
        <v>52.93</v>
      </c>
      <c r="I486" s="2807">
        <f t="shared" si="21"/>
        <v>485</v>
      </c>
      <c r="J486" s="2807" t="s">
        <v>4545</v>
      </c>
      <c r="K486" s="2807" t="s">
        <v>4504</v>
      </c>
      <c r="L486" s="2807" t="str">
        <f t="shared" si="22"/>
        <v>B3304</v>
      </c>
      <c r="M486" s="2807">
        <v>8</v>
      </c>
      <c r="N486" s="2807">
        <v>-3</v>
      </c>
      <c r="O486" s="2807">
        <f t="shared" si="23"/>
        <v>52.93</v>
      </c>
      <c r="P486" s="1414" t="s">
        <v>4547</v>
      </c>
      <c r="Q486" s="1414" t="s">
        <v>4547</v>
      </c>
    </row>
    <row r="487" spans="1:17">
      <c r="A487" s="1414">
        <v>485</v>
      </c>
      <c r="B487" s="1414" t="s">
        <v>3931</v>
      </c>
      <c r="C487" s="1414">
        <v>52.93</v>
      </c>
      <c r="I487" s="2807">
        <f t="shared" si="21"/>
        <v>486</v>
      </c>
      <c r="J487" s="2807" t="s">
        <v>4545</v>
      </c>
      <c r="K487" s="2807" t="s">
        <v>4504</v>
      </c>
      <c r="L487" s="2807" t="str">
        <f t="shared" si="22"/>
        <v>B3305</v>
      </c>
      <c r="M487" s="2807">
        <v>8</v>
      </c>
      <c r="N487" s="2807">
        <v>-3</v>
      </c>
      <c r="O487" s="2807">
        <f t="shared" si="23"/>
        <v>52.93</v>
      </c>
      <c r="P487" s="1414" t="s">
        <v>4547</v>
      </c>
      <c r="Q487" s="1414" t="s">
        <v>4547</v>
      </c>
    </row>
    <row r="488" spans="1:17">
      <c r="A488" s="1414">
        <v>486</v>
      </c>
      <c r="B488" s="1414" t="s">
        <v>3932</v>
      </c>
      <c r="C488" s="1414">
        <v>52.93</v>
      </c>
      <c r="I488" s="2807">
        <f t="shared" si="21"/>
        <v>487</v>
      </c>
      <c r="J488" s="2807" t="s">
        <v>4545</v>
      </c>
      <c r="K488" s="2807" t="s">
        <v>4504</v>
      </c>
      <c r="L488" s="2807" t="str">
        <f t="shared" si="22"/>
        <v>B3306</v>
      </c>
      <c r="M488" s="2807">
        <v>8</v>
      </c>
      <c r="N488" s="2807">
        <v>-3</v>
      </c>
      <c r="O488" s="2807">
        <f t="shared" si="23"/>
        <v>52.93</v>
      </c>
      <c r="P488" s="1414" t="s">
        <v>4547</v>
      </c>
      <c r="Q488" s="1414" t="s">
        <v>4547</v>
      </c>
    </row>
    <row r="489" spans="1:17">
      <c r="A489" s="1414">
        <v>487</v>
      </c>
      <c r="B489" s="1414" t="s">
        <v>3933</v>
      </c>
      <c r="C489" s="1414">
        <v>52.93</v>
      </c>
      <c r="I489" s="2807">
        <f t="shared" si="21"/>
        <v>488</v>
      </c>
      <c r="J489" s="2807" t="s">
        <v>4545</v>
      </c>
      <c r="K489" s="2807" t="s">
        <v>4504</v>
      </c>
      <c r="L489" s="2807" t="str">
        <f t="shared" si="22"/>
        <v>B3307</v>
      </c>
      <c r="M489" s="2807">
        <v>8</v>
      </c>
      <c r="N489" s="2807">
        <v>-3</v>
      </c>
      <c r="O489" s="2807">
        <f t="shared" si="23"/>
        <v>52.93</v>
      </c>
      <c r="P489" s="1414" t="s">
        <v>4547</v>
      </c>
      <c r="Q489" s="1414" t="s">
        <v>4547</v>
      </c>
    </row>
    <row r="490" spans="1:17">
      <c r="A490" s="1414">
        <v>488</v>
      </c>
      <c r="B490" s="1414" t="s">
        <v>3934</v>
      </c>
      <c r="C490" s="1414">
        <v>52.93</v>
      </c>
      <c r="I490" s="2807">
        <f t="shared" si="21"/>
        <v>489</v>
      </c>
      <c r="J490" s="2807" t="s">
        <v>4545</v>
      </c>
      <c r="K490" s="2807" t="s">
        <v>4504</v>
      </c>
      <c r="L490" s="2807" t="str">
        <f t="shared" si="22"/>
        <v>B3308</v>
      </c>
      <c r="M490" s="2807">
        <v>8</v>
      </c>
      <c r="N490" s="2807">
        <v>-3</v>
      </c>
      <c r="O490" s="2807">
        <f t="shared" si="23"/>
        <v>52.93</v>
      </c>
      <c r="P490" s="1414" t="s">
        <v>4547</v>
      </c>
      <c r="Q490" s="1414" t="s">
        <v>4547</v>
      </c>
    </row>
    <row r="491" spans="1:17">
      <c r="A491" s="1414">
        <v>489</v>
      </c>
      <c r="B491" s="1414" t="s">
        <v>3935</v>
      </c>
      <c r="C491" s="1414">
        <v>52.93</v>
      </c>
      <c r="I491" s="2807">
        <f t="shared" si="21"/>
        <v>490</v>
      </c>
      <c r="J491" s="2807" t="s">
        <v>4545</v>
      </c>
      <c r="K491" s="2807" t="s">
        <v>4504</v>
      </c>
      <c r="L491" s="2807" t="str">
        <f t="shared" si="22"/>
        <v>B3309</v>
      </c>
      <c r="M491" s="2807">
        <v>8</v>
      </c>
      <c r="N491" s="2807">
        <v>-3</v>
      </c>
      <c r="O491" s="2807">
        <f t="shared" si="23"/>
        <v>52.93</v>
      </c>
      <c r="P491" s="1414" t="s">
        <v>4547</v>
      </c>
      <c r="Q491" s="1414" t="s">
        <v>4547</v>
      </c>
    </row>
    <row r="492" spans="1:17">
      <c r="A492" s="1414">
        <v>490</v>
      </c>
      <c r="B492" s="1414" t="s">
        <v>3936</v>
      </c>
      <c r="C492" s="1414">
        <v>52.93</v>
      </c>
      <c r="I492" s="2807">
        <f t="shared" si="21"/>
        <v>491</v>
      </c>
      <c r="J492" s="2807" t="s">
        <v>4545</v>
      </c>
      <c r="K492" s="2807" t="s">
        <v>4504</v>
      </c>
      <c r="L492" s="2807" t="str">
        <f t="shared" si="22"/>
        <v>B3310</v>
      </c>
      <c r="M492" s="2807">
        <v>8</v>
      </c>
      <c r="N492" s="2807">
        <v>-3</v>
      </c>
      <c r="O492" s="2807">
        <f t="shared" si="23"/>
        <v>52.93</v>
      </c>
      <c r="P492" s="1414" t="s">
        <v>4547</v>
      </c>
      <c r="Q492" s="1414" t="s">
        <v>4547</v>
      </c>
    </row>
    <row r="493" spans="1:17">
      <c r="A493" s="1414">
        <v>491</v>
      </c>
      <c r="B493" s="1414" t="s">
        <v>3937</v>
      </c>
      <c r="C493" s="1414">
        <v>52.93</v>
      </c>
      <c r="I493" s="2807">
        <f t="shared" si="21"/>
        <v>492</v>
      </c>
      <c r="J493" s="2807" t="s">
        <v>4545</v>
      </c>
      <c r="K493" s="2807" t="s">
        <v>4504</v>
      </c>
      <c r="L493" s="2807" t="str">
        <f t="shared" si="22"/>
        <v>B3311</v>
      </c>
      <c r="M493" s="2807">
        <v>8</v>
      </c>
      <c r="N493" s="2807">
        <v>-3</v>
      </c>
      <c r="O493" s="2807">
        <f t="shared" si="23"/>
        <v>52.93</v>
      </c>
      <c r="P493" s="1414" t="s">
        <v>4547</v>
      </c>
      <c r="Q493" s="1414" t="s">
        <v>4547</v>
      </c>
    </row>
    <row r="494" spans="1:17">
      <c r="A494" s="1414">
        <v>492</v>
      </c>
      <c r="B494" s="1414" t="s">
        <v>3938</v>
      </c>
      <c r="C494" s="1414">
        <v>52.93</v>
      </c>
      <c r="I494" s="2807">
        <f t="shared" si="21"/>
        <v>493</v>
      </c>
      <c r="J494" s="2807" t="s">
        <v>4545</v>
      </c>
      <c r="K494" s="2807" t="s">
        <v>4504</v>
      </c>
      <c r="L494" s="2807" t="str">
        <f t="shared" si="22"/>
        <v>B3312</v>
      </c>
      <c r="M494" s="2807">
        <v>8</v>
      </c>
      <c r="N494" s="2807">
        <v>-3</v>
      </c>
      <c r="O494" s="2807">
        <f t="shared" si="23"/>
        <v>52.93</v>
      </c>
      <c r="P494" s="1414" t="s">
        <v>4547</v>
      </c>
      <c r="Q494" s="1414" t="s">
        <v>4547</v>
      </c>
    </row>
    <row r="495" spans="1:17">
      <c r="A495" s="1414">
        <v>493</v>
      </c>
      <c r="B495" s="1414" t="s">
        <v>3939</v>
      </c>
      <c r="C495" s="1414">
        <v>52.93</v>
      </c>
      <c r="I495" s="2807">
        <f t="shared" si="21"/>
        <v>494</v>
      </c>
      <c r="J495" s="2807" t="s">
        <v>4545</v>
      </c>
      <c r="K495" s="2807" t="s">
        <v>4504</v>
      </c>
      <c r="L495" s="2807" t="str">
        <f t="shared" si="22"/>
        <v>B3313</v>
      </c>
      <c r="M495" s="2807">
        <v>8</v>
      </c>
      <c r="N495" s="2807">
        <v>-3</v>
      </c>
      <c r="O495" s="2807">
        <f t="shared" si="23"/>
        <v>52.93</v>
      </c>
      <c r="P495" s="1414" t="s">
        <v>4547</v>
      </c>
      <c r="Q495" s="1414" t="s">
        <v>4547</v>
      </c>
    </row>
    <row r="496" spans="1:17">
      <c r="A496" s="1414">
        <v>494</v>
      </c>
      <c r="B496" s="1414" t="s">
        <v>3940</v>
      </c>
      <c r="C496" s="1414">
        <v>52.93</v>
      </c>
      <c r="I496" s="2807">
        <f t="shared" si="21"/>
        <v>495</v>
      </c>
      <c r="J496" s="2807" t="s">
        <v>4545</v>
      </c>
      <c r="K496" s="2807" t="s">
        <v>4504</v>
      </c>
      <c r="L496" s="2807" t="str">
        <f t="shared" si="22"/>
        <v>B3314</v>
      </c>
      <c r="M496" s="2807">
        <v>8</v>
      </c>
      <c r="N496" s="2807">
        <v>-3</v>
      </c>
      <c r="O496" s="2807">
        <f t="shared" si="23"/>
        <v>52.93</v>
      </c>
      <c r="P496" s="1414" t="s">
        <v>4547</v>
      </c>
      <c r="Q496" s="1414" t="s">
        <v>4547</v>
      </c>
    </row>
    <row r="497" spans="1:17">
      <c r="A497" s="1414">
        <v>495</v>
      </c>
      <c r="B497" s="1414" t="s">
        <v>3941</v>
      </c>
      <c r="C497" s="1414">
        <v>52.93</v>
      </c>
      <c r="I497" s="2807">
        <f t="shared" si="21"/>
        <v>496</v>
      </c>
      <c r="J497" s="2807" t="s">
        <v>4545</v>
      </c>
      <c r="K497" s="2807" t="s">
        <v>4504</v>
      </c>
      <c r="L497" s="2807" t="str">
        <f t="shared" si="22"/>
        <v>B3315</v>
      </c>
      <c r="M497" s="2807">
        <v>8</v>
      </c>
      <c r="N497" s="2807">
        <v>-3</v>
      </c>
      <c r="O497" s="2807">
        <f t="shared" si="23"/>
        <v>52.93</v>
      </c>
      <c r="P497" s="1414" t="s">
        <v>4547</v>
      </c>
      <c r="Q497" s="1414" t="s">
        <v>4547</v>
      </c>
    </row>
    <row r="498" spans="1:17">
      <c r="A498" s="1414">
        <v>496</v>
      </c>
      <c r="B498" s="1414" t="s">
        <v>3942</v>
      </c>
      <c r="C498" s="1414">
        <v>52.93</v>
      </c>
      <c r="I498" s="2807">
        <f t="shared" si="21"/>
        <v>497</v>
      </c>
      <c r="J498" s="2807" t="s">
        <v>4545</v>
      </c>
      <c r="K498" s="2807" t="s">
        <v>4504</v>
      </c>
      <c r="L498" s="2807" t="str">
        <f t="shared" si="22"/>
        <v>B3316</v>
      </c>
      <c r="M498" s="2807">
        <v>8</v>
      </c>
      <c r="N498" s="2807">
        <v>-3</v>
      </c>
      <c r="O498" s="2807">
        <f t="shared" si="23"/>
        <v>52.93</v>
      </c>
      <c r="P498" s="1414" t="s">
        <v>4547</v>
      </c>
      <c r="Q498" s="1414" t="s">
        <v>4547</v>
      </c>
    </row>
    <row r="499" spans="1:17">
      <c r="A499" s="1414">
        <v>497</v>
      </c>
      <c r="B499" s="1414" t="s">
        <v>3943</v>
      </c>
      <c r="C499" s="1414">
        <v>52.93</v>
      </c>
      <c r="I499" s="2807">
        <f t="shared" si="21"/>
        <v>498</v>
      </c>
      <c r="J499" s="2807" t="s">
        <v>4545</v>
      </c>
      <c r="K499" s="2807" t="s">
        <v>4504</v>
      </c>
      <c r="L499" s="2807" t="str">
        <f t="shared" si="22"/>
        <v>B3317</v>
      </c>
      <c r="M499" s="2807">
        <v>8</v>
      </c>
      <c r="N499" s="2807">
        <v>-3</v>
      </c>
      <c r="O499" s="2807">
        <f t="shared" si="23"/>
        <v>52.93</v>
      </c>
      <c r="P499" s="1414" t="s">
        <v>4547</v>
      </c>
      <c r="Q499" s="1414" t="s">
        <v>4547</v>
      </c>
    </row>
    <row r="500" spans="1:17">
      <c r="A500" s="1414">
        <v>498</v>
      </c>
      <c r="B500" s="1414" t="s">
        <v>3944</v>
      </c>
      <c r="C500" s="1414">
        <v>52.93</v>
      </c>
      <c r="I500" s="2807">
        <f t="shared" si="21"/>
        <v>499</v>
      </c>
      <c r="J500" s="2807" t="s">
        <v>4545</v>
      </c>
      <c r="K500" s="2807" t="s">
        <v>4504</v>
      </c>
      <c r="L500" s="2807" t="str">
        <f t="shared" si="22"/>
        <v>B3318</v>
      </c>
      <c r="M500" s="2807">
        <v>8</v>
      </c>
      <c r="N500" s="2807">
        <v>-3</v>
      </c>
      <c r="O500" s="2807">
        <f t="shared" si="23"/>
        <v>52.93</v>
      </c>
      <c r="P500" s="1414" t="s">
        <v>4547</v>
      </c>
      <c r="Q500" s="1414" t="s">
        <v>4547</v>
      </c>
    </row>
    <row r="501" spans="1:17">
      <c r="A501" s="1414">
        <v>499</v>
      </c>
      <c r="B501" s="1414" t="s">
        <v>3945</v>
      </c>
      <c r="C501" s="1414">
        <v>52.93</v>
      </c>
      <c r="I501" s="2807">
        <f t="shared" si="21"/>
        <v>500</v>
      </c>
      <c r="J501" s="2807" t="s">
        <v>4545</v>
      </c>
      <c r="K501" s="2807" t="s">
        <v>4504</v>
      </c>
      <c r="L501" s="2807" t="str">
        <f t="shared" si="22"/>
        <v>B3319</v>
      </c>
      <c r="M501" s="2807">
        <v>8</v>
      </c>
      <c r="N501" s="2807">
        <v>-3</v>
      </c>
      <c r="O501" s="2807">
        <f t="shared" si="23"/>
        <v>52.93</v>
      </c>
      <c r="P501" s="1414" t="s">
        <v>4547</v>
      </c>
      <c r="Q501" s="1414" t="s">
        <v>4547</v>
      </c>
    </row>
    <row r="502" spans="1:17">
      <c r="A502" s="1414">
        <v>500</v>
      </c>
      <c r="B502" s="1414" t="s">
        <v>3946</v>
      </c>
      <c r="C502" s="1414">
        <v>52.93</v>
      </c>
      <c r="I502" s="2807">
        <f t="shared" si="21"/>
        <v>501</v>
      </c>
      <c r="J502" s="2807" t="s">
        <v>4545</v>
      </c>
      <c r="K502" s="2807" t="s">
        <v>4504</v>
      </c>
      <c r="L502" s="2807" t="str">
        <f t="shared" si="22"/>
        <v>B3320</v>
      </c>
      <c r="M502" s="2807">
        <v>8</v>
      </c>
      <c r="N502" s="2807">
        <v>-3</v>
      </c>
      <c r="O502" s="2807">
        <f t="shared" si="23"/>
        <v>52.93</v>
      </c>
      <c r="P502" s="1414" t="s">
        <v>4547</v>
      </c>
      <c r="Q502" s="1414" t="s">
        <v>4547</v>
      </c>
    </row>
    <row r="503" spans="1:17">
      <c r="A503" s="1414">
        <v>501</v>
      </c>
      <c r="B503" s="1414" t="s">
        <v>3947</v>
      </c>
      <c r="C503" s="1414">
        <v>52.93</v>
      </c>
      <c r="I503" s="2807">
        <f t="shared" si="21"/>
        <v>502</v>
      </c>
      <c r="J503" s="2807" t="s">
        <v>4545</v>
      </c>
      <c r="K503" s="2807" t="s">
        <v>4504</v>
      </c>
      <c r="L503" s="2807" t="str">
        <f t="shared" si="22"/>
        <v>B3321</v>
      </c>
      <c r="M503" s="2807">
        <v>8</v>
      </c>
      <c r="N503" s="2807">
        <v>-3</v>
      </c>
      <c r="O503" s="2807">
        <f t="shared" si="23"/>
        <v>52.93</v>
      </c>
      <c r="P503" s="1414" t="s">
        <v>4547</v>
      </c>
      <c r="Q503" s="1414" t="s">
        <v>4547</v>
      </c>
    </row>
    <row r="504" spans="1:17">
      <c r="A504" s="1414">
        <v>502</v>
      </c>
      <c r="B504" s="1414" t="s">
        <v>3948</v>
      </c>
      <c r="C504" s="1414">
        <v>52.93</v>
      </c>
      <c r="I504" s="2807">
        <f t="shared" si="21"/>
        <v>503</v>
      </c>
      <c r="J504" s="2807" t="s">
        <v>4545</v>
      </c>
      <c r="K504" s="2807" t="s">
        <v>4504</v>
      </c>
      <c r="L504" s="2807" t="str">
        <f t="shared" si="22"/>
        <v>B3322</v>
      </c>
      <c r="M504" s="2807">
        <v>8</v>
      </c>
      <c r="N504" s="2807">
        <v>-3</v>
      </c>
      <c r="O504" s="2807">
        <f t="shared" si="23"/>
        <v>52.93</v>
      </c>
      <c r="P504" s="1414" t="s">
        <v>4547</v>
      </c>
      <c r="Q504" s="1414" t="s">
        <v>4547</v>
      </c>
    </row>
    <row r="505" spans="1:17">
      <c r="A505" s="1414">
        <v>503</v>
      </c>
      <c r="B505" s="1414" t="s">
        <v>3949</v>
      </c>
      <c r="C505" s="1414">
        <v>52.93</v>
      </c>
      <c r="I505" s="2807">
        <f t="shared" si="21"/>
        <v>504</v>
      </c>
      <c r="J505" s="2807" t="s">
        <v>4545</v>
      </c>
      <c r="K505" s="2807" t="s">
        <v>4504</v>
      </c>
      <c r="L505" s="2807" t="str">
        <f t="shared" si="22"/>
        <v>B3323</v>
      </c>
      <c r="M505" s="2807">
        <v>8</v>
      </c>
      <c r="N505" s="2807">
        <v>-3</v>
      </c>
      <c r="O505" s="2807">
        <f t="shared" si="23"/>
        <v>50.93</v>
      </c>
      <c r="P505" s="1414" t="s">
        <v>4547</v>
      </c>
      <c r="Q505" s="1414" t="s">
        <v>4547</v>
      </c>
    </row>
    <row r="506" spans="1:17">
      <c r="A506" s="1414">
        <v>504</v>
      </c>
      <c r="B506" s="1414" t="s">
        <v>3950</v>
      </c>
      <c r="C506" s="1414">
        <v>50.93</v>
      </c>
      <c r="I506" s="2807">
        <f t="shared" si="21"/>
        <v>505</v>
      </c>
      <c r="J506" s="2807" t="s">
        <v>4545</v>
      </c>
      <c r="K506" s="2807" t="s">
        <v>4504</v>
      </c>
      <c r="L506" s="2807" t="str">
        <f t="shared" si="22"/>
        <v>B3324</v>
      </c>
      <c r="M506" s="2807">
        <v>8</v>
      </c>
      <c r="N506" s="2807">
        <v>-3</v>
      </c>
      <c r="O506" s="2807">
        <f t="shared" si="23"/>
        <v>50.93</v>
      </c>
      <c r="P506" s="1414" t="s">
        <v>4547</v>
      </c>
      <c r="Q506" s="1414" t="s">
        <v>4547</v>
      </c>
    </row>
    <row r="507" spans="1:17">
      <c r="A507" s="1414">
        <v>505</v>
      </c>
      <c r="B507" s="1414" t="s">
        <v>3951</v>
      </c>
      <c r="C507" s="1414">
        <v>50.93</v>
      </c>
      <c r="I507" s="2807">
        <f t="shared" si="21"/>
        <v>506</v>
      </c>
      <c r="J507" s="2807" t="s">
        <v>4545</v>
      </c>
      <c r="K507" s="2807" t="s">
        <v>4504</v>
      </c>
      <c r="L507" s="2807" t="str">
        <f t="shared" si="22"/>
        <v>B3325</v>
      </c>
      <c r="M507" s="2807">
        <v>8</v>
      </c>
      <c r="N507" s="2807">
        <v>-3</v>
      </c>
      <c r="O507" s="2807">
        <f t="shared" si="23"/>
        <v>50.93</v>
      </c>
      <c r="P507" s="1414" t="s">
        <v>4547</v>
      </c>
      <c r="Q507" s="1414" t="s">
        <v>4547</v>
      </c>
    </row>
    <row r="508" spans="1:17">
      <c r="A508" s="1414">
        <v>506</v>
      </c>
      <c r="B508" s="1414" t="s">
        <v>3952</v>
      </c>
      <c r="C508" s="1414">
        <v>50.93</v>
      </c>
      <c r="I508" s="2807">
        <f t="shared" si="21"/>
        <v>507</v>
      </c>
      <c r="J508" s="2807" t="s">
        <v>4545</v>
      </c>
      <c r="K508" s="2807" t="s">
        <v>4504</v>
      </c>
      <c r="L508" s="2807" t="str">
        <f t="shared" si="22"/>
        <v>B3326</v>
      </c>
      <c r="M508" s="2807">
        <v>8</v>
      </c>
      <c r="N508" s="2807">
        <v>-3</v>
      </c>
      <c r="O508" s="2807">
        <f t="shared" si="23"/>
        <v>50.93</v>
      </c>
      <c r="P508" s="1414" t="s">
        <v>4547</v>
      </c>
      <c r="Q508" s="1414" t="s">
        <v>4547</v>
      </c>
    </row>
    <row r="509" spans="1:17">
      <c r="A509" s="1414">
        <v>507</v>
      </c>
      <c r="B509" s="1414" t="s">
        <v>3953</v>
      </c>
      <c r="C509" s="1414">
        <v>50.93</v>
      </c>
      <c r="I509" s="2807">
        <f t="shared" si="21"/>
        <v>508</v>
      </c>
      <c r="J509" s="2807" t="s">
        <v>4545</v>
      </c>
      <c r="K509" s="2807" t="s">
        <v>4504</v>
      </c>
      <c r="L509" s="2807" t="str">
        <f t="shared" si="22"/>
        <v>B3327</v>
      </c>
      <c r="M509" s="2807">
        <v>8</v>
      </c>
      <c r="N509" s="2807">
        <v>-3</v>
      </c>
      <c r="O509" s="2807">
        <f t="shared" si="23"/>
        <v>52.93</v>
      </c>
      <c r="P509" s="1414" t="s">
        <v>4547</v>
      </c>
      <c r="Q509" s="1414" t="s">
        <v>4547</v>
      </c>
    </row>
    <row r="510" spans="1:17">
      <c r="A510" s="1414">
        <v>508</v>
      </c>
      <c r="B510" s="1414" t="s">
        <v>3954</v>
      </c>
      <c r="C510" s="1414">
        <v>52.93</v>
      </c>
      <c r="I510" s="2807">
        <f t="shared" si="21"/>
        <v>509</v>
      </c>
      <c r="J510" s="2807" t="s">
        <v>4545</v>
      </c>
      <c r="K510" s="2807" t="s">
        <v>4504</v>
      </c>
      <c r="L510" s="2807" t="str">
        <f t="shared" si="22"/>
        <v>B3328</v>
      </c>
      <c r="M510" s="2807">
        <v>8</v>
      </c>
      <c r="N510" s="2807">
        <v>-3</v>
      </c>
      <c r="O510" s="2807">
        <f t="shared" si="23"/>
        <v>89.38</v>
      </c>
      <c r="P510" s="1414" t="s">
        <v>4547</v>
      </c>
      <c r="Q510" s="1414" t="s">
        <v>4547</v>
      </c>
    </row>
    <row r="511" spans="1:17">
      <c r="A511" s="1414">
        <v>509</v>
      </c>
      <c r="B511" s="1414" t="s">
        <v>3955</v>
      </c>
      <c r="C511" s="1414">
        <v>89.38</v>
      </c>
      <c r="I511" s="2807">
        <f t="shared" si="21"/>
        <v>510</v>
      </c>
      <c r="J511" s="2807" t="s">
        <v>4545</v>
      </c>
      <c r="K511" s="2807" t="s">
        <v>4504</v>
      </c>
      <c r="L511" s="2807" t="str">
        <f t="shared" si="22"/>
        <v>B4001</v>
      </c>
      <c r="M511" s="2807">
        <v>8</v>
      </c>
      <c r="N511" s="2807">
        <v>-4</v>
      </c>
      <c r="O511" s="2807">
        <f t="shared" si="23"/>
        <v>59.92</v>
      </c>
      <c r="P511" s="1414" t="s">
        <v>4547</v>
      </c>
      <c r="Q511" s="1414" t="s">
        <v>4547</v>
      </c>
    </row>
    <row r="512" spans="1:17">
      <c r="A512" s="1414">
        <v>510</v>
      </c>
      <c r="B512" s="1414" t="s">
        <v>3387</v>
      </c>
      <c r="C512" s="2807">
        <v>59.92</v>
      </c>
      <c r="I512" s="2807">
        <f t="shared" si="21"/>
        <v>511</v>
      </c>
      <c r="J512" s="2807" t="s">
        <v>4545</v>
      </c>
      <c r="K512" s="2807" t="s">
        <v>4504</v>
      </c>
      <c r="L512" s="2807" t="str">
        <f t="shared" si="22"/>
        <v>B4002</v>
      </c>
      <c r="M512" s="2807">
        <v>8</v>
      </c>
      <c r="N512" s="2807">
        <v>-4</v>
      </c>
      <c r="O512" s="2807">
        <f t="shared" si="23"/>
        <v>59.92</v>
      </c>
      <c r="P512" s="1414" t="s">
        <v>4547</v>
      </c>
      <c r="Q512" s="1414" t="s">
        <v>4547</v>
      </c>
    </row>
    <row r="513" spans="1:17">
      <c r="A513" s="1414">
        <v>511</v>
      </c>
      <c r="B513" s="1414" t="s">
        <v>3388</v>
      </c>
      <c r="C513" s="2807">
        <v>59.92</v>
      </c>
      <c r="I513" s="2807">
        <f t="shared" si="21"/>
        <v>512</v>
      </c>
      <c r="J513" s="2807" t="s">
        <v>4545</v>
      </c>
      <c r="K513" s="2807" t="s">
        <v>4504</v>
      </c>
      <c r="L513" s="2807" t="str">
        <f t="shared" si="22"/>
        <v>B4003</v>
      </c>
      <c r="M513" s="2807">
        <v>8</v>
      </c>
      <c r="N513" s="2807">
        <v>-4</v>
      </c>
      <c r="O513" s="2807">
        <f t="shared" si="23"/>
        <v>59.92</v>
      </c>
      <c r="P513" s="1414" t="s">
        <v>4547</v>
      </c>
      <c r="Q513" s="1414" t="s">
        <v>4547</v>
      </c>
    </row>
    <row r="514" spans="1:17">
      <c r="A514" s="1414">
        <v>512</v>
      </c>
      <c r="B514" s="1414" t="s">
        <v>3389</v>
      </c>
      <c r="C514" s="2807">
        <v>59.92</v>
      </c>
      <c r="I514" s="2807">
        <f t="shared" si="21"/>
        <v>513</v>
      </c>
      <c r="J514" s="2807" t="s">
        <v>4545</v>
      </c>
      <c r="K514" s="2807" t="s">
        <v>4504</v>
      </c>
      <c r="L514" s="2807" t="str">
        <f t="shared" si="22"/>
        <v>B4004</v>
      </c>
      <c r="M514" s="2807">
        <v>8</v>
      </c>
      <c r="N514" s="2807">
        <v>-4</v>
      </c>
      <c r="O514" s="2807">
        <f t="shared" si="23"/>
        <v>59.92</v>
      </c>
      <c r="P514" s="1414" t="s">
        <v>4547</v>
      </c>
      <c r="Q514" s="1414" t="s">
        <v>4547</v>
      </c>
    </row>
    <row r="515" spans="1:17">
      <c r="A515" s="1414">
        <v>513</v>
      </c>
      <c r="B515" s="1414" t="s">
        <v>3390</v>
      </c>
      <c r="C515" s="2807">
        <v>59.92</v>
      </c>
      <c r="I515" s="2807">
        <f t="shared" ref="I515:I578" si="24">A516</f>
        <v>514</v>
      </c>
      <c r="J515" s="2807" t="s">
        <v>4545</v>
      </c>
      <c r="K515" s="2807" t="s">
        <v>4504</v>
      </c>
      <c r="L515" s="2807" t="str">
        <f t="shared" ref="L515:L578" si="25">B516</f>
        <v>B4005</v>
      </c>
      <c r="M515" s="2807">
        <v>8</v>
      </c>
      <c r="N515" s="2807">
        <v>-4</v>
      </c>
      <c r="O515" s="2807">
        <f t="shared" ref="O515:O578" si="26">C516</f>
        <v>52.93</v>
      </c>
      <c r="P515" s="1414" t="s">
        <v>4547</v>
      </c>
      <c r="Q515" s="1414" t="s">
        <v>4547</v>
      </c>
    </row>
    <row r="516" spans="1:17">
      <c r="A516" s="1414">
        <v>514</v>
      </c>
      <c r="B516" s="1414" t="s">
        <v>3391</v>
      </c>
      <c r="C516" s="2807">
        <v>52.93</v>
      </c>
      <c r="I516" s="2807">
        <f t="shared" si="24"/>
        <v>515</v>
      </c>
      <c r="J516" s="2807" t="s">
        <v>4545</v>
      </c>
      <c r="K516" s="2807" t="s">
        <v>4504</v>
      </c>
      <c r="L516" s="2807" t="str">
        <f t="shared" si="25"/>
        <v>B4006</v>
      </c>
      <c r="M516" s="2807">
        <v>8</v>
      </c>
      <c r="N516" s="2807">
        <v>-4</v>
      </c>
      <c r="O516" s="2807">
        <f t="shared" si="26"/>
        <v>52.93</v>
      </c>
      <c r="P516" s="1414" t="s">
        <v>4547</v>
      </c>
      <c r="Q516" s="1414" t="s">
        <v>4547</v>
      </c>
    </row>
    <row r="517" spans="1:17">
      <c r="A517" s="1414">
        <v>515</v>
      </c>
      <c r="B517" s="1414" t="s">
        <v>3392</v>
      </c>
      <c r="C517" s="2807">
        <v>52.93</v>
      </c>
      <c r="I517" s="2807">
        <f t="shared" si="24"/>
        <v>516</v>
      </c>
      <c r="J517" s="2807" t="s">
        <v>4545</v>
      </c>
      <c r="K517" s="2807" t="s">
        <v>4504</v>
      </c>
      <c r="L517" s="2807" t="str">
        <f t="shared" si="25"/>
        <v>B4007</v>
      </c>
      <c r="M517" s="2807">
        <v>8</v>
      </c>
      <c r="N517" s="2807">
        <v>-4</v>
      </c>
      <c r="O517" s="2807">
        <f t="shared" si="26"/>
        <v>52.93</v>
      </c>
      <c r="P517" s="1414" t="s">
        <v>4547</v>
      </c>
      <c r="Q517" s="1414" t="s">
        <v>4547</v>
      </c>
    </row>
    <row r="518" spans="1:17">
      <c r="A518" s="1414">
        <v>516</v>
      </c>
      <c r="B518" s="1414" t="s">
        <v>3393</v>
      </c>
      <c r="C518" s="2807">
        <v>52.93</v>
      </c>
      <c r="I518" s="2807">
        <f t="shared" si="24"/>
        <v>517</v>
      </c>
      <c r="J518" s="2807" t="s">
        <v>4545</v>
      </c>
      <c r="K518" s="2807" t="s">
        <v>4504</v>
      </c>
      <c r="L518" s="2807" t="str">
        <f t="shared" si="25"/>
        <v>B4008</v>
      </c>
      <c r="M518" s="2807">
        <v>8</v>
      </c>
      <c r="N518" s="2807">
        <v>-4</v>
      </c>
      <c r="O518" s="2807">
        <f t="shared" si="26"/>
        <v>52.93</v>
      </c>
      <c r="P518" s="1414" t="s">
        <v>4547</v>
      </c>
      <c r="Q518" s="1414" t="s">
        <v>4547</v>
      </c>
    </row>
    <row r="519" spans="1:17">
      <c r="A519" s="1414">
        <v>517</v>
      </c>
      <c r="B519" s="1414" t="s">
        <v>3394</v>
      </c>
      <c r="C519" s="2807">
        <v>52.93</v>
      </c>
      <c r="I519" s="2807">
        <f t="shared" si="24"/>
        <v>518</v>
      </c>
      <c r="J519" s="2807" t="s">
        <v>4545</v>
      </c>
      <c r="K519" s="2807" t="s">
        <v>4504</v>
      </c>
      <c r="L519" s="2807" t="str">
        <f t="shared" si="25"/>
        <v>B4009</v>
      </c>
      <c r="M519" s="2807">
        <v>8</v>
      </c>
      <c r="N519" s="2807">
        <v>-4</v>
      </c>
      <c r="O519" s="2807">
        <f t="shared" si="26"/>
        <v>52.93</v>
      </c>
      <c r="P519" s="1414" t="s">
        <v>4547</v>
      </c>
      <c r="Q519" s="1414" t="s">
        <v>4547</v>
      </c>
    </row>
    <row r="520" spans="1:17">
      <c r="A520" s="1414">
        <v>518</v>
      </c>
      <c r="B520" s="1414" t="s">
        <v>3395</v>
      </c>
      <c r="C520" s="2807">
        <v>52.93</v>
      </c>
      <c r="I520" s="2807">
        <f t="shared" si="24"/>
        <v>519</v>
      </c>
      <c r="J520" s="2807" t="s">
        <v>4545</v>
      </c>
      <c r="K520" s="2807" t="s">
        <v>4504</v>
      </c>
      <c r="L520" s="2807" t="str">
        <f t="shared" si="25"/>
        <v>B4010</v>
      </c>
      <c r="M520" s="2807">
        <v>8</v>
      </c>
      <c r="N520" s="2807">
        <v>-4</v>
      </c>
      <c r="O520" s="2807">
        <f t="shared" si="26"/>
        <v>52.93</v>
      </c>
      <c r="P520" s="1414" t="s">
        <v>4547</v>
      </c>
      <c r="Q520" s="1414" t="s">
        <v>4547</v>
      </c>
    </row>
    <row r="521" spans="1:17">
      <c r="A521" s="1414">
        <v>519</v>
      </c>
      <c r="B521" s="1414" t="s">
        <v>3396</v>
      </c>
      <c r="C521" s="2807">
        <v>52.93</v>
      </c>
      <c r="I521" s="2807">
        <f t="shared" si="24"/>
        <v>520</v>
      </c>
      <c r="J521" s="2807" t="s">
        <v>4545</v>
      </c>
      <c r="K521" s="2807" t="s">
        <v>4504</v>
      </c>
      <c r="L521" s="2807" t="str">
        <f t="shared" si="25"/>
        <v>B4011</v>
      </c>
      <c r="M521" s="2807">
        <v>8</v>
      </c>
      <c r="N521" s="2807">
        <v>-4</v>
      </c>
      <c r="O521" s="2807">
        <f t="shared" si="26"/>
        <v>52.93</v>
      </c>
      <c r="P521" s="1414" t="s">
        <v>4547</v>
      </c>
      <c r="Q521" s="1414" t="s">
        <v>4547</v>
      </c>
    </row>
    <row r="522" spans="1:17">
      <c r="A522" s="1414">
        <v>520</v>
      </c>
      <c r="B522" s="1414" t="s">
        <v>3397</v>
      </c>
      <c r="C522" s="2807">
        <v>52.93</v>
      </c>
      <c r="I522" s="2807">
        <f t="shared" si="24"/>
        <v>521</v>
      </c>
      <c r="J522" s="2807" t="s">
        <v>4545</v>
      </c>
      <c r="K522" s="2807" t="s">
        <v>4504</v>
      </c>
      <c r="L522" s="2807" t="str">
        <f t="shared" si="25"/>
        <v>B4012</v>
      </c>
      <c r="M522" s="2807">
        <v>8</v>
      </c>
      <c r="N522" s="2807">
        <v>-4</v>
      </c>
      <c r="O522" s="2807">
        <f t="shared" si="26"/>
        <v>52.93</v>
      </c>
      <c r="P522" s="1414" t="s">
        <v>4547</v>
      </c>
      <c r="Q522" s="1414" t="s">
        <v>4547</v>
      </c>
    </row>
    <row r="523" spans="1:17">
      <c r="A523" s="1414">
        <v>521</v>
      </c>
      <c r="B523" s="1414" t="s">
        <v>3398</v>
      </c>
      <c r="C523" s="2807">
        <v>52.93</v>
      </c>
      <c r="I523" s="2807">
        <f t="shared" si="24"/>
        <v>522</v>
      </c>
      <c r="J523" s="2807" t="s">
        <v>4545</v>
      </c>
      <c r="K523" s="2807" t="s">
        <v>4504</v>
      </c>
      <c r="L523" s="2807" t="str">
        <f t="shared" si="25"/>
        <v>B4013</v>
      </c>
      <c r="M523" s="2807">
        <v>8</v>
      </c>
      <c r="N523" s="2807">
        <v>-4</v>
      </c>
      <c r="O523" s="2807">
        <f t="shared" si="26"/>
        <v>52.93</v>
      </c>
      <c r="P523" s="1414" t="s">
        <v>4547</v>
      </c>
      <c r="Q523" s="1414" t="s">
        <v>4547</v>
      </c>
    </row>
    <row r="524" spans="1:17">
      <c r="A524" s="1414">
        <v>522</v>
      </c>
      <c r="B524" s="1414" t="s">
        <v>3399</v>
      </c>
      <c r="C524" s="2807">
        <v>52.93</v>
      </c>
      <c r="I524" s="2807">
        <f t="shared" si="24"/>
        <v>523</v>
      </c>
      <c r="J524" s="2807" t="s">
        <v>4545</v>
      </c>
      <c r="K524" s="2807" t="s">
        <v>4504</v>
      </c>
      <c r="L524" s="2807" t="str">
        <f t="shared" si="25"/>
        <v>B4014</v>
      </c>
      <c r="M524" s="2807">
        <v>8</v>
      </c>
      <c r="N524" s="2807">
        <v>-4</v>
      </c>
      <c r="O524" s="2807">
        <f t="shared" si="26"/>
        <v>52.93</v>
      </c>
      <c r="P524" s="1414" t="s">
        <v>4547</v>
      </c>
      <c r="Q524" s="1414" t="s">
        <v>4547</v>
      </c>
    </row>
    <row r="525" spans="1:17">
      <c r="A525" s="1414">
        <v>523</v>
      </c>
      <c r="B525" s="1414" t="s">
        <v>3400</v>
      </c>
      <c r="C525" s="2807">
        <v>52.93</v>
      </c>
      <c r="I525" s="2807">
        <f t="shared" si="24"/>
        <v>524</v>
      </c>
      <c r="J525" s="2807" t="s">
        <v>4545</v>
      </c>
      <c r="K525" s="2807" t="s">
        <v>4504</v>
      </c>
      <c r="L525" s="2807" t="str">
        <f t="shared" si="25"/>
        <v>B4015</v>
      </c>
      <c r="M525" s="2807">
        <v>8</v>
      </c>
      <c r="N525" s="2807">
        <v>-4</v>
      </c>
      <c r="O525" s="2807">
        <f t="shared" si="26"/>
        <v>52.93</v>
      </c>
      <c r="P525" s="1414" t="s">
        <v>4547</v>
      </c>
      <c r="Q525" s="1414" t="s">
        <v>4547</v>
      </c>
    </row>
    <row r="526" spans="1:17">
      <c r="A526" s="1414">
        <v>524</v>
      </c>
      <c r="B526" s="1414" t="s">
        <v>3401</v>
      </c>
      <c r="C526" s="2807">
        <v>52.93</v>
      </c>
      <c r="I526" s="2807">
        <f t="shared" si="24"/>
        <v>525</v>
      </c>
      <c r="J526" s="2807" t="s">
        <v>4545</v>
      </c>
      <c r="K526" s="2807" t="s">
        <v>4504</v>
      </c>
      <c r="L526" s="2807" t="str">
        <f t="shared" si="25"/>
        <v>B4016</v>
      </c>
      <c r="M526" s="2807">
        <v>8</v>
      </c>
      <c r="N526" s="2807">
        <v>-4</v>
      </c>
      <c r="O526" s="2807">
        <f t="shared" si="26"/>
        <v>52.93</v>
      </c>
      <c r="P526" s="1414" t="s">
        <v>4547</v>
      </c>
      <c r="Q526" s="1414" t="s">
        <v>4547</v>
      </c>
    </row>
    <row r="527" spans="1:17">
      <c r="A527" s="1414">
        <v>525</v>
      </c>
      <c r="B527" s="1414" t="s">
        <v>3402</v>
      </c>
      <c r="C527" s="2807">
        <v>52.93</v>
      </c>
      <c r="I527" s="2807">
        <f t="shared" si="24"/>
        <v>526</v>
      </c>
      <c r="J527" s="2807" t="s">
        <v>4545</v>
      </c>
      <c r="K527" s="2807" t="s">
        <v>4504</v>
      </c>
      <c r="L527" s="2807" t="str">
        <f t="shared" si="25"/>
        <v>B4017</v>
      </c>
      <c r="M527" s="2807">
        <v>8</v>
      </c>
      <c r="N527" s="2807">
        <v>-4</v>
      </c>
      <c r="O527" s="2807">
        <f t="shared" si="26"/>
        <v>52.93</v>
      </c>
      <c r="P527" s="1414" t="s">
        <v>4547</v>
      </c>
      <c r="Q527" s="1414" t="s">
        <v>4547</v>
      </c>
    </row>
    <row r="528" spans="1:17">
      <c r="A528" s="1414">
        <v>526</v>
      </c>
      <c r="B528" s="1414" t="s">
        <v>3403</v>
      </c>
      <c r="C528" s="2807">
        <v>52.93</v>
      </c>
      <c r="I528" s="2807">
        <f t="shared" si="24"/>
        <v>527</v>
      </c>
      <c r="J528" s="2807" t="s">
        <v>4545</v>
      </c>
      <c r="K528" s="2807" t="s">
        <v>4504</v>
      </c>
      <c r="L528" s="2807" t="str">
        <f t="shared" si="25"/>
        <v>B4018</v>
      </c>
      <c r="M528" s="2807">
        <v>8</v>
      </c>
      <c r="N528" s="2807">
        <v>-4</v>
      </c>
      <c r="O528" s="2807">
        <f t="shared" si="26"/>
        <v>52.93</v>
      </c>
      <c r="P528" s="1414" t="s">
        <v>4547</v>
      </c>
      <c r="Q528" s="1414" t="s">
        <v>4547</v>
      </c>
    </row>
    <row r="529" spans="1:17">
      <c r="A529" s="1414">
        <v>527</v>
      </c>
      <c r="B529" s="1414" t="s">
        <v>3404</v>
      </c>
      <c r="C529" s="2807">
        <v>52.93</v>
      </c>
      <c r="I529" s="2807">
        <f t="shared" si="24"/>
        <v>528</v>
      </c>
      <c r="J529" s="2807" t="s">
        <v>4545</v>
      </c>
      <c r="K529" s="2807" t="s">
        <v>4504</v>
      </c>
      <c r="L529" s="2807" t="str">
        <f t="shared" si="25"/>
        <v>B4019</v>
      </c>
      <c r="M529" s="2807">
        <v>8</v>
      </c>
      <c r="N529" s="2807">
        <v>-4</v>
      </c>
      <c r="O529" s="2807">
        <f t="shared" si="26"/>
        <v>52.93</v>
      </c>
      <c r="P529" s="1414" t="s">
        <v>4547</v>
      </c>
      <c r="Q529" s="1414" t="s">
        <v>4547</v>
      </c>
    </row>
    <row r="530" spans="1:17">
      <c r="A530" s="1414">
        <v>528</v>
      </c>
      <c r="B530" s="1414" t="s">
        <v>3405</v>
      </c>
      <c r="C530" s="2807">
        <v>52.93</v>
      </c>
      <c r="I530" s="2807">
        <f t="shared" si="24"/>
        <v>529</v>
      </c>
      <c r="J530" s="2807" t="s">
        <v>4545</v>
      </c>
      <c r="K530" s="2807" t="s">
        <v>4504</v>
      </c>
      <c r="L530" s="2807" t="str">
        <f t="shared" si="25"/>
        <v>B4020</v>
      </c>
      <c r="M530" s="2807">
        <v>8</v>
      </c>
      <c r="N530" s="2807">
        <v>-4</v>
      </c>
      <c r="O530" s="2807">
        <f t="shared" si="26"/>
        <v>52.93</v>
      </c>
      <c r="P530" s="1414" t="s">
        <v>4547</v>
      </c>
      <c r="Q530" s="1414" t="s">
        <v>4547</v>
      </c>
    </row>
    <row r="531" spans="1:17">
      <c r="A531" s="1414">
        <v>529</v>
      </c>
      <c r="B531" s="1414" t="s">
        <v>3406</v>
      </c>
      <c r="C531" s="2807">
        <v>52.93</v>
      </c>
      <c r="I531" s="2807">
        <f t="shared" si="24"/>
        <v>530</v>
      </c>
      <c r="J531" s="2807" t="s">
        <v>4545</v>
      </c>
      <c r="K531" s="2807" t="s">
        <v>4504</v>
      </c>
      <c r="L531" s="2807" t="str">
        <f t="shared" si="25"/>
        <v>B4021</v>
      </c>
      <c r="M531" s="2807">
        <v>8</v>
      </c>
      <c r="N531" s="2807">
        <v>-4</v>
      </c>
      <c r="O531" s="2807">
        <f t="shared" si="26"/>
        <v>52.93</v>
      </c>
      <c r="P531" s="1414" t="s">
        <v>4547</v>
      </c>
      <c r="Q531" s="1414" t="s">
        <v>4547</v>
      </c>
    </row>
    <row r="532" spans="1:17">
      <c r="A532" s="1414">
        <v>530</v>
      </c>
      <c r="B532" s="1414" t="s">
        <v>3407</v>
      </c>
      <c r="C532" s="2807">
        <v>52.93</v>
      </c>
      <c r="I532" s="2807">
        <f t="shared" si="24"/>
        <v>531</v>
      </c>
      <c r="J532" s="2807" t="s">
        <v>4545</v>
      </c>
      <c r="K532" s="2807" t="s">
        <v>4504</v>
      </c>
      <c r="L532" s="2807" t="str">
        <f t="shared" si="25"/>
        <v>B4022</v>
      </c>
      <c r="M532" s="2807">
        <v>8</v>
      </c>
      <c r="N532" s="2807">
        <v>-4</v>
      </c>
      <c r="O532" s="2807">
        <f t="shared" si="26"/>
        <v>52.93</v>
      </c>
      <c r="P532" s="1414" t="s">
        <v>4547</v>
      </c>
      <c r="Q532" s="1414" t="s">
        <v>4547</v>
      </c>
    </row>
    <row r="533" spans="1:17">
      <c r="A533" s="1414">
        <v>531</v>
      </c>
      <c r="B533" s="1414" t="s">
        <v>3408</v>
      </c>
      <c r="C533" s="2807">
        <v>52.93</v>
      </c>
      <c r="I533" s="2807">
        <f t="shared" si="24"/>
        <v>532</v>
      </c>
      <c r="J533" s="2807" t="s">
        <v>4545</v>
      </c>
      <c r="K533" s="2807" t="s">
        <v>4504</v>
      </c>
      <c r="L533" s="2807" t="str">
        <f t="shared" si="25"/>
        <v>B4023</v>
      </c>
      <c r="M533" s="2807">
        <v>8</v>
      </c>
      <c r="N533" s="2807">
        <v>-4</v>
      </c>
      <c r="O533" s="2807">
        <f t="shared" si="26"/>
        <v>52.93</v>
      </c>
      <c r="P533" s="1414" t="s">
        <v>4547</v>
      </c>
      <c r="Q533" s="1414" t="s">
        <v>4547</v>
      </c>
    </row>
    <row r="534" spans="1:17">
      <c r="A534" s="1414">
        <v>532</v>
      </c>
      <c r="B534" s="1414" t="s">
        <v>3409</v>
      </c>
      <c r="C534" s="2807">
        <v>52.93</v>
      </c>
      <c r="I534" s="2807">
        <f t="shared" si="24"/>
        <v>533</v>
      </c>
      <c r="J534" s="2807" t="s">
        <v>4545</v>
      </c>
      <c r="K534" s="2807" t="s">
        <v>4504</v>
      </c>
      <c r="L534" s="2807" t="str">
        <f t="shared" si="25"/>
        <v>B4024</v>
      </c>
      <c r="M534" s="2807">
        <v>8</v>
      </c>
      <c r="N534" s="2807">
        <v>-4</v>
      </c>
      <c r="O534" s="2807">
        <f t="shared" si="26"/>
        <v>52.93</v>
      </c>
      <c r="P534" s="1414" t="s">
        <v>4547</v>
      </c>
      <c r="Q534" s="1414" t="s">
        <v>4547</v>
      </c>
    </row>
    <row r="535" spans="1:17">
      <c r="A535" s="1414">
        <v>533</v>
      </c>
      <c r="B535" s="1414" t="s">
        <v>3410</v>
      </c>
      <c r="C535" s="2807">
        <v>52.93</v>
      </c>
      <c r="I535" s="2807">
        <f t="shared" si="24"/>
        <v>534</v>
      </c>
      <c r="J535" s="2807" t="s">
        <v>4545</v>
      </c>
      <c r="K535" s="2807" t="s">
        <v>4504</v>
      </c>
      <c r="L535" s="2807" t="str">
        <f t="shared" si="25"/>
        <v>B4025</v>
      </c>
      <c r="M535" s="2807">
        <v>8</v>
      </c>
      <c r="N535" s="2807">
        <v>-4</v>
      </c>
      <c r="O535" s="2807">
        <f t="shared" si="26"/>
        <v>52.93</v>
      </c>
      <c r="P535" s="1414" t="s">
        <v>4547</v>
      </c>
      <c r="Q535" s="1414" t="s">
        <v>4547</v>
      </c>
    </row>
    <row r="536" spans="1:17">
      <c r="A536" s="1414">
        <v>534</v>
      </c>
      <c r="B536" s="1414" t="s">
        <v>3411</v>
      </c>
      <c r="C536" s="2807">
        <v>52.93</v>
      </c>
      <c r="I536" s="2807">
        <f t="shared" si="24"/>
        <v>535</v>
      </c>
      <c r="J536" s="2807" t="s">
        <v>4545</v>
      </c>
      <c r="K536" s="2807" t="s">
        <v>4504</v>
      </c>
      <c r="L536" s="2807" t="str">
        <f t="shared" si="25"/>
        <v>B4026</v>
      </c>
      <c r="M536" s="2807">
        <v>8</v>
      </c>
      <c r="N536" s="2807">
        <v>-4</v>
      </c>
      <c r="O536" s="2807">
        <f t="shared" si="26"/>
        <v>59.92</v>
      </c>
      <c r="P536" s="1414" t="s">
        <v>4547</v>
      </c>
      <c r="Q536" s="1414" t="s">
        <v>4547</v>
      </c>
    </row>
    <row r="537" spans="1:17">
      <c r="A537" s="1414">
        <v>535</v>
      </c>
      <c r="B537" s="1414" t="s">
        <v>3412</v>
      </c>
      <c r="C537" s="2807">
        <v>59.92</v>
      </c>
      <c r="I537" s="2807">
        <f t="shared" si="24"/>
        <v>536</v>
      </c>
      <c r="J537" s="2807" t="s">
        <v>4545</v>
      </c>
      <c r="K537" s="2807" t="s">
        <v>4504</v>
      </c>
      <c r="L537" s="2807" t="str">
        <f t="shared" si="25"/>
        <v>B4027</v>
      </c>
      <c r="M537" s="2807">
        <v>8</v>
      </c>
      <c r="N537" s="2807">
        <v>-4</v>
      </c>
      <c r="O537" s="2807">
        <f t="shared" si="26"/>
        <v>59.92</v>
      </c>
      <c r="P537" s="1414" t="s">
        <v>4547</v>
      </c>
      <c r="Q537" s="1414" t="s">
        <v>4547</v>
      </c>
    </row>
    <row r="538" spans="1:17">
      <c r="A538" s="1414">
        <v>536</v>
      </c>
      <c r="B538" s="1414" t="s">
        <v>3413</v>
      </c>
      <c r="C538" s="2807">
        <v>59.92</v>
      </c>
      <c r="I538" s="2807">
        <f t="shared" si="24"/>
        <v>537</v>
      </c>
      <c r="J538" s="2807" t="s">
        <v>4545</v>
      </c>
      <c r="K538" s="2807" t="s">
        <v>4504</v>
      </c>
      <c r="L538" s="2807" t="str">
        <f t="shared" si="25"/>
        <v>B4028</v>
      </c>
      <c r="M538" s="2807">
        <v>8</v>
      </c>
      <c r="N538" s="2807">
        <v>-4</v>
      </c>
      <c r="O538" s="2807">
        <f t="shared" si="26"/>
        <v>59.92</v>
      </c>
      <c r="P538" s="1414" t="s">
        <v>4547</v>
      </c>
      <c r="Q538" s="1414" t="s">
        <v>4547</v>
      </c>
    </row>
    <row r="539" spans="1:17">
      <c r="A539" s="1414">
        <v>537</v>
      </c>
      <c r="B539" s="1414" t="s">
        <v>3414</v>
      </c>
      <c r="C539" s="2807">
        <v>59.92</v>
      </c>
      <c r="I539" s="2807">
        <f t="shared" si="24"/>
        <v>538</v>
      </c>
      <c r="J539" s="2807" t="s">
        <v>4545</v>
      </c>
      <c r="K539" s="2807" t="s">
        <v>4504</v>
      </c>
      <c r="L539" s="2807" t="str">
        <f t="shared" si="25"/>
        <v>B4029</v>
      </c>
      <c r="M539" s="2807">
        <v>8</v>
      </c>
      <c r="N539" s="2807">
        <v>-4</v>
      </c>
      <c r="O539" s="2807">
        <f t="shared" si="26"/>
        <v>59.92</v>
      </c>
      <c r="P539" s="1414" t="s">
        <v>4547</v>
      </c>
      <c r="Q539" s="1414" t="s">
        <v>4547</v>
      </c>
    </row>
    <row r="540" spans="1:17">
      <c r="A540" s="1414">
        <v>538</v>
      </c>
      <c r="B540" s="1414" t="s">
        <v>3415</v>
      </c>
      <c r="C540" s="2807">
        <v>59.92</v>
      </c>
      <c r="I540" s="2807">
        <f t="shared" si="24"/>
        <v>539</v>
      </c>
      <c r="J540" s="2807" t="s">
        <v>4545</v>
      </c>
      <c r="K540" s="2807" t="s">
        <v>4504</v>
      </c>
      <c r="L540" s="2807" t="str">
        <f t="shared" si="25"/>
        <v>B4030</v>
      </c>
      <c r="M540" s="2807">
        <v>8</v>
      </c>
      <c r="N540" s="2807">
        <v>-4</v>
      </c>
      <c r="O540" s="2807">
        <f t="shared" si="26"/>
        <v>59.92</v>
      </c>
      <c r="P540" s="1414" t="s">
        <v>4547</v>
      </c>
      <c r="Q540" s="1414" t="s">
        <v>4547</v>
      </c>
    </row>
    <row r="541" spans="1:17">
      <c r="A541" s="1414">
        <v>539</v>
      </c>
      <c r="B541" s="1414" t="s">
        <v>3416</v>
      </c>
      <c r="C541" s="2807">
        <v>59.92</v>
      </c>
      <c r="I541" s="2807">
        <f t="shared" si="24"/>
        <v>540</v>
      </c>
      <c r="J541" s="2807" t="s">
        <v>4545</v>
      </c>
      <c r="K541" s="2807" t="s">
        <v>4504</v>
      </c>
      <c r="L541" s="2807" t="str">
        <f t="shared" si="25"/>
        <v>B4031</v>
      </c>
      <c r="M541" s="2807">
        <v>8</v>
      </c>
      <c r="N541" s="2807">
        <v>-4</v>
      </c>
      <c r="O541" s="2807">
        <f t="shared" si="26"/>
        <v>52.93</v>
      </c>
      <c r="P541" s="1414" t="s">
        <v>4547</v>
      </c>
      <c r="Q541" s="1414" t="s">
        <v>4547</v>
      </c>
    </row>
    <row r="542" spans="1:17">
      <c r="A542" s="1414">
        <v>540</v>
      </c>
      <c r="B542" s="1414" t="s">
        <v>3417</v>
      </c>
      <c r="C542" s="2807">
        <v>52.93</v>
      </c>
      <c r="I542" s="2807">
        <f t="shared" si="24"/>
        <v>541</v>
      </c>
      <c r="J542" s="2807" t="s">
        <v>4545</v>
      </c>
      <c r="K542" s="2807" t="s">
        <v>4504</v>
      </c>
      <c r="L542" s="2807" t="str">
        <f t="shared" si="25"/>
        <v>B4032</v>
      </c>
      <c r="M542" s="2807">
        <v>8</v>
      </c>
      <c r="N542" s="2807">
        <v>-4</v>
      </c>
      <c r="O542" s="2807">
        <f t="shared" si="26"/>
        <v>52.93</v>
      </c>
      <c r="P542" s="1414" t="s">
        <v>4547</v>
      </c>
      <c r="Q542" s="1414" t="s">
        <v>4547</v>
      </c>
    </row>
    <row r="543" spans="1:17">
      <c r="A543" s="1414">
        <v>541</v>
      </c>
      <c r="B543" s="1414" t="s">
        <v>3418</v>
      </c>
      <c r="C543" s="2807">
        <v>52.93</v>
      </c>
      <c r="I543" s="2807">
        <f t="shared" si="24"/>
        <v>542</v>
      </c>
      <c r="J543" s="2807" t="s">
        <v>4545</v>
      </c>
      <c r="K543" s="2807" t="s">
        <v>4504</v>
      </c>
      <c r="L543" s="2807" t="str">
        <f t="shared" si="25"/>
        <v>B4033</v>
      </c>
      <c r="M543" s="2807">
        <v>8</v>
      </c>
      <c r="N543" s="2807">
        <v>-4</v>
      </c>
      <c r="O543" s="2807">
        <f t="shared" si="26"/>
        <v>52.93</v>
      </c>
      <c r="P543" s="1414" t="s">
        <v>4547</v>
      </c>
      <c r="Q543" s="1414" t="s">
        <v>4547</v>
      </c>
    </row>
    <row r="544" spans="1:17">
      <c r="A544" s="1414">
        <v>542</v>
      </c>
      <c r="B544" s="1414" t="s">
        <v>3419</v>
      </c>
      <c r="C544" s="2807">
        <v>52.93</v>
      </c>
      <c r="I544" s="2807">
        <f t="shared" si="24"/>
        <v>543</v>
      </c>
      <c r="J544" s="2807" t="s">
        <v>4545</v>
      </c>
      <c r="K544" s="2807" t="s">
        <v>4504</v>
      </c>
      <c r="L544" s="2807" t="str">
        <f t="shared" si="25"/>
        <v>B4034</v>
      </c>
      <c r="M544" s="2807">
        <v>8</v>
      </c>
      <c r="N544" s="2807">
        <v>-4</v>
      </c>
      <c r="O544" s="2807">
        <f t="shared" si="26"/>
        <v>52.93</v>
      </c>
      <c r="P544" s="1414" t="s">
        <v>4547</v>
      </c>
      <c r="Q544" s="1414" t="s">
        <v>4547</v>
      </c>
    </row>
    <row r="545" spans="1:17">
      <c r="A545" s="1414">
        <v>543</v>
      </c>
      <c r="B545" s="1414" t="s">
        <v>3420</v>
      </c>
      <c r="C545" s="2807">
        <v>52.93</v>
      </c>
      <c r="I545" s="2807">
        <f t="shared" si="24"/>
        <v>544</v>
      </c>
      <c r="J545" s="2807" t="s">
        <v>4545</v>
      </c>
      <c r="K545" s="2807" t="s">
        <v>4504</v>
      </c>
      <c r="L545" s="2807" t="str">
        <f t="shared" si="25"/>
        <v>B4035</v>
      </c>
      <c r="M545" s="2807">
        <v>8</v>
      </c>
      <c r="N545" s="2807">
        <v>-4</v>
      </c>
      <c r="O545" s="2807">
        <f t="shared" si="26"/>
        <v>52.93</v>
      </c>
      <c r="P545" s="1414" t="s">
        <v>4547</v>
      </c>
      <c r="Q545" s="1414" t="s">
        <v>4547</v>
      </c>
    </row>
    <row r="546" spans="1:17">
      <c r="A546" s="1414">
        <v>544</v>
      </c>
      <c r="B546" s="1414" t="s">
        <v>3421</v>
      </c>
      <c r="C546" s="2807">
        <v>52.93</v>
      </c>
      <c r="I546" s="2807">
        <f t="shared" si="24"/>
        <v>545</v>
      </c>
      <c r="J546" s="2807" t="s">
        <v>4545</v>
      </c>
      <c r="K546" s="2807" t="s">
        <v>4504</v>
      </c>
      <c r="L546" s="2807" t="str">
        <f t="shared" si="25"/>
        <v>B4036</v>
      </c>
      <c r="M546" s="2807">
        <v>8</v>
      </c>
      <c r="N546" s="2807">
        <v>-4</v>
      </c>
      <c r="O546" s="2807">
        <f t="shared" si="26"/>
        <v>52.93</v>
      </c>
      <c r="P546" s="1414" t="s">
        <v>4547</v>
      </c>
      <c r="Q546" s="1414" t="s">
        <v>4547</v>
      </c>
    </row>
    <row r="547" spans="1:17">
      <c r="A547" s="1414">
        <v>545</v>
      </c>
      <c r="B547" s="1414" t="s">
        <v>3422</v>
      </c>
      <c r="C547" s="2807">
        <v>52.93</v>
      </c>
      <c r="I547" s="2807">
        <f t="shared" si="24"/>
        <v>546</v>
      </c>
      <c r="J547" s="2807" t="s">
        <v>4545</v>
      </c>
      <c r="K547" s="2807" t="s">
        <v>4504</v>
      </c>
      <c r="L547" s="2807" t="str">
        <f t="shared" si="25"/>
        <v>B4037</v>
      </c>
      <c r="M547" s="2807">
        <v>8</v>
      </c>
      <c r="N547" s="2807">
        <v>-4</v>
      </c>
      <c r="O547" s="2807">
        <f t="shared" si="26"/>
        <v>52.93</v>
      </c>
      <c r="P547" s="1414" t="s">
        <v>4547</v>
      </c>
      <c r="Q547" s="1414" t="s">
        <v>4547</v>
      </c>
    </row>
    <row r="548" spans="1:17">
      <c r="A548" s="1414">
        <v>546</v>
      </c>
      <c r="B548" s="1414" t="s">
        <v>3423</v>
      </c>
      <c r="C548" s="2807">
        <v>52.93</v>
      </c>
      <c r="I548" s="2807">
        <f t="shared" si="24"/>
        <v>547</v>
      </c>
      <c r="J548" s="2807" t="s">
        <v>4545</v>
      </c>
      <c r="K548" s="2807" t="s">
        <v>4504</v>
      </c>
      <c r="L548" s="2807" t="str">
        <f t="shared" si="25"/>
        <v>B4038</v>
      </c>
      <c r="M548" s="2807">
        <v>8</v>
      </c>
      <c r="N548" s="2807">
        <v>-4</v>
      </c>
      <c r="O548" s="2807">
        <f t="shared" si="26"/>
        <v>52.93</v>
      </c>
      <c r="P548" s="1414" t="s">
        <v>4547</v>
      </c>
      <c r="Q548" s="1414" t="s">
        <v>4547</v>
      </c>
    </row>
    <row r="549" spans="1:17">
      <c r="A549" s="1414">
        <v>547</v>
      </c>
      <c r="B549" s="1414" t="s">
        <v>3424</v>
      </c>
      <c r="C549" s="2807">
        <v>52.93</v>
      </c>
      <c r="I549" s="2807">
        <f t="shared" si="24"/>
        <v>548</v>
      </c>
      <c r="J549" s="2807" t="s">
        <v>4545</v>
      </c>
      <c r="K549" s="2807" t="s">
        <v>4504</v>
      </c>
      <c r="L549" s="2807" t="str">
        <f t="shared" si="25"/>
        <v>B4039</v>
      </c>
      <c r="M549" s="2807">
        <v>8</v>
      </c>
      <c r="N549" s="2807">
        <v>-4</v>
      </c>
      <c r="O549" s="2807">
        <f t="shared" si="26"/>
        <v>52.93</v>
      </c>
      <c r="P549" s="1414" t="s">
        <v>4547</v>
      </c>
      <c r="Q549" s="1414" t="s">
        <v>4547</v>
      </c>
    </row>
    <row r="550" spans="1:17">
      <c r="A550" s="1414">
        <v>548</v>
      </c>
      <c r="B550" s="1414" t="s">
        <v>3425</v>
      </c>
      <c r="C550" s="2807">
        <v>52.93</v>
      </c>
      <c r="I550" s="2807">
        <f t="shared" si="24"/>
        <v>549</v>
      </c>
      <c r="J550" s="2807" t="s">
        <v>4545</v>
      </c>
      <c r="K550" s="2807" t="s">
        <v>4504</v>
      </c>
      <c r="L550" s="2807" t="str">
        <f t="shared" si="25"/>
        <v>B4040</v>
      </c>
      <c r="M550" s="2807">
        <v>8</v>
      </c>
      <c r="N550" s="2807">
        <v>-4</v>
      </c>
      <c r="O550" s="2807">
        <f t="shared" si="26"/>
        <v>52.93</v>
      </c>
      <c r="P550" s="1414" t="s">
        <v>4547</v>
      </c>
      <c r="Q550" s="1414" t="s">
        <v>4547</v>
      </c>
    </row>
    <row r="551" spans="1:17">
      <c r="A551" s="1414">
        <v>549</v>
      </c>
      <c r="B551" s="1414" t="s">
        <v>3426</v>
      </c>
      <c r="C551" s="2807">
        <v>52.93</v>
      </c>
      <c r="I551" s="2807">
        <f t="shared" si="24"/>
        <v>550</v>
      </c>
      <c r="J551" s="2807" t="s">
        <v>4545</v>
      </c>
      <c r="K551" s="2807" t="s">
        <v>4504</v>
      </c>
      <c r="L551" s="2807" t="str">
        <f t="shared" si="25"/>
        <v>B4041</v>
      </c>
      <c r="M551" s="2807">
        <v>8</v>
      </c>
      <c r="N551" s="2807">
        <v>-4</v>
      </c>
      <c r="O551" s="2807">
        <f t="shared" si="26"/>
        <v>52.93</v>
      </c>
      <c r="P551" s="1414" t="s">
        <v>4547</v>
      </c>
      <c r="Q551" s="1414" t="s">
        <v>4547</v>
      </c>
    </row>
    <row r="552" spans="1:17">
      <c r="A552" s="1414">
        <v>550</v>
      </c>
      <c r="B552" s="1414" t="s">
        <v>3427</v>
      </c>
      <c r="C552" s="2807">
        <v>52.93</v>
      </c>
      <c r="I552" s="2807">
        <f t="shared" si="24"/>
        <v>551</v>
      </c>
      <c r="J552" s="2807" t="s">
        <v>4545</v>
      </c>
      <c r="K552" s="2807" t="s">
        <v>4504</v>
      </c>
      <c r="L552" s="2807" t="str">
        <f t="shared" si="25"/>
        <v>B4042</v>
      </c>
      <c r="M552" s="2807">
        <v>8</v>
      </c>
      <c r="N552" s="2807">
        <v>-4</v>
      </c>
      <c r="O552" s="2807">
        <f t="shared" si="26"/>
        <v>52.93</v>
      </c>
      <c r="P552" s="1414" t="s">
        <v>4547</v>
      </c>
      <c r="Q552" s="1414" t="s">
        <v>4547</v>
      </c>
    </row>
    <row r="553" spans="1:17">
      <c r="A553" s="1414">
        <v>551</v>
      </c>
      <c r="B553" s="1414" t="s">
        <v>3428</v>
      </c>
      <c r="C553" s="2807">
        <v>52.93</v>
      </c>
      <c r="I553" s="2807">
        <f t="shared" si="24"/>
        <v>552</v>
      </c>
      <c r="J553" s="2807" t="s">
        <v>4545</v>
      </c>
      <c r="K553" s="2807" t="s">
        <v>4504</v>
      </c>
      <c r="L553" s="2807" t="str">
        <f t="shared" si="25"/>
        <v>B4043</v>
      </c>
      <c r="M553" s="2807">
        <v>8</v>
      </c>
      <c r="N553" s="2807">
        <v>-4</v>
      </c>
      <c r="O553" s="2807">
        <f t="shared" si="26"/>
        <v>52.93</v>
      </c>
      <c r="P553" s="1414" t="s">
        <v>4547</v>
      </c>
      <c r="Q553" s="1414" t="s">
        <v>4547</v>
      </c>
    </row>
    <row r="554" spans="1:17">
      <c r="A554" s="1414">
        <v>552</v>
      </c>
      <c r="B554" s="1414" t="s">
        <v>3429</v>
      </c>
      <c r="C554" s="2807">
        <v>52.93</v>
      </c>
      <c r="I554" s="2807">
        <f t="shared" si="24"/>
        <v>553</v>
      </c>
      <c r="J554" s="2807" t="s">
        <v>4545</v>
      </c>
      <c r="K554" s="2807" t="s">
        <v>4504</v>
      </c>
      <c r="L554" s="2807" t="str">
        <f t="shared" si="25"/>
        <v>B4044</v>
      </c>
      <c r="M554" s="2807">
        <v>8</v>
      </c>
      <c r="N554" s="2807">
        <v>-4</v>
      </c>
      <c r="O554" s="2807">
        <f t="shared" si="26"/>
        <v>52.93</v>
      </c>
      <c r="P554" s="1414" t="s">
        <v>4547</v>
      </c>
      <c r="Q554" s="1414" t="s">
        <v>4547</v>
      </c>
    </row>
    <row r="555" spans="1:17">
      <c r="A555" s="1414">
        <v>553</v>
      </c>
      <c r="B555" s="1414" t="s">
        <v>3430</v>
      </c>
      <c r="C555" s="2807">
        <v>52.93</v>
      </c>
      <c r="I555" s="2807">
        <f t="shared" si="24"/>
        <v>554</v>
      </c>
      <c r="J555" s="2807" t="s">
        <v>4545</v>
      </c>
      <c r="K555" s="2807" t="s">
        <v>4504</v>
      </c>
      <c r="L555" s="2807" t="str">
        <f t="shared" si="25"/>
        <v>B4045</v>
      </c>
      <c r="M555" s="2807">
        <v>8</v>
      </c>
      <c r="N555" s="2807">
        <v>-4</v>
      </c>
      <c r="O555" s="2807">
        <f t="shared" si="26"/>
        <v>52.93</v>
      </c>
      <c r="P555" s="1414" t="s">
        <v>4547</v>
      </c>
      <c r="Q555" s="1414" t="s">
        <v>4547</v>
      </c>
    </row>
    <row r="556" spans="1:17">
      <c r="A556" s="1414">
        <v>554</v>
      </c>
      <c r="B556" s="1414" t="s">
        <v>3431</v>
      </c>
      <c r="C556" s="2807">
        <v>52.93</v>
      </c>
      <c r="I556" s="2807">
        <f t="shared" si="24"/>
        <v>555</v>
      </c>
      <c r="J556" s="2807" t="s">
        <v>4545</v>
      </c>
      <c r="K556" s="2807" t="s">
        <v>4504</v>
      </c>
      <c r="L556" s="2807" t="str">
        <f t="shared" si="25"/>
        <v>B4046</v>
      </c>
      <c r="M556" s="2807">
        <v>8</v>
      </c>
      <c r="N556" s="2807">
        <v>-4</v>
      </c>
      <c r="O556" s="2807">
        <f t="shared" si="26"/>
        <v>52.93</v>
      </c>
      <c r="P556" s="1414" t="s">
        <v>4547</v>
      </c>
      <c r="Q556" s="1414" t="s">
        <v>4547</v>
      </c>
    </row>
    <row r="557" spans="1:17">
      <c r="A557" s="1414">
        <v>555</v>
      </c>
      <c r="B557" s="1414" t="s">
        <v>3432</v>
      </c>
      <c r="C557" s="2807">
        <v>52.93</v>
      </c>
      <c r="I557" s="2807">
        <f t="shared" si="24"/>
        <v>556</v>
      </c>
      <c r="J557" s="2807" t="s">
        <v>4545</v>
      </c>
      <c r="K557" s="2807" t="s">
        <v>4504</v>
      </c>
      <c r="L557" s="2807" t="str">
        <f t="shared" si="25"/>
        <v>B4047</v>
      </c>
      <c r="M557" s="2807">
        <v>8</v>
      </c>
      <c r="N557" s="2807">
        <v>-4</v>
      </c>
      <c r="O557" s="2807">
        <f t="shared" si="26"/>
        <v>52.93</v>
      </c>
      <c r="P557" s="1414" t="s">
        <v>4547</v>
      </c>
      <c r="Q557" s="1414" t="s">
        <v>4547</v>
      </c>
    </row>
    <row r="558" spans="1:17">
      <c r="A558" s="1414">
        <v>556</v>
      </c>
      <c r="B558" s="1414" t="s">
        <v>3433</v>
      </c>
      <c r="C558" s="2807">
        <v>52.93</v>
      </c>
      <c r="I558" s="2807">
        <f t="shared" si="24"/>
        <v>557</v>
      </c>
      <c r="J558" s="2807" t="s">
        <v>4545</v>
      </c>
      <c r="K558" s="2807" t="s">
        <v>4504</v>
      </c>
      <c r="L558" s="2807" t="str">
        <f t="shared" si="25"/>
        <v>B4048</v>
      </c>
      <c r="M558" s="2807">
        <v>8</v>
      </c>
      <c r="N558" s="2807">
        <v>-4</v>
      </c>
      <c r="O558" s="2807">
        <f t="shared" si="26"/>
        <v>52.93</v>
      </c>
      <c r="P558" s="1414" t="s">
        <v>4547</v>
      </c>
      <c r="Q558" s="1414" t="s">
        <v>4547</v>
      </c>
    </row>
    <row r="559" spans="1:17">
      <c r="A559" s="1414">
        <v>557</v>
      </c>
      <c r="B559" s="1414" t="s">
        <v>3434</v>
      </c>
      <c r="C559" s="2807">
        <v>52.93</v>
      </c>
      <c r="I559" s="2807">
        <f t="shared" si="24"/>
        <v>558</v>
      </c>
      <c r="J559" s="2807" t="s">
        <v>4545</v>
      </c>
      <c r="K559" s="2807" t="s">
        <v>4504</v>
      </c>
      <c r="L559" s="2807" t="str">
        <f t="shared" si="25"/>
        <v>B4049</v>
      </c>
      <c r="M559" s="2807">
        <v>8</v>
      </c>
      <c r="N559" s="2807">
        <v>-4</v>
      </c>
      <c r="O559" s="2807">
        <f t="shared" si="26"/>
        <v>52.93</v>
      </c>
      <c r="P559" s="1414" t="s">
        <v>4547</v>
      </c>
      <c r="Q559" s="1414" t="s">
        <v>4547</v>
      </c>
    </row>
    <row r="560" spans="1:17">
      <c r="A560" s="1414">
        <v>558</v>
      </c>
      <c r="B560" s="1414" t="s">
        <v>3435</v>
      </c>
      <c r="C560" s="2807">
        <v>52.93</v>
      </c>
      <c r="I560" s="2807">
        <f t="shared" si="24"/>
        <v>559</v>
      </c>
      <c r="J560" s="2807" t="s">
        <v>4545</v>
      </c>
      <c r="K560" s="2807" t="s">
        <v>4504</v>
      </c>
      <c r="L560" s="2807" t="str">
        <f t="shared" si="25"/>
        <v>B4050</v>
      </c>
      <c r="M560" s="2807">
        <v>8</v>
      </c>
      <c r="N560" s="2807">
        <v>-4</v>
      </c>
      <c r="O560" s="2807">
        <f t="shared" si="26"/>
        <v>52.93</v>
      </c>
      <c r="P560" s="1414" t="s">
        <v>4547</v>
      </c>
      <c r="Q560" s="1414" t="s">
        <v>4547</v>
      </c>
    </row>
    <row r="561" spans="1:17">
      <c r="A561" s="1414">
        <v>559</v>
      </c>
      <c r="B561" s="1414" t="s">
        <v>3436</v>
      </c>
      <c r="C561" s="2807">
        <v>52.93</v>
      </c>
      <c r="I561" s="2807">
        <f t="shared" si="24"/>
        <v>560</v>
      </c>
      <c r="J561" s="2807" t="s">
        <v>4545</v>
      </c>
      <c r="K561" s="2807" t="s">
        <v>4504</v>
      </c>
      <c r="L561" s="2807" t="str">
        <f t="shared" si="25"/>
        <v>B4051</v>
      </c>
      <c r="M561" s="2807">
        <v>8</v>
      </c>
      <c r="N561" s="2807">
        <v>-4</v>
      </c>
      <c r="O561" s="2807">
        <f t="shared" si="26"/>
        <v>89.38</v>
      </c>
      <c r="P561" s="1414" t="s">
        <v>4547</v>
      </c>
      <c r="Q561" s="1414" t="s">
        <v>4547</v>
      </c>
    </row>
    <row r="562" spans="1:17">
      <c r="A562" s="1414">
        <v>560</v>
      </c>
      <c r="B562" s="1414" t="s">
        <v>3437</v>
      </c>
      <c r="C562" s="2807">
        <v>89.38</v>
      </c>
      <c r="I562" s="2807">
        <f t="shared" si="24"/>
        <v>561</v>
      </c>
      <c r="J562" s="2807" t="s">
        <v>4545</v>
      </c>
      <c r="K562" s="2807" t="s">
        <v>4504</v>
      </c>
      <c r="L562" s="2807" t="str">
        <f t="shared" si="25"/>
        <v>B4052</v>
      </c>
      <c r="M562" s="2807">
        <v>8</v>
      </c>
      <c r="N562" s="2807">
        <v>-4</v>
      </c>
      <c r="O562" s="2807">
        <f t="shared" si="26"/>
        <v>59.92</v>
      </c>
      <c r="P562" s="1414" t="s">
        <v>4547</v>
      </c>
      <c r="Q562" s="1414" t="s">
        <v>4547</v>
      </c>
    </row>
    <row r="563" spans="1:17">
      <c r="A563" s="1414">
        <v>561</v>
      </c>
      <c r="B563" s="1414" t="s">
        <v>3438</v>
      </c>
      <c r="C563" s="2807">
        <v>59.92</v>
      </c>
      <c r="I563" s="2807">
        <f t="shared" si="24"/>
        <v>562</v>
      </c>
      <c r="J563" s="2807" t="s">
        <v>4545</v>
      </c>
      <c r="K563" s="2807" t="s">
        <v>4504</v>
      </c>
      <c r="L563" s="2807" t="str">
        <f t="shared" si="25"/>
        <v>B4053</v>
      </c>
      <c r="M563" s="2807">
        <v>8</v>
      </c>
      <c r="N563" s="2807">
        <v>-4</v>
      </c>
      <c r="O563" s="2807">
        <f t="shared" si="26"/>
        <v>59.92</v>
      </c>
      <c r="P563" s="1414" t="s">
        <v>4547</v>
      </c>
      <c r="Q563" s="1414" t="s">
        <v>4547</v>
      </c>
    </row>
    <row r="564" spans="1:17">
      <c r="A564" s="1414">
        <v>562</v>
      </c>
      <c r="B564" s="1414" t="s">
        <v>3439</v>
      </c>
      <c r="C564" s="2807">
        <v>59.92</v>
      </c>
      <c r="I564" s="2807">
        <f t="shared" si="24"/>
        <v>563</v>
      </c>
      <c r="J564" s="2807" t="s">
        <v>4545</v>
      </c>
      <c r="K564" s="2807" t="s">
        <v>4504</v>
      </c>
      <c r="L564" s="2807" t="str">
        <f t="shared" si="25"/>
        <v>B4054</v>
      </c>
      <c r="M564" s="2807">
        <v>8</v>
      </c>
      <c r="N564" s="2807">
        <v>-4</v>
      </c>
      <c r="O564" s="2807">
        <f t="shared" si="26"/>
        <v>52.93</v>
      </c>
      <c r="P564" s="1414" t="s">
        <v>4547</v>
      </c>
      <c r="Q564" s="1414" t="s">
        <v>4547</v>
      </c>
    </row>
    <row r="565" spans="1:17">
      <c r="A565" s="1414">
        <v>563</v>
      </c>
      <c r="B565" s="1414" t="s">
        <v>3440</v>
      </c>
      <c r="C565" s="2807">
        <v>52.93</v>
      </c>
      <c r="I565" s="2807">
        <f t="shared" si="24"/>
        <v>564</v>
      </c>
      <c r="J565" s="2807" t="s">
        <v>4545</v>
      </c>
      <c r="K565" s="2807" t="s">
        <v>4504</v>
      </c>
      <c r="L565" s="2807" t="str">
        <f t="shared" si="25"/>
        <v>B4055</v>
      </c>
      <c r="M565" s="2807">
        <v>8</v>
      </c>
      <c r="N565" s="2807">
        <v>-4</v>
      </c>
      <c r="O565" s="2807">
        <f t="shared" si="26"/>
        <v>52.93</v>
      </c>
      <c r="P565" s="1414" t="s">
        <v>4547</v>
      </c>
      <c r="Q565" s="1414" t="s">
        <v>4547</v>
      </c>
    </row>
    <row r="566" spans="1:17">
      <c r="A566" s="1414">
        <v>564</v>
      </c>
      <c r="B566" s="1414" t="s">
        <v>3441</v>
      </c>
      <c r="C566" s="2807">
        <v>52.93</v>
      </c>
      <c r="I566" s="2807">
        <f t="shared" si="24"/>
        <v>565</v>
      </c>
      <c r="J566" s="2807" t="s">
        <v>4545</v>
      </c>
      <c r="K566" s="2807" t="s">
        <v>4504</v>
      </c>
      <c r="L566" s="2807" t="str">
        <f t="shared" si="25"/>
        <v>B4056</v>
      </c>
      <c r="M566" s="2807">
        <v>8</v>
      </c>
      <c r="N566" s="2807">
        <v>-4</v>
      </c>
      <c r="O566" s="2807">
        <f t="shared" si="26"/>
        <v>52.93</v>
      </c>
      <c r="P566" s="1414" t="s">
        <v>4547</v>
      </c>
      <c r="Q566" s="1414" t="s">
        <v>4547</v>
      </c>
    </row>
    <row r="567" spans="1:17">
      <c r="A567" s="1414">
        <v>565</v>
      </c>
      <c r="B567" s="1414" t="s">
        <v>3442</v>
      </c>
      <c r="C567" s="2807">
        <v>52.93</v>
      </c>
      <c r="I567" s="2807">
        <f t="shared" si="24"/>
        <v>566</v>
      </c>
      <c r="J567" s="2807" t="s">
        <v>4545</v>
      </c>
      <c r="K567" s="2807" t="s">
        <v>4504</v>
      </c>
      <c r="L567" s="2807" t="str">
        <f t="shared" si="25"/>
        <v>B4057</v>
      </c>
      <c r="M567" s="2807">
        <v>8</v>
      </c>
      <c r="N567" s="2807">
        <v>-4</v>
      </c>
      <c r="O567" s="2807">
        <f t="shared" si="26"/>
        <v>52.93</v>
      </c>
      <c r="P567" s="1414" t="s">
        <v>4547</v>
      </c>
      <c r="Q567" s="1414" t="s">
        <v>4547</v>
      </c>
    </row>
    <row r="568" spans="1:17">
      <c r="A568" s="1414">
        <v>566</v>
      </c>
      <c r="B568" s="1414" t="s">
        <v>3443</v>
      </c>
      <c r="C568" s="2807">
        <v>52.93</v>
      </c>
      <c r="I568" s="2807">
        <f t="shared" si="24"/>
        <v>567</v>
      </c>
      <c r="J568" s="2807" t="s">
        <v>4545</v>
      </c>
      <c r="K568" s="2807" t="s">
        <v>4504</v>
      </c>
      <c r="L568" s="2807" t="str">
        <f t="shared" si="25"/>
        <v>B4058</v>
      </c>
      <c r="M568" s="2807">
        <v>8</v>
      </c>
      <c r="N568" s="2807">
        <v>-4</v>
      </c>
      <c r="O568" s="2807">
        <f t="shared" si="26"/>
        <v>52.93</v>
      </c>
      <c r="P568" s="1414" t="s">
        <v>4547</v>
      </c>
      <c r="Q568" s="1414" t="s">
        <v>4547</v>
      </c>
    </row>
    <row r="569" spans="1:17">
      <c r="A569" s="1414">
        <v>567</v>
      </c>
      <c r="B569" s="1414" t="s">
        <v>3444</v>
      </c>
      <c r="C569" s="2807">
        <v>52.93</v>
      </c>
      <c r="I569" s="2807">
        <f t="shared" si="24"/>
        <v>568</v>
      </c>
      <c r="J569" s="2807" t="s">
        <v>4545</v>
      </c>
      <c r="K569" s="2807" t="s">
        <v>4504</v>
      </c>
      <c r="L569" s="2807" t="str">
        <f t="shared" si="25"/>
        <v>B4059</v>
      </c>
      <c r="M569" s="2807">
        <v>8</v>
      </c>
      <c r="N569" s="2807">
        <v>-4</v>
      </c>
      <c r="O569" s="2807">
        <f t="shared" si="26"/>
        <v>52.93</v>
      </c>
      <c r="P569" s="1414" t="s">
        <v>4547</v>
      </c>
      <c r="Q569" s="1414" t="s">
        <v>4547</v>
      </c>
    </row>
    <row r="570" spans="1:17">
      <c r="A570" s="1414">
        <v>568</v>
      </c>
      <c r="B570" s="1414" t="s">
        <v>3445</v>
      </c>
      <c r="C570" s="2807">
        <v>52.93</v>
      </c>
      <c r="I570" s="2807">
        <f t="shared" si="24"/>
        <v>569</v>
      </c>
      <c r="J570" s="2807" t="s">
        <v>4545</v>
      </c>
      <c r="K570" s="2807" t="s">
        <v>4504</v>
      </c>
      <c r="L570" s="2807" t="str">
        <f t="shared" si="25"/>
        <v>B4060</v>
      </c>
      <c r="M570" s="2807">
        <v>8</v>
      </c>
      <c r="N570" s="2807">
        <v>-4</v>
      </c>
      <c r="O570" s="2807">
        <f t="shared" si="26"/>
        <v>52.93</v>
      </c>
      <c r="P570" s="1414" t="s">
        <v>4547</v>
      </c>
      <c r="Q570" s="1414" t="s">
        <v>4547</v>
      </c>
    </row>
    <row r="571" spans="1:17">
      <c r="A571" s="1414">
        <v>569</v>
      </c>
      <c r="B571" s="1414" t="s">
        <v>3446</v>
      </c>
      <c r="C571" s="2807">
        <v>52.93</v>
      </c>
      <c r="I571" s="2807">
        <f t="shared" si="24"/>
        <v>570</v>
      </c>
      <c r="J571" s="2807" t="s">
        <v>4545</v>
      </c>
      <c r="K571" s="2807" t="s">
        <v>4504</v>
      </c>
      <c r="L571" s="2807" t="str">
        <f t="shared" si="25"/>
        <v>B4061</v>
      </c>
      <c r="M571" s="2807">
        <v>8</v>
      </c>
      <c r="N571" s="2807">
        <v>-4</v>
      </c>
      <c r="O571" s="2807">
        <f t="shared" si="26"/>
        <v>52.93</v>
      </c>
      <c r="P571" s="1414" t="s">
        <v>4547</v>
      </c>
      <c r="Q571" s="1414" t="s">
        <v>4547</v>
      </c>
    </row>
    <row r="572" spans="1:17">
      <c r="A572" s="1414">
        <v>570</v>
      </c>
      <c r="B572" s="1414" t="s">
        <v>3447</v>
      </c>
      <c r="C572" s="2807">
        <v>52.93</v>
      </c>
      <c r="I572" s="2807">
        <f t="shared" si="24"/>
        <v>571</v>
      </c>
      <c r="J572" s="2807" t="s">
        <v>4545</v>
      </c>
      <c r="K572" s="2807" t="s">
        <v>4504</v>
      </c>
      <c r="L572" s="2807" t="str">
        <f t="shared" si="25"/>
        <v>B4062</v>
      </c>
      <c r="M572" s="2807">
        <v>8</v>
      </c>
      <c r="N572" s="2807">
        <v>-4</v>
      </c>
      <c r="O572" s="2807">
        <f t="shared" si="26"/>
        <v>52.93</v>
      </c>
      <c r="P572" s="1414" t="s">
        <v>4547</v>
      </c>
      <c r="Q572" s="1414" t="s">
        <v>4547</v>
      </c>
    </row>
    <row r="573" spans="1:17">
      <c r="A573" s="1414">
        <v>571</v>
      </c>
      <c r="B573" s="1414" t="s">
        <v>3448</v>
      </c>
      <c r="C573" s="2807">
        <v>52.93</v>
      </c>
      <c r="I573" s="2807">
        <f t="shared" si="24"/>
        <v>572</v>
      </c>
      <c r="J573" s="2807" t="s">
        <v>4545</v>
      </c>
      <c r="K573" s="2807" t="s">
        <v>4504</v>
      </c>
      <c r="L573" s="2807" t="str">
        <f t="shared" si="25"/>
        <v>B4063</v>
      </c>
      <c r="M573" s="2807">
        <v>8</v>
      </c>
      <c r="N573" s="2807">
        <v>-4</v>
      </c>
      <c r="O573" s="2807">
        <f t="shared" si="26"/>
        <v>52.93</v>
      </c>
      <c r="P573" s="1414" t="s">
        <v>4547</v>
      </c>
      <c r="Q573" s="1414" t="s">
        <v>4547</v>
      </c>
    </row>
    <row r="574" spans="1:17">
      <c r="A574" s="1414">
        <v>572</v>
      </c>
      <c r="B574" s="1414" t="s">
        <v>3449</v>
      </c>
      <c r="C574" s="2807">
        <v>52.93</v>
      </c>
      <c r="I574" s="2807">
        <f t="shared" si="24"/>
        <v>573</v>
      </c>
      <c r="J574" s="2807" t="s">
        <v>4545</v>
      </c>
      <c r="K574" s="2807" t="s">
        <v>4504</v>
      </c>
      <c r="L574" s="2807" t="str">
        <f t="shared" si="25"/>
        <v>B4064</v>
      </c>
      <c r="M574" s="2807">
        <v>8</v>
      </c>
      <c r="N574" s="2807">
        <v>-4</v>
      </c>
      <c r="O574" s="2807">
        <f t="shared" si="26"/>
        <v>52.93</v>
      </c>
      <c r="P574" s="1414" t="s">
        <v>4547</v>
      </c>
      <c r="Q574" s="1414" t="s">
        <v>4547</v>
      </c>
    </row>
    <row r="575" spans="1:17">
      <c r="A575" s="1414">
        <v>573</v>
      </c>
      <c r="B575" s="1414" t="s">
        <v>3450</v>
      </c>
      <c r="C575" s="2807">
        <v>52.93</v>
      </c>
      <c r="I575" s="2807">
        <f t="shared" si="24"/>
        <v>574</v>
      </c>
      <c r="J575" s="2807" t="s">
        <v>4545</v>
      </c>
      <c r="K575" s="2807" t="s">
        <v>4504</v>
      </c>
      <c r="L575" s="2807" t="str">
        <f t="shared" si="25"/>
        <v>B4065</v>
      </c>
      <c r="M575" s="2807">
        <v>8</v>
      </c>
      <c r="N575" s="2807">
        <v>-4</v>
      </c>
      <c r="O575" s="2807">
        <f t="shared" si="26"/>
        <v>52.93</v>
      </c>
      <c r="P575" s="1414" t="s">
        <v>4547</v>
      </c>
      <c r="Q575" s="1414" t="s">
        <v>4547</v>
      </c>
    </row>
    <row r="576" spans="1:17">
      <c r="A576" s="1414">
        <v>574</v>
      </c>
      <c r="B576" s="1414" t="s">
        <v>3451</v>
      </c>
      <c r="C576" s="2807">
        <v>52.93</v>
      </c>
      <c r="I576" s="2807">
        <f t="shared" si="24"/>
        <v>575</v>
      </c>
      <c r="J576" s="2807" t="s">
        <v>4545</v>
      </c>
      <c r="K576" s="2807" t="s">
        <v>4504</v>
      </c>
      <c r="L576" s="2807" t="str">
        <f t="shared" si="25"/>
        <v>B4066</v>
      </c>
      <c r="M576" s="2807">
        <v>8</v>
      </c>
      <c r="N576" s="2807">
        <v>-4</v>
      </c>
      <c r="O576" s="2807">
        <f t="shared" si="26"/>
        <v>52.93</v>
      </c>
      <c r="P576" s="1414" t="s">
        <v>4547</v>
      </c>
      <c r="Q576" s="1414" t="s">
        <v>4547</v>
      </c>
    </row>
    <row r="577" spans="1:17">
      <c r="A577" s="1414">
        <v>575</v>
      </c>
      <c r="B577" s="1414" t="s">
        <v>3452</v>
      </c>
      <c r="C577" s="2807">
        <v>52.93</v>
      </c>
      <c r="I577" s="2807">
        <f t="shared" si="24"/>
        <v>576</v>
      </c>
      <c r="J577" s="2807" t="s">
        <v>4545</v>
      </c>
      <c r="K577" s="2807" t="s">
        <v>4504</v>
      </c>
      <c r="L577" s="2807" t="str">
        <f t="shared" si="25"/>
        <v>B4067</v>
      </c>
      <c r="M577" s="2807">
        <v>8</v>
      </c>
      <c r="N577" s="2807">
        <v>-4</v>
      </c>
      <c r="O577" s="2807">
        <f t="shared" si="26"/>
        <v>52.93</v>
      </c>
      <c r="P577" s="1414" t="s">
        <v>4547</v>
      </c>
      <c r="Q577" s="1414" t="s">
        <v>4547</v>
      </c>
    </row>
    <row r="578" spans="1:17">
      <c r="A578" s="1414">
        <v>576</v>
      </c>
      <c r="B578" s="1414" t="s">
        <v>3453</v>
      </c>
      <c r="C578" s="2807">
        <v>52.93</v>
      </c>
      <c r="I578" s="2807">
        <f t="shared" si="24"/>
        <v>577</v>
      </c>
      <c r="J578" s="2807" t="s">
        <v>4545</v>
      </c>
      <c r="K578" s="2807" t="s">
        <v>4504</v>
      </c>
      <c r="L578" s="2807" t="str">
        <f t="shared" si="25"/>
        <v>B4068</v>
      </c>
      <c r="M578" s="2807">
        <v>8</v>
      </c>
      <c r="N578" s="2807">
        <v>-4</v>
      </c>
      <c r="O578" s="2807">
        <f t="shared" si="26"/>
        <v>52.93</v>
      </c>
      <c r="P578" s="1414" t="s">
        <v>4547</v>
      </c>
      <c r="Q578" s="1414" t="s">
        <v>4547</v>
      </c>
    </row>
    <row r="579" spans="1:17">
      <c r="A579" s="1414">
        <v>577</v>
      </c>
      <c r="B579" s="1414" t="s">
        <v>3454</v>
      </c>
      <c r="C579" s="2807">
        <v>52.93</v>
      </c>
      <c r="I579" s="2807">
        <f t="shared" ref="I579:I642" si="27">A580</f>
        <v>578</v>
      </c>
      <c r="J579" s="2807" t="s">
        <v>4545</v>
      </c>
      <c r="K579" s="2807" t="s">
        <v>4504</v>
      </c>
      <c r="L579" s="2807" t="str">
        <f t="shared" ref="L579:L642" si="28">B580</f>
        <v>B4069</v>
      </c>
      <c r="M579" s="2807">
        <v>8</v>
      </c>
      <c r="N579" s="2807">
        <v>-4</v>
      </c>
      <c r="O579" s="2807">
        <f t="shared" ref="O579:O642" si="29">C580</f>
        <v>52.93</v>
      </c>
      <c r="P579" s="1414" t="s">
        <v>4547</v>
      </c>
      <c r="Q579" s="1414" t="s">
        <v>4547</v>
      </c>
    </row>
    <row r="580" spans="1:17">
      <c r="A580" s="1414">
        <v>578</v>
      </c>
      <c r="B580" s="1414" t="s">
        <v>3455</v>
      </c>
      <c r="C580" s="2807">
        <v>52.93</v>
      </c>
      <c r="I580" s="2807">
        <f t="shared" si="27"/>
        <v>579</v>
      </c>
      <c r="J580" s="2807" t="s">
        <v>4545</v>
      </c>
      <c r="K580" s="2807" t="s">
        <v>4504</v>
      </c>
      <c r="L580" s="2807" t="str">
        <f t="shared" si="28"/>
        <v>B4070</v>
      </c>
      <c r="M580" s="2807">
        <v>8</v>
      </c>
      <c r="N580" s="2807">
        <v>-4</v>
      </c>
      <c r="O580" s="2807">
        <f t="shared" si="29"/>
        <v>52.93</v>
      </c>
      <c r="P580" s="1414" t="s">
        <v>4547</v>
      </c>
      <c r="Q580" s="1414" t="s">
        <v>4547</v>
      </c>
    </row>
    <row r="581" spans="1:17">
      <c r="A581" s="1414">
        <v>579</v>
      </c>
      <c r="B581" s="1414" t="s">
        <v>3456</v>
      </c>
      <c r="C581" s="2807">
        <v>52.93</v>
      </c>
      <c r="I581" s="2807">
        <f t="shared" si="27"/>
        <v>580</v>
      </c>
      <c r="J581" s="2807" t="s">
        <v>4545</v>
      </c>
      <c r="K581" s="2807" t="s">
        <v>4504</v>
      </c>
      <c r="L581" s="2807" t="str">
        <f t="shared" si="28"/>
        <v>B4071</v>
      </c>
      <c r="M581" s="2807">
        <v>8</v>
      </c>
      <c r="N581" s="2807">
        <v>-4</v>
      </c>
      <c r="O581" s="2807">
        <f t="shared" si="29"/>
        <v>52.93</v>
      </c>
      <c r="P581" s="1414" t="s">
        <v>4547</v>
      </c>
      <c r="Q581" s="1414" t="s">
        <v>4547</v>
      </c>
    </row>
    <row r="582" spans="1:17">
      <c r="A582" s="1414">
        <v>580</v>
      </c>
      <c r="B582" s="1414" t="s">
        <v>3457</v>
      </c>
      <c r="C582" s="2807">
        <v>52.93</v>
      </c>
      <c r="I582" s="2807">
        <f t="shared" si="27"/>
        <v>581</v>
      </c>
      <c r="J582" s="2807" t="s">
        <v>4545</v>
      </c>
      <c r="K582" s="2807" t="s">
        <v>4504</v>
      </c>
      <c r="L582" s="2807" t="str">
        <f t="shared" si="28"/>
        <v>B4072</v>
      </c>
      <c r="M582" s="2807">
        <v>8</v>
      </c>
      <c r="N582" s="2807">
        <v>-4</v>
      </c>
      <c r="O582" s="2807">
        <f t="shared" si="29"/>
        <v>52.93</v>
      </c>
      <c r="P582" s="1414" t="s">
        <v>4547</v>
      </c>
      <c r="Q582" s="1414" t="s">
        <v>4547</v>
      </c>
    </row>
    <row r="583" spans="1:17">
      <c r="A583" s="1414">
        <v>581</v>
      </c>
      <c r="B583" s="1414" t="s">
        <v>3458</v>
      </c>
      <c r="C583" s="2807">
        <v>52.93</v>
      </c>
      <c r="I583" s="2807">
        <f t="shared" si="27"/>
        <v>582</v>
      </c>
      <c r="J583" s="2807" t="s">
        <v>4545</v>
      </c>
      <c r="K583" s="2807" t="s">
        <v>4504</v>
      </c>
      <c r="L583" s="2807" t="str">
        <f t="shared" si="28"/>
        <v>B4073</v>
      </c>
      <c r="M583" s="2807">
        <v>8</v>
      </c>
      <c r="N583" s="2807">
        <v>-4</v>
      </c>
      <c r="O583" s="2807">
        <f t="shared" si="29"/>
        <v>52.93</v>
      </c>
      <c r="P583" s="1414" t="s">
        <v>4547</v>
      </c>
      <c r="Q583" s="1414" t="s">
        <v>4547</v>
      </c>
    </row>
    <row r="584" spans="1:17">
      <c r="A584" s="1414">
        <v>582</v>
      </c>
      <c r="B584" s="1414" t="s">
        <v>3459</v>
      </c>
      <c r="C584" s="2807">
        <v>52.93</v>
      </c>
      <c r="I584" s="2807">
        <f t="shared" si="27"/>
        <v>583</v>
      </c>
      <c r="J584" s="2807" t="s">
        <v>4545</v>
      </c>
      <c r="K584" s="2807" t="s">
        <v>4504</v>
      </c>
      <c r="L584" s="2807" t="str">
        <f t="shared" si="28"/>
        <v>B4074</v>
      </c>
      <c r="M584" s="2807">
        <v>8</v>
      </c>
      <c r="N584" s="2807">
        <v>-4</v>
      </c>
      <c r="O584" s="2807">
        <f t="shared" si="29"/>
        <v>52.93</v>
      </c>
      <c r="P584" s="1414" t="s">
        <v>4547</v>
      </c>
      <c r="Q584" s="1414" t="s">
        <v>4547</v>
      </c>
    </row>
    <row r="585" spans="1:17">
      <c r="A585" s="1414">
        <v>583</v>
      </c>
      <c r="B585" s="1414" t="s">
        <v>3460</v>
      </c>
      <c r="C585" s="2807">
        <v>52.93</v>
      </c>
      <c r="I585" s="2807">
        <f t="shared" si="27"/>
        <v>584</v>
      </c>
      <c r="J585" s="2807" t="s">
        <v>4545</v>
      </c>
      <c r="K585" s="2807" t="s">
        <v>4504</v>
      </c>
      <c r="L585" s="2807" t="str">
        <f t="shared" si="28"/>
        <v>B4075</v>
      </c>
      <c r="M585" s="2807">
        <v>8</v>
      </c>
      <c r="N585" s="2807">
        <v>-4</v>
      </c>
      <c r="O585" s="2807">
        <f t="shared" si="29"/>
        <v>52.93</v>
      </c>
      <c r="P585" s="1414" t="s">
        <v>4547</v>
      </c>
      <c r="Q585" s="1414" t="s">
        <v>4547</v>
      </c>
    </row>
    <row r="586" spans="1:17">
      <c r="A586" s="1414">
        <v>584</v>
      </c>
      <c r="B586" s="1414" t="s">
        <v>3461</v>
      </c>
      <c r="C586" s="2807">
        <v>52.93</v>
      </c>
      <c r="I586" s="2807">
        <f t="shared" si="27"/>
        <v>585</v>
      </c>
      <c r="J586" s="2807" t="s">
        <v>4545</v>
      </c>
      <c r="K586" s="2807" t="s">
        <v>4504</v>
      </c>
      <c r="L586" s="2807" t="str">
        <f t="shared" si="28"/>
        <v>B4076</v>
      </c>
      <c r="M586" s="2807">
        <v>8</v>
      </c>
      <c r="N586" s="2807">
        <v>-4</v>
      </c>
      <c r="O586" s="2807">
        <f t="shared" si="29"/>
        <v>52.93</v>
      </c>
      <c r="P586" s="1414" t="s">
        <v>4547</v>
      </c>
      <c r="Q586" s="1414" t="s">
        <v>4547</v>
      </c>
    </row>
    <row r="587" spans="1:17">
      <c r="A587" s="1414">
        <v>585</v>
      </c>
      <c r="B587" s="1414" t="s">
        <v>3462</v>
      </c>
      <c r="C587" s="2807">
        <v>52.93</v>
      </c>
      <c r="I587" s="2807">
        <f t="shared" si="27"/>
        <v>586</v>
      </c>
      <c r="J587" s="2807" t="s">
        <v>4545</v>
      </c>
      <c r="K587" s="2807" t="s">
        <v>4504</v>
      </c>
      <c r="L587" s="2807" t="str">
        <f t="shared" si="28"/>
        <v>B4077</v>
      </c>
      <c r="M587" s="2807">
        <v>8</v>
      </c>
      <c r="N587" s="2807">
        <v>-4</v>
      </c>
      <c r="O587" s="2807">
        <f t="shared" si="29"/>
        <v>59.92</v>
      </c>
      <c r="P587" s="1414" t="s">
        <v>4547</v>
      </c>
      <c r="Q587" s="1414" t="s">
        <v>4547</v>
      </c>
    </row>
    <row r="588" spans="1:17">
      <c r="A588" s="1414">
        <v>586</v>
      </c>
      <c r="B588" s="1414" t="s">
        <v>3463</v>
      </c>
      <c r="C588" s="2807">
        <v>59.92</v>
      </c>
      <c r="I588" s="2807">
        <f t="shared" si="27"/>
        <v>587</v>
      </c>
      <c r="J588" s="2807" t="s">
        <v>4545</v>
      </c>
      <c r="K588" s="2807" t="s">
        <v>4504</v>
      </c>
      <c r="L588" s="2807" t="str">
        <f t="shared" si="28"/>
        <v>B4078</v>
      </c>
      <c r="M588" s="2807">
        <v>8</v>
      </c>
      <c r="N588" s="2807">
        <v>-4</v>
      </c>
      <c r="O588" s="2807">
        <f t="shared" si="29"/>
        <v>59.92</v>
      </c>
      <c r="P588" s="1414" t="s">
        <v>4547</v>
      </c>
      <c r="Q588" s="1414" t="s">
        <v>4547</v>
      </c>
    </row>
    <row r="589" spans="1:17">
      <c r="A589" s="1414">
        <v>587</v>
      </c>
      <c r="B589" s="1414" t="s">
        <v>3464</v>
      </c>
      <c r="C589" s="2807">
        <v>59.92</v>
      </c>
      <c r="I589" s="2807">
        <f t="shared" si="27"/>
        <v>588</v>
      </c>
      <c r="J589" s="2807" t="s">
        <v>4545</v>
      </c>
      <c r="K589" s="2807" t="s">
        <v>4504</v>
      </c>
      <c r="L589" s="2807" t="str">
        <f t="shared" si="28"/>
        <v>B4079</v>
      </c>
      <c r="M589" s="2807">
        <v>8</v>
      </c>
      <c r="N589" s="2807">
        <v>-4</v>
      </c>
      <c r="O589" s="2807">
        <f t="shared" si="29"/>
        <v>59.92</v>
      </c>
      <c r="P589" s="1414" t="s">
        <v>4547</v>
      </c>
      <c r="Q589" s="1414" t="s">
        <v>4547</v>
      </c>
    </row>
    <row r="590" spans="1:17">
      <c r="A590" s="1414">
        <v>588</v>
      </c>
      <c r="B590" s="1414" t="s">
        <v>3465</v>
      </c>
      <c r="C590" s="2807">
        <v>59.92</v>
      </c>
      <c r="I590" s="2807">
        <f t="shared" si="27"/>
        <v>589</v>
      </c>
      <c r="J590" s="2807" t="s">
        <v>4545</v>
      </c>
      <c r="K590" s="2807" t="s">
        <v>4504</v>
      </c>
      <c r="L590" s="2807" t="str">
        <f t="shared" si="28"/>
        <v>B4080</v>
      </c>
      <c r="M590" s="2807">
        <v>8</v>
      </c>
      <c r="N590" s="2807">
        <v>-4</v>
      </c>
      <c r="O590" s="2807">
        <f t="shared" si="29"/>
        <v>59.92</v>
      </c>
      <c r="P590" s="1414" t="s">
        <v>4547</v>
      </c>
      <c r="Q590" s="1414" t="s">
        <v>4547</v>
      </c>
    </row>
    <row r="591" spans="1:17">
      <c r="A591" s="1414">
        <v>589</v>
      </c>
      <c r="B591" s="1414" t="s">
        <v>3466</v>
      </c>
      <c r="C591" s="2807">
        <v>59.92</v>
      </c>
      <c r="I591" s="2807">
        <f t="shared" si="27"/>
        <v>590</v>
      </c>
      <c r="J591" s="2807" t="s">
        <v>4545</v>
      </c>
      <c r="K591" s="2807" t="s">
        <v>4504</v>
      </c>
      <c r="L591" s="2807" t="str">
        <f t="shared" si="28"/>
        <v>B4081</v>
      </c>
      <c r="M591" s="2807">
        <v>8</v>
      </c>
      <c r="N591" s="2807">
        <v>-4</v>
      </c>
      <c r="O591" s="2807">
        <f t="shared" si="29"/>
        <v>59.92</v>
      </c>
      <c r="P591" s="1414" t="s">
        <v>4547</v>
      </c>
      <c r="Q591" s="1414" t="s">
        <v>4547</v>
      </c>
    </row>
    <row r="592" spans="1:17">
      <c r="A592" s="1414">
        <v>590</v>
      </c>
      <c r="B592" s="1414" t="s">
        <v>3467</v>
      </c>
      <c r="C592" s="2807">
        <v>59.92</v>
      </c>
      <c r="I592" s="2807">
        <f t="shared" si="27"/>
        <v>591</v>
      </c>
      <c r="J592" s="2807" t="s">
        <v>4545</v>
      </c>
      <c r="K592" s="2807" t="s">
        <v>4504</v>
      </c>
      <c r="L592" s="2807" t="str">
        <f t="shared" si="28"/>
        <v>B4082</v>
      </c>
      <c r="M592" s="2807">
        <v>8</v>
      </c>
      <c r="N592" s="2807">
        <v>-4</v>
      </c>
      <c r="O592" s="2807">
        <f t="shared" si="29"/>
        <v>59.92</v>
      </c>
      <c r="P592" s="1414" t="s">
        <v>4547</v>
      </c>
      <c r="Q592" s="1414" t="s">
        <v>4547</v>
      </c>
    </row>
    <row r="593" spans="1:17">
      <c r="A593" s="1414">
        <v>591</v>
      </c>
      <c r="B593" s="1414" t="s">
        <v>3468</v>
      </c>
      <c r="C593" s="2807">
        <v>59.92</v>
      </c>
      <c r="I593" s="2807">
        <f t="shared" si="27"/>
        <v>592</v>
      </c>
      <c r="J593" s="2807" t="s">
        <v>4545</v>
      </c>
      <c r="K593" s="2807" t="s">
        <v>4504</v>
      </c>
      <c r="L593" s="2807" t="str">
        <f t="shared" si="28"/>
        <v>B4083</v>
      </c>
      <c r="M593" s="2807">
        <v>8</v>
      </c>
      <c r="N593" s="2807">
        <v>-4</v>
      </c>
      <c r="O593" s="2807">
        <f t="shared" si="29"/>
        <v>59.92</v>
      </c>
      <c r="P593" s="1414" t="s">
        <v>4547</v>
      </c>
      <c r="Q593" s="1414" t="s">
        <v>4547</v>
      </c>
    </row>
    <row r="594" spans="1:17">
      <c r="A594" s="1414">
        <v>592</v>
      </c>
      <c r="B594" s="1414" t="s">
        <v>3469</v>
      </c>
      <c r="C594" s="2807">
        <v>59.92</v>
      </c>
      <c r="I594" s="2807">
        <f t="shared" si="27"/>
        <v>593</v>
      </c>
      <c r="J594" s="2807" t="s">
        <v>4545</v>
      </c>
      <c r="K594" s="2807" t="s">
        <v>4504</v>
      </c>
      <c r="L594" s="2807" t="str">
        <f t="shared" si="28"/>
        <v>B4084</v>
      </c>
      <c r="M594" s="2807">
        <v>8</v>
      </c>
      <c r="N594" s="2807">
        <v>-4</v>
      </c>
      <c r="O594" s="2807">
        <f t="shared" si="29"/>
        <v>59.92</v>
      </c>
      <c r="P594" s="1414" t="s">
        <v>4547</v>
      </c>
      <c r="Q594" s="1414" t="s">
        <v>4547</v>
      </c>
    </row>
    <row r="595" spans="1:17">
      <c r="A595" s="1414">
        <v>593</v>
      </c>
      <c r="B595" s="1414" t="s">
        <v>3470</v>
      </c>
      <c r="C595" s="2807">
        <v>59.92</v>
      </c>
      <c r="I595" s="2807">
        <f t="shared" si="27"/>
        <v>594</v>
      </c>
      <c r="J595" s="2807" t="s">
        <v>4545</v>
      </c>
      <c r="K595" s="2807" t="s">
        <v>4504</v>
      </c>
      <c r="L595" s="2807" t="str">
        <f t="shared" si="28"/>
        <v>B4085</v>
      </c>
      <c r="M595" s="2807">
        <v>8</v>
      </c>
      <c r="N595" s="2807">
        <v>-4</v>
      </c>
      <c r="O595" s="2807">
        <f t="shared" si="29"/>
        <v>59.92</v>
      </c>
      <c r="P595" s="1414" t="s">
        <v>4547</v>
      </c>
      <c r="Q595" s="1414" t="s">
        <v>4547</v>
      </c>
    </row>
    <row r="596" spans="1:17">
      <c r="A596" s="1414">
        <v>594</v>
      </c>
      <c r="B596" s="1414" t="s">
        <v>3471</v>
      </c>
      <c r="C596" s="2807">
        <v>59.92</v>
      </c>
      <c r="I596" s="2807">
        <f t="shared" si="27"/>
        <v>595</v>
      </c>
      <c r="J596" s="2807" t="s">
        <v>4545</v>
      </c>
      <c r="K596" s="2807" t="s">
        <v>4504</v>
      </c>
      <c r="L596" s="2807" t="str">
        <f t="shared" si="28"/>
        <v>B4086</v>
      </c>
      <c r="M596" s="2807">
        <v>8</v>
      </c>
      <c r="N596" s="2807">
        <v>-4</v>
      </c>
      <c r="O596" s="2807">
        <f t="shared" si="29"/>
        <v>59.92</v>
      </c>
      <c r="P596" s="1414" t="s">
        <v>4547</v>
      </c>
      <c r="Q596" s="1414" t="s">
        <v>4547</v>
      </c>
    </row>
    <row r="597" spans="1:17">
      <c r="A597" s="1414">
        <v>595</v>
      </c>
      <c r="B597" s="1414" t="s">
        <v>3472</v>
      </c>
      <c r="C597" s="2807">
        <v>59.92</v>
      </c>
      <c r="I597" s="2807">
        <f t="shared" si="27"/>
        <v>596</v>
      </c>
      <c r="J597" s="2807" t="s">
        <v>4545</v>
      </c>
      <c r="K597" s="2807" t="s">
        <v>4504</v>
      </c>
      <c r="L597" s="2807" t="str">
        <f t="shared" si="28"/>
        <v>B4087</v>
      </c>
      <c r="M597" s="2807">
        <v>8</v>
      </c>
      <c r="N597" s="2807">
        <v>-4</v>
      </c>
      <c r="O597" s="2807">
        <f t="shared" si="29"/>
        <v>59.92</v>
      </c>
      <c r="P597" s="1414" t="s">
        <v>4547</v>
      </c>
      <c r="Q597" s="1414" t="s">
        <v>4547</v>
      </c>
    </row>
    <row r="598" spans="1:17">
      <c r="A598" s="1414">
        <v>596</v>
      </c>
      <c r="B598" s="1414" t="s">
        <v>3473</v>
      </c>
      <c r="C598" s="2807">
        <v>59.92</v>
      </c>
      <c r="I598" s="2807">
        <f t="shared" si="27"/>
        <v>597</v>
      </c>
      <c r="J598" s="2807" t="s">
        <v>4545</v>
      </c>
      <c r="K598" s="2807" t="s">
        <v>4504</v>
      </c>
      <c r="L598" s="2807" t="str">
        <f t="shared" si="28"/>
        <v>B4088</v>
      </c>
      <c r="M598" s="2807">
        <v>8</v>
      </c>
      <c r="N598" s="2807">
        <v>-4</v>
      </c>
      <c r="O598" s="2807">
        <f t="shared" si="29"/>
        <v>59.92</v>
      </c>
      <c r="P598" s="1414" t="s">
        <v>4547</v>
      </c>
      <c r="Q598" s="1414" t="s">
        <v>4547</v>
      </c>
    </row>
    <row r="599" spans="1:17">
      <c r="A599" s="1414">
        <v>597</v>
      </c>
      <c r="B599" s="1414" t="s">
        <v>3474</v>
      </c>
      <c r="C599" s="2807">
        <v>59.92</v>
      </c>
      <c r="I599" s="2807">
        <f t="shared" si="27"/>
        <v>598</v>
      </c>
      <c r="J599" s="2807" t="s">
        <v>4545</v>
      </c>
      <c r="K599" s="2807" t="s">
        <v>4504</v>
      </c>
      <c r="L599" s="2807" t="str">
        <f t="shared" si="28"/>
        <v>B4089</v>
      </c>
      <c r="M599" s="2807">
        <v>8</v>
      </c>
      <c r="N599" s="2807">
        <v>-4</v>
      </c>
      <c r="O599" s="2807">
        <f t="shared" si="29"/>
        <v>50.93</v>
      </c>
      <c r="P599" s="1414" t="s">
        <v>4547</v>
      </c>
      <c r="Q599" s="1414" t="s">
        <v>4547</v>
      </c>
    </row>
    <row r="600" spans="1:17">
      <c r="A600" s="1414">
        <v>598</v>
      </c>
      <c r="B600" s="1414" t="s">
        <v>3475</v>
      </c>
      <c r="C600" s="2807">
        <v>50.93</v>
      </c>
      <c r="I600" s="2807">
        <f t="shared" si="27"/>
        <v>599</v>
      </c>
      <c r="J600" s="2807" t="s">
        <v>4545</v>
      </c>
      <c r="K600" s="2807" t="s">
        <v>4504</v>
      </c>
      <c r="L600" s="2807" t="str">
        <f t="shared" si="28"/>
        <v>B4090</v>
      </c>
      <c r="M600" s="2807">
        <v>8</v>
      </c>
      <c r="N600" s="2807">
        <v>-4</v>
      </c>
      <c r="O600" s="2807">
        <f t="shared" si="29"/>
        <v>50.93</v>
      </c>
      <c r="P600" s="1414" t="s">
        <v>4547</v>
      </c>
      <c r="Q600" s="1414" t="s">
        <v>4547</v>
      </c>
    </row>
    <row r="601" spans="1:17">
      <c r="A601" s="1414">
        <v>599</v>
      </c>
      <c r="B601" s="1414" t="s">
        <v>3476</v>
      </c>
      <c r="C601" s="2807">
        <v>50.93</v>
      </c>
      <c r="I601" s="2807">
        <f t="shared" si="27"/>
        <v>600</v>
      </c>
      <c r="J601" s="2807" t="s">
        <v>4545</v>
      </c>
      <c r="K601" s="2807" t="s">
        <v>4504</v>
      </c>
      <c r="L601" s="2807" t="str">
        <f t="shared" si="28"/>
        <v>B4091</v>
      </c>
      <c r="M601" s="2807">
        <v>8</v>
      </c>
      <c r="N601" s="2807">
        <v>-4</v>
      </c>
      <c r="O601" s="2807">
        <f t="shared" si="29"/>
        <v>50.93</v>
      </c>
      <c r="P601" s="1414" t="s">
        <v>4547</v>
      </c>
      <c r="Q601" s="1414" t="s">
        <v>4547</v>
      </c>
    </row>
    <row r="602" spans="1:17">
      <c r="A602" s="1414">
        <v>600</v>
      </c>
      <c r="B602" s="1414" t="s">
        <v>3477</v>
      </c>
      <c r="C602" s="2807">
        <v>50.93</v>
      </c>
      <c r="I602" s="2807">
        <f t="shared" si="27"/>
        <v>601</v>
      </c>
      <c r="J602" s="2807" t="s">
        <v>4545</v>
      </c>
      <c r="K602" s="2807" t="s">
        <v>4504</v>
      </c>
      <c r="L602" s="2807" t="str">
        <f t="shared" si="28"/>
        <v>B4092</v>
      </c>
      <c r="M602" s="2807">
        <v>8</v>
      </c>
      <c r="N602" s="2807">
        <v>-4</v>
      </c>
      <c r="O602" s="2807">
        <f t="shared" si="29"/>
        <v>50.93</v>
      </c>
      <c r="P602" s="1414" t="s">
        <v>4547</v>
      </c>
      <c r="Q602" s="1414" t="s">
        <v>4547</v>
      </c>
    </row>
    <row r="603" spans="1:17">
      <c r="A603" s="1414">
        <v>601</v>
      </c>
      <c r="B603" s="1414" t="s">
        <v>3478</v>
      </c>
      <c r="C603" s="2807">
        <v>50.93</v>
      </c>
      <c r="I603" s="2807">
        <f t="shared" si="27"/>
        <v>602</v>
      </c>
      <c r="J603" s="2807" t="s">
        <v>4545</v>
      </c>
      <c r="K603" s="2807" t="s">
        <v>4504</v>
      </c>
      <c r="L603" s="2807" t="str">
        <f t="shared" si="28"/>
        <v>B4093</v>
      </c>
      <c r="M603" s="2807">
        <v>8</v>
      </c>
      <c r="N603" s="2807">
        <v>-4</v>
      </c>
      <c r="O603" s="2807">
        <f t="shared" si="29"/>
        <v>50.93</v>
      </c>
      <c r="P603" s="1414" t="s">
        <v>4547</v>
      </c>
      <c r="Q603" s="1414" t="s">
        <v>4547</v>
      </c>
    </row>
    <row r="604" spans="1:17">
      <c r="A604" s="1414">
        <v>602</v>
      </c>
      <c r="B604" s="1414" t="s">
        <v>3479</v>
      </c>
      <c r="C604" s="2807">
        <v>50.93</v>
      </c>
      <c r="I604" s="2807">
        <f t="shared" si="27"/>
        <v>603</v>
      </c>
      <c r="J604" s="2807" t="s">
        <v>4545</v>
      </c>
      <c r="K604" s="2807" t="s">
        <v>4504</v>
      </c>
      <c r="L604" s="2807" t="str">
        <f t="shared" si="28"/>
        <v>B4094</v>
      </c>
      <c r="M604" s="2807">
        <v>8</v>
      </c>
      <c r="N604" s="2807">
        <v>-4</v>
      </c>
      <c r="O604" s="2807">
        <f t="shared" si="29"/>
        <v>50.93</v>
      </c>
      <c r="P604" s="1414" t="s">
        <v>4547</v>
      </c>
      <c r="Q604" s="1414" t="s">
        <v>4547</v>
      </c>
    </row>
    <row r="605" spans="1:17">
      <c r="A605" s="1414">
        <v>603</v>
      </c>
      <c r="B605" s="1414" t="s">
        <v>3480</v>
      </c>
      <c r="C605" s="2807">
        <v>50.93</v>
      </c>
      <c r="I605" s="2807">
        <f t="shared" si="27"/>
        <v>604</v>
      </c>
      <c r="J605" s="2807" t="s">
        <v>4545</v>
      </c>
      <c r="K605" s="2807" t="s">
        <v>4504</v>
      </c>
      <c r="L605" s="2807" t="str">
        <f t="shared" si="28"/>
        <v>B4095</v>
      </c>
      <c r="M605" s="2807">
        <v>8</v>
      </c>
      <c r="N605" s="2807">
        <v>-4</v>
      </c>
      <c r="O605" s="2807">
        <f t="shared" si="29"/>
        <v>50.93</v>
      </c>
      <c r="P605" s="1414" t="s">
        <v>4547</v>
      </c>
      <c r="Q605" s="1414" t="s">
        <v>4547</v>
      </c>
    </row>
    <row r="606" spans="1:17">
      <c r="A606" s="1414">
        <v>604</v>
      </c>
      <c r="B606" s="1414" t="s">
        <v>3481</v>
      </c>
      <c r="C606" s="2807">
        <v>50.93</v>
      </c>
      <c r="I606" s="2807">
        <f t="shared" si="27"/>
        <v>605</v>
      </c>
      <c r="J606" s="2807" t="s">
        <v>4545</v>
      </c>
      <c r="K606" s="2807" t="s">
        <v>4504</v>
      </c>
      <c r="L606" s="2807" t="str">
        <f t="shared" si="28"/>
        <v>B4096</v>
      </c>
      <c r="M606" s="2807">
        <v>8</v>
      </c>
      <c r="N606" s="2807">
        <v>-4</v>
      </c>
      <c r="O606" s="2807">
        <f t="shared" si="29"/>
        <v>50.93</v>
      </c>
      <c r="P606" s="1414" t="s">
        <v>4547</v>
      </c>
      <c r="Q606" s="1414" t="s">
        <v>4547</v>
      </c>
    </row>
    <row r="607" spans="1:17">
      <c r="A607" s="1414">
        <v>605</v>
      </c>
      <c r="B607" s="1414" t="s">
        <v>3482</v>
      </c>
      <c r="C607" s="2807">
        <v>50.93</v>
      </c>
      <c r="I607" s="2807">
        <f t="shared" si="27"/>
        <v>606</v>
      </c>
      <c r="J607" s="2807" t="s">
        <v>4545</v>
      </c>
      <c r="K607" s="2807" t="s">
        <v>4504</v>
      </c>
      <c r="L607" s="2807" t="str">
        <f t="shared" si="28"/>
        <v>B4097</v>
      </c>
      <c r="M607" s="2807">
        <v>8</v>
      </c>
      <c r="N607" s="2807">
        <v>-4</v>
      </c>
      <c r="O607" s="2807">
        <f t="shared" si="29"/>
        <v>50.93</v>
      </c>
      <c r="P607" s="1414" t="s">
        <v>4547</v>
      </c>
      <c r="Q607" s="1414" t="s">
        <v>4547</v>
      </c>
    </row>
    <row r="608" spans="1:17">
      <c r="A608" s="1414">
        <v>606</v>
      </c>
      <c r="B608" s="1414" t="s">
        <v>3483</v>
      </c>
      <c r="C608" s="2807">
        <v>50.93</v>
      </c>
      <c r="I608" s="2807">
        <f t="shared" si="27"/>
        <v>607</v>
      </c>
      <c r="J608" s="2807" t="s">
        <v>4545</v>
      </c>
      <c r="K608" s="2807" t="s">
        <v>4504</v>
      </c>
      <c r="L608" s="2807" t="str">
        <f t="shared" si="28"/>
        <v>B4098</v>
      </c>
      <c r="M608" s="2807">
        <v>8</v>
      </c>
      <c r="N608" s="2807">
        <v>-4</v>
      </c>
      <c r="O608" s="2807">
        <f t="shared" si="29"/>
        <v>50.93</v>
      </c>
      <c r="P608" s="1414" t="s">
        <v>4547</v>
      </c>
      <c r="Q608" s="1414" t="s">
        <v>4547</v>
      </c>
    </row>
    <row r="609" spans="1:17">
      <c r="A609" s="1414">
        <v>607</v>
      </c>
      <c r="B609" s="1414" t="s">
        <v>3484</v>
      </c>
      <c r="C609" s="2807">
        <v>50.93</v>
      </c>
      <c r="I609" s="2807">
        <f t="shared" si="27"/>
        <v>608</v>
      </c>
      <c r="J609" s="2807" t="s">
        <v>4545</v>
      </c>
      <c r="K609" s="2807" t="s">
        <v>4504</v>
      </c>
      <c r="L609" s="2807" t="str">
        <f t="shared" si="28"/>
        <v>B4099</v>
      </c>
      <c r="M609" s="2807">
        <v>8</v>
      </c>
      <c r="N609" s="2807">
        <v>-4</v>
      </c>
      <c r="O609" s="2807">
        <f t="shared" si="29"/>
        <v>50.93</v>
      </c>
      <c r="P609" s="1414" t="s">
        <v>4547</v>
      </c>
      <c r="Q609" s="1414" t="s">
        <v>4547</v>
      </c>
    </row>
    <row r="610" spans="1:17">
      <c r="A610" s="1414">
        <v>608</v>
      </c>
      <c r="B610" s="1414" t="s">
        <v>3485</v>
      </c>
      <c r="C610" s="2807">
        <v>50.93</v>
      </c>
      <c r="I610" s="2807">
        <f t="shared" si="27"/>
        <v>609</v>
      </c>
      <c r="J610" s="2807" t="s">
        <v>4545</v>
      </c>
      <c r="K610" s="2807" t="s">
        <v>4504</v>
      </c>
      <c r="L610" s="2807" t="str">
        <f t="shared" si="28"/>
        <v>B4100</v>
      </c>
      <c r="M610" s="2807">
        <v>8</v>
      </c>
      <c r="N610" s="2807">
        <v>-4</v>
      </c>
      <c r="O610" s="2807">
        <f t="shared" si="29"/>
        <v>50.93</v>
      </c>
      <c r="P610" s="1414" t="s">
        <v>4547</v>
      </c>
      <c r="Q610" s="1414" t="s">
        <v>4547</v>
      </c>
    </row>
    <row r="611" spans="1:17">
      <c r="A611" s="1414">
        <v>609</v>
      </c>
      <c r="B611" s="1414" t="s">
        <v>3486</v>
      </c>
      <c r="C611" s="2807">
        <v>50.93</v>
      </c>
      <c r="I611" s="2807">
        <f t="shared" si="27"/>
        <v>610</v>
      </c>
      <c r="J611" s="2807" t="s">
        <v>4545</v>
      </c>
      <c r="K611" s="2807" t="s">
        <v>4504</v>
      </c>
      <c r="L611" s="2807" t="str">
        <f t="shared" si="28"/>
        <v>B4101</v>
      </c>
      <c r="M611" s="2807">
        <v>8</v>
      </c>
      <c r="N611" s="2807">
        <v>-4</v>
      </c>
      <c r="O611" s="2807">
        <f t="shared" si="29"/>
        <v>50.93</v>
      </c>
      <c r="P611" s="1414" t="s">
        <v>4547</v>
      </c>
      <c r="Q611" s="1414" t="s">
        <v>4547</v>
      </c>
    </row>
    <row r="612" spans="1:17">
      <c r="A612" s="1414">
        <v>610</v>
      </c>
      <c r="B612" s="1414" t="s">
        <v>3487</v>
      </c>
      <c r="C612" s="2807">
        <v>50.93</v>
      </c>
      <c r="I612" s="2807">
        <f t="shared" si="27"/>
        <v>611</v>
      </c>
      <c r="J612" s="2807" t="s">
        <v>4545</v>
      </c>
      <c r="K612" s="2807" t="s">
        <v>4504</v>
      </c>
      <c r="L612" s="2807" t="str">
        <f t="shared" si="28"/>
        <v>B4102</v>
      </c>
      <c r="M612" s="2807">
        <v>8</v>
      </c>
      <c r="N612" s="2807">
        <v>-4</v>
      </c>
      <c r="O612" s="2807">
        <f t="shared" si="29"/>
        <v>50.93</v>
      </c>
      <c r="P612" s="1414" t="s">
        <v>4547</v>
      </c>
      <c r="Q612" s="1414" t="s">
        <v>4547</v>
      </c>
    </row>
    <row r="613" spans="1:17">
      <c r="A613" s="1414">
        <v>611</v>
      </c>
      <c r="B613" s="1414" t="s">
        <v>3488</v>
      </c>
      <c r="C613" s="2807">
        <v>50.93</v>
      </c>
      <c r="I613" s="2807">
        <f t="shared" si="27"/>
        <v>612</v>
      </c>
      <c r="J613" s="2807" t="s">
        <v>4545</v>
      </c>
      <c r="K613" s="2807" t="s">
        <v>4504</v>
      </c>
      <c r="L613" s="2807" t="str">
        <f t="shared" si="28"/>
        <v>B4103</v>
      </c>
      <c r="M613" s="2807">
        <v>8</v>
      </c>
      <c r="N613" s="2807">
        <v>-4</v>
      </c>
      <c r="O613" s="2807">
        <f t="shared" si="29"/>
        <v>52.93</v>
      </c>
      <c r="P613" s="1414" t="s">
        <v>4547</v>
      </c>
      <c r="Q613" s="1414" t="s">
        <v>4547</v>
      </c>
    </row>
    <row r="614" spans="1:17">
      <c r="A614" s="1414">
        <v>612</v>
      </c>
      <c r="B614" s="1414" t="s">
        <v>3489</v>
      </c>
      <c r="C614" s="2807">
        <v>52.93</v>
      </c>
      <c r="I614" s="2807">
        <f t="shared" si="27"/>
        <v>613</v>
      </c>
      <c r="J614" s="2807" t="s">
        <v>4545</v>
      </c>
      <c r="K614" s="2807" t="s">
        <v>4504</v>
      </c>
      <c r="L614" s="2807" t="str">
        <f t="shared" si="28"/>
        <v>B4104</v>
      </c>
      <c r="M614" s="2807">
        <v>8</v>
      </c>
      <c r="N614" s="2807">
        <v>-4</v>
      </c>
      <c r="O614" s="2807">
        <f t="shared" si="29"/>
        <v>52.93</v>
      </c>
      <c r="P614" s="1414" t="s">
        <v>4547</v>
      </c>
      <c r="Q614" s="1414" t="s">
        <v>4547</v>
      </c>
    </row>
    <row r="615" spans="1:17">
      <c r="A615" s="1414">
        <v>613</v>
      </c>
      <c r="B615" s="1414" t="s">
        <v>3490</v>
      </c>
      <c r="C615" s="2807">
        <v>52.93</v>
      </c>
      <c r="I615" s="2807">
        <f t="shared" si="27"/>
        <v>614</v>
      </c>
      <c r="J615" s="2807" t="s">
        <v>4545</v>
      </c>
      <c r="K615" s="2807" t="s">
        <v>4504</v>
      </c>
      <c r="L615" s="2807" t="str">
        <f t="shared" si="28"/>
        <v>B4105</v>
      </c>
      <c r="M615" s="2807">
        <v>8</v>
      </c>
      <c r="N615" s="2807">
        <v>-4</v>
      </c>
      <c r="O615" s="2807">
        <f t="shared" si="29"/>
        <v>52.93</v>
      </c>
      <c r="P615" s="1414" t="s">
        <v>4547</v>
      </c>
      <c r="Q615" s="1414" t="s">
        <v>4547</v>
      </c>
    </row>
    <row r="616" spans="1:17">
      <c r="A616" s="1414">
        <v>614</v>
      </c>
      <c r="B616" s="1414" t="s">
        <v>3491</v>
      </c>
      <c r="C616" s="2807">
        <v>52.93</v>
      </c>
      <c r="I616" s="2807">
        <f t="shared" si="27"/>
        <v>615</v>
      </c>
      <c r="J616" s="2807" t="s">
        <v>4545</v>
      </c>
      <c r="K616" s="2807" t="s">
        <v>4504</v>
      </c>
      <c r="L616" s="2807" t="str">
        <f t="shared" si="28"/>
        <v>B4106</v>
      </c>
      <c r="M616" s="2807">
        <v>8</v>
      </c>
      <c r="N616" s="2807">
        <v>-4</v>
      </c>
      <c r="O616" s="2807">
        <f t="shared" si="29"/>
        <v>52.93</v>
      </c>
      <c r="P616" s="1414" t="s">
        <v>4547</v>
      </c>
      <c r="Q616" s="1414" t="s">
        <v>4547</v>
      </c>
    </row>
    <row r="617" spans="1:17">
      <c r="A617" s="1414">
        <v>615</v>
      </c>
      <c r="B617" s="1414" t="s">
        <v>3492</v>
      </c>
      <c r="C617" s="2807">
        <v>52.93</v>
      </c>
      <c r="I617" s="2807">
        <f t="shared" si="27"/>
        <v>616</v>
      </c>
      <c r="J617" s="2807" t="s">
        <v>4545</v>
      </c>
      <c r="K617" s="2807" t="s">
        <v>4504</v>
      </c>
      <c r="L617" s="2807" t="str">
        <f t="shared" si="28"/>
        <v>B4107</v>
      </c>
      <c r="M617" s="2807">
        <v>8</v>
      </c>
      <c r="N617" s="2807">
        <v>-4</v>
      </c>
      <c r="O617" s="2807">
        <f t="shared" si="29"/>
        <v>52.93</v>
      </c>
      <c r="P617" s="1414" t="s">
        <v>4547</v>
      </c>
      <c r="Q617" s="1414" t="s">
        <v>4547</v>
      </c>
    </row>
    <row r="618" spans="1:17">
      <c r="A618" s="1414">
        <v>616</v>
      </c>
      <c r="B618" s="1414" t="s">
        <v>3493</v>
      </c>
      <c r="C618" s="2807">
        <v>52.93</v>
      </c>
      <c r="I618" s="2807">
        <f t="shared" si="27"/>
        <v>617</v>
      </c>
      <c r="J618" s="2807" t="s">
        <v>4545</v>
      </c>
      <c r="K618" s="2807" t="s">
        <v>4504</v>
      </c>
      <c r="L618" s="2807" t="str">
        <f t="shared" si="28"/>
        <v>B4108</v>
      </c>
      <c r="M618" s="2807">
        <v>8</v>
      </c>
      <c r="N618" s="2807">
        <v>-4</v>
      </c>
      <c r="O618" s="2807">
        <f t="shared" si="29"/>
        <v>52.93</v>
      </c>
      <c r="P618" s="1414" t="s">
        <v>4547</v>
      </c>
      <c r="Q618" s="1414" t="s">
        <v>4547</v>
      </c>
    </row>
    <row r="619" spans="1:17">
      <c r="A619" s="1414">
        <v>617</v>
      </c>
      <c r="B619" s="1414" t="s">
        <v>3494</v>
      </c>
      <c r="C619" s="2807">
        <v>52.93</v>
      </c>
      <c r="I619" s="2807">
        <f t="shared" si="27"/>
        <v>618</v>
      </c>
      <c r="J619" s="2807" t="s">
        <v>4545</v>
      </c>
      <c r="K619" s="2807" t="s">
        <v>4504</v>
      </c>
      <c r="L619" s="2807" t="str">
        <f t="shared" si="28"/>
        <v>B4109</v>
      </c>
      <c r="M619" s="2807">
        <v>8</v>
      </c>
      <c r="N619" s="2807">
        <v>-4</v>
      </c>
      <c r="O619" s="2807">
        <f t="shared" si="29"/>
        <v>52.93</v>
      </c>
      <c r="P619" s="1414" t="s">
        <v>4547</v>
      </c>
      <c r="Q619" s="1414" t="s">
        <v>4547</v>
      </c>
    </row>
    <row r="620" spans="1:17">
      <c r="A620" s="1414">
        <v>618</v>
      </c>
      <c r="B620" s="1414" t="s">
        <v>3495</v>
      </c>
      <c r="C620" s="2807">
        <v>52.93</v>
      </c>
      <c r="I620" s="2807">
        <f t="shared" si="27"/>
        <v>619</v>
      </c>
      <c r="J620" s="2807" t="s">
        <v>4545</v>
      </c>
      <c r="K620" s="2807" t="s">
        <v>4504</v>
      </c>
      <c r="L620" s="2807" t="str">
        <f t="shared" si="28"/>
        <v>B4110</v>
      </c>
      <c r="M620" s="2807">
        <v>8</v>
      </c>
      <c r="N620" s="2807">
        <v>-4</v>
      </c>
      <c r="O620" s="2807">
        <f t="shared" si="29"/>
        <v>52.93</v>
      </c>
      <c r="P620" s="1414" t="s">
        <v>4547</v>
      </c>
      <c r="Q620" s="1414" t="s">
        <v>4547</v>
      </c>
    </row>
    <row r="621" spans="1:17">
      <c r="A621" s="1414">
        <v>619</v>
      </c>
      <c r="B621" s="1414" t="s">
        <v>3496</v>
      </c>
      <c r="C621" s="2807">
        <v>52.93</v>
      </c>
      <c r="I621" s="2807">
        <f t="shared" si="27"/>
        <v>620</v>
      </c>
      <c r="J621" s="2807" t="s">
        <v>4545</v>
      </c>
      <c r="K621" s="2807" t="s">
        <v>4504</v>
      </c>
      <c r="L621" s="2807" t="str">
        <f t="shared" si="28"/>
        <v>B4111</v>
      </c>
      <c r="M621" s="2807">
        <v>8</v>
      </c>
      <c r="N621" s="2807">
        <v>-4</v>
      </c>
      <c r="O621" s="2807">
        <f t="shared" si="29"/>
        <v>52.93</v>
      </c>
      <c r="P621" s="1414" t="s">
        <v>4547</v>
      </c>
      <c r="Q621" s="1414" t="s">
        <v>4547</v>
      </c>
    </row>
    <row r="622" spans="1:17">
      <c r="A622" s="1414">
        <v>620</v>
      </c>
      <c r="B622" s="1414" t="s">
        <v>3497</v>
      </c>
      <c r="C622" s="2807">
        <v>52.93</v>
      </c>
      <c r="I622" s="2807">
        <f t="shared" si="27"/>
        <v>621</v>
      </c>
      <c r="J622" s="2807" t="s">
        <v>4545</v>
      </c>
      <c r="K622" s="2807" t="s">
        <v>4504</v>
      </c>
      <c r="L622" s="2807" t="str">
        <f t="shared" si="28"/>
        <v>B4112</v>
      </c>
      <c r="M622" s="2807">
        <v>8</v>
      </c>
      <c r="N622" s="2807">
        <v>-4</v>
      </c>
      <c r="O622" s="2807">
        <f t="shared" si="29"/>
        <v>52.93</v>
      </c>
      <c r="P622" s="1414" t="s">
        <v>4547</v>
      </c>
      <c r="Q622" s="1414" t="s">
        <v>4547</v>
      </c>
    </row>
    <row r="623" spans="1:17">
      <c r="A623" s="1414">
        <v>621</v>
      </c>
      <c r="B623" s="1414" t="s">
        <v>3498</v>
      </c>
      <c r="C623" s="2807">
        <v>52.93</v>
      </c>
      <c r="I623" s="2807">
        <f t="shared" si="27"/>
        <v>622</v>
      </c>
      <c r="J623" s="2807" t="s">
        <v>4545</v>
      </c>
      <c r="K623" s="2807" t="s">
        <v>4504</v>
      </c>
      <c r="L623" s="2807" t="str">
        <f t="shared" si="28"/>
        <v>B4113</v>
      </c>
      <c r="M623" s="2807">
        <v>8</v>
      </c>
      <c r="N623" s="2807">
        <v>-4</v>
      </c>
      <c r="O623" s="2807">
        <f t="shared" si="29"/>
        <v>52.93</v>
      </c>
      <c r="P623" s="1414" t="s">
        <v>4547</v>
      </c>
      <c r="Q623" s="1414" t="s">
        <v>4547</v>
      </c>
    </row>
    <row r="624" spans="1:17">
      <c r="A624" s="1414">
        <v>622</v>
      </c>
      <c r="B624" s="1414" t="s">
        <v>3499</v>
      </c>
      <c r="C624" s="2807">
        <v>52.93</v>
      </c>
      <c r="I624" s="2807">
        <f t="shared" si="27"/>
        <v>623</v>
      </c>
      <c r="J624" s="2807" t="s">
        <v>4545</v>
      </c>
      <c r="K624" s="2807" t="s">
        <v>4504</v>
      </c>
      <c r="L624" s="2807" t="str">
        <f t="shared" si="28"/>
        <v>B4114</v>
      </c>
      <c r="M624" s="2807">
        <v>8</v>
      </c>
      <c r="N624" s="2807">
        <v>-4</v>
      </c>
      <c r="O624" s="2807">
        <f t="shared" si="29"/>
        <v>52.93</v>
      </c>
      <c r="P624" s="1414" t="s">
        <v>4547</v>
      </c>
      <c r="Q624" s="1414" t="s">
        <v>4547</v>
      </c>
    </row>
    <row r="625" spans="1:17">
      <c r="A625" s="1414">
        <v>623</v>
      </c>
      <c r="B625" s="1414" t="s">
        <v>3500</v>
      </c>
      <c r="C625" s="2807">
        <v>52.93</v>
      </c>
      <c r="I625" s="2807">
        <f t="shared" si="27"/>
        <v>624</v>
      </c>
      <c r="J625" s="2807" t="s">
        <v>4545</v>
      </c>
      <c r="K625" s="2807" t="s">
        <v>4504</v>
      </c>
      <c r="L625" s="2807" t="str">
        <f t="shared" si="28"/>
        <v>B4115</v>
      </c>
      <c r="M625" s="2807">
        <v>8</v>
      </c>
      <c r="N625" s="2807">
        <v>-4</v>
      </c>
      <c r="O625" s="2807">
        <f t="shared" si="29"/>
        <v>52.93</v>
      </c>
      <c r="P625" s="1414" t="s">
        <v>4547</v>
      </c>
      <c r="Q625" s="1414" t="s">
        <v>4547</v>
      </c>
    </row>
    <row r="626" spans="1:17">
      <c r="A626" s="1414">
        <v>624</v>
      </c>
      <c r="B626" s="1414" t="s">
        <v>3501</v>
      </c>
      <c r="C626" s="2807">
        <v>52.93</v>
      </c>
      <c r="I626" s="2807">
        <f t="shared" si="27"/>
        <v>625</v>
      </c>
      <c r="J626" s="2807" t="s">
        <v>4545</v>
      </c>
      <c r="K626" s="2807" t="s">
        <v>4504</v>
      </c>
      <c r="L626" s="2807" t="str">
        <f t="shared" si="28"/>
        <v>B4116</v>
      </c>
      <c r="M626" s="2807">
        <v>8</v>
      </c>
      <c r="N626" s="2807">
        <v>-4</v>
      </c>
      <c r="O626" s="2807">
        <f t="shared" si="29"/>
        <v>52.93</v>
      </c>
      <c r="P626" s="1414" t="s">
        <v>4547</v>
      </c>
      <c r="Q626" s="1414" t="s">
        <v>4547</v>
      </c>
    </row>
    <row r="627" spans="1:17">
      <c r="A627" s="1414">
        <v>625</v>
      </c>
      <c r="B627" s="1414" t="s">
        <v>3502</v>
      </c>
      <c r="C627" s="2807">
        <v>52.93</v>
      </c>
      <c r="I627" s="2807">
        <f t="shared" si="27"/>
        <v>626</v>
      </c>
      <c r="J627" s="2807" t="s">
        <v>4545</v>
      </c>
      <c r="K627" s="2807" t="s">
        <v>4504</v>
      </c>
      <c r="L627" s="2807" t="str">
        <f t="shared" si="28"/>
        <v>B4117</v>
      </c>
      <c r="M627" s="2807">
        <v>8</v>
      </c>
      <c r="N627" s="2807">
        <v>-4</v>
      </c>
      <c r="O627" s="2807">
        <f t="shared" si="29"/>
        <v>52.93</v>
      </c>
      <c r="P627" s="1414" t="s">
        <v>4547</v>
      </c>
      <c r="Q627" s="1414" t="s">
        <v>4547</v>
      </c>
    </row>
    <row r="628" spans="1:17">
      <c r="A628" s="1414">
        <v>626</v>
      </c>
      <c r="B628" s="1414" t="s">
        <v>3503</v>
      </c>
      <c r="C628" s="2807">
        <v>52.93</v>
      </c>
      <c r="I628" s="2807">
        <f t="shared" si="27"/>
        <v>627</v>
      </c>
      <c r="J628" s="2807" t="s">
        <v>4545</v>
      </c>
      <c r="K628" s="2807" t="s">
        <v>4504</v>
      </c>
      <c r="L628" s="2807" t="str">
        <f t="shared" si="28"/>
        <v>B4118</v>
      </c>
      <c r="M628" s="2807">
        <v>8</v>
      </c>
      <c r="N628" s="2807">
        <v>-4</v>
      </c>
      <c r="O628" s="2807">
        <f t="shared" si="29"/>
        <v>52.93</v>
      </c>
      <c r="P628" s="1414" t="s">
        <v>4547</v>
      </c>
      <c r="Q628" s="1414" t="s">
        <v>4547</v>
      </c>
    </row>
    <row r="629" spans="1:17">
      <c r="A629" s="1414">
        <v>627</v>
      </c>
      <c r="B629" s="1414" t="s">
        <v>3504</v>
      </c>
      <c r="C629" s="2807">
        <v>52.93</v>
      </c>
      <c r="I629" s="2807">
        <f t="shared" si="27"/>
        <v>628</v>
      </c>
      <c r="J629" s="2807" t="s">
        <v>4545</v>
      </c>
      <c r="K629" s="2807" t="s">
        <v>4504</v>
      </c>
      <c r="L629" s="2807" t="str">
        <f t="shared" si="28"/>
        <v>B4119</v>
      </c>
      <c r="M629" s="2807">
        <v>8</v>
      </c>
      <c r="N629" s="2807">
        <v>-4</v>
      </c>
      <c r="O629" s="2807">
        <f t="shared" si="29"/>
        <v>52.93</v>
      </c>
      <c r="P629" s="1414" t="s">
        <v>4547</v>
      </c>
      <c r="Q629" s="1414" t="s">
        <v>4547</v>
      </c>
    </row>
    <row r="630" spans="1:17">
      <c r="A630" s="1414">
        <v>628</v>
      </c>
      <c r="B630" s="1414" t="s">
        <v>3505</v>
      </c>
      <c r="C630" s="2807">
        <v>52.93</v>
      </c>
      <c r="I630" s="2807">
        <f t="shared" si="27"/>
        <v>629</v>
      </c>
      <c r="J630" s="2807" t="s">
        <v>4545</v>
      </c>
      <c r="K630" s="2807" t="s">
        <v>4504</v>
      </c>
      <c r="L630" s="2807" t="str">
        <f t="shared" si="28"/>
        <v>B4120</v>
      </c>
      <c r="M630" s="2807">
        <v>8</v>
      </c>
      <c r="N630" s="2807">
        <v>-4</v>
      </c>
      <c r="O630" s="2807">
        <f t="shared" si="29"/>
        <v>52.93</v>
      </c>
      <c r="P630" s="1414" t="s">
        <v>4547</v>
      </c>
      <c r="Q630" s="1414" t="s">
        <v>4547</v>
      </c>
    </row>
    <row r="631" spans="1:17">
      <c r="A631" s="1414">
        <v>629</v>
      </c>
      <c r="B631" s="1414" t="s">
        <v>3506</v>
      </c>
      <c r="C631" s="2807">
        <v>52.93</v>
      </c>
      <c r="I631" s="2807">
        <f t="shared" si="27"/>
        <v>630</v>
      </c>
      <c r="J631" s="2807" t="s">
        <v>4545</v>
      </c>
      <c r="K631" s="2807" t="s">
        <v>4504</v>
      </c>
      <c r="L631" s="2807" t="str">
        <f t="shared" si="28"/>
        <v>B4121</v>
      </c>
      <c r="M631" s="2807">
        <v>8</v>
      </c>
      <c r="N631" s="2807">
        <v>-4</v>
      </c>
      <c r="O631" s="2807">
        <f t="shared" si="29"/>
        <v>52.93</v>
      </c>
      <c r="P631" s="1414" t="s">
        <v>4547</v>
      </c>
      <c r="Q631" s="1414" t="s">
        <v>4547</v>
      </c>
    </row>
    <row r="632" spans="1:17">
      <c r="A632" s="1414">
        <v>630</v>
      </c>
      <c r="B632" s="1414" t="s">
        <v>3507</v>
      </c>
      <c r="C632" s="2807">
        <v>52.93</v>
      </c>
      <c r="I632" s="2807">
        <f t="shared" si="27"/>
        <v>631</v>
      </c>
      <c r="J632" s="2807" t="s">
        <v>4545</v>
      </c>
      <c r="K632" s="2807" t="s">
        <v>4504</v>
      </c>
      <c r="L632" s="2807" t="str">
        <f t="shared" si="28"/>
        <v>B4122</v>
      </c>
      <c r="M632" s="2807">
        <v>8</v>
      </c>
      <c r="N632" s="2807">
        <v>-4</v>
      </c>
      <c r="O632" s="2807">
        <f t="shared" si="29"/>
        <v>52.93</v>
      </c>
      <c r="P632" s="1414" t="s">
        <v>4547</v>
      </c>
      <c r="Q632" s="1414" t="s">
        <v>4547</v>
      </c>
    </row>
    <row r="633" spans="1:17">
      <c r="A633" s="1414">
        <v>631</v>
      </c>
      <c r="B633" s="1414" t="s">
        <v>3508</v>
      </c>
      <c r="C633" s="2807">
        <v>52.93</v>
      </c>
      <c r="I633" s="2807">
        <f t="shared" si="27"/>
        <v>632</v>
      </c>
      <c r="J633" s="2807" t="s">
        <v>4545</v>
      </c>
      <c r="K633" s="2807" t="s">
        <v>4504</v>
      </c>
      <c r="L633" s="2807" t="str">
        <f t="shared" si="28"/>
        <v>B4123</v>
      </c>
      <c r="M633" s="2807">
        <v>8</v>
      </c>
      <c r="N633" s="2807">
        <v>-4</v>
      </c>
      <c r="O633" s="2807">
        <f t="shared" si="29"/>
        <v>52.93</v>
      </c>
      <c r="P633" s="1414" t="s">
        <v>4547</v>
      </c>
      <c r="Q633" s="1414" t="s">
        <v>4547</v>
      </c>
    </row>
    <row r="634" spans="1:17">
      <c r="A634" s="1414">
        <v>632</v>
      </c>
      <c r="B634" s="1414" t="s">
        <v>3509</v>
      </c>
      <c r="C634" s="2807">
        <v>52.93</v>
      </c>
      <c r="I634" s="2807">
        <f t="shared" si="27"/>
        <v>633</v>
      </c>
      <c r="J634" s="2807" t="s">
        <v>4545</v>
      </c>
      <c r="K634" s="2807" t="s">
        <v>4504</v>
      </c>
      <c r="L634" s="2807" t="str">
        <f t="shared" si="28"/>
        <v>B4124</v>
      </c>
      <c r="M634" s="2807">
        <v>8</v>
      </c>
      <c r="N634" s="2807">
        <v>-4</v>
      </c>
      <c r="O634" s="2807">
        <f t="shared" si="29"/>
        <v>52.93</v>
      </c>
      <c r="P634" s="1414" t="s">
        <v>4547</v>
      </c>
      <c r="Q634" s="1414" t="s">
        <v>4547</v>
      </c>
    </row>
    <row r="635" spans="1:17">
      <c r="A635" s="1414">
        <v>633</v>
      </c>
      <c r="B635" s="1414" t="s">
        <v>3510</v>
      </c>
      <c r="C635" s="2807">
        <v>52.93</v>
      </c>
      <c r="I635" s="2807">
        <f t="shared" si="27"/>
        <v>634</v>
      </c>
      <c r="J635" s="2807" t="s">
        <v>4545</v>
      </c>
      <c r="K635" s="2807" t="s">
        <v>4504</v>
      </c>
      <c r="L635" s="2807" t="str">
        <f t="shared" si="28"/>
        <v>B4125</v>
      </c>
      <c r="M635" s="2807">
        <v>8</v>
      </c>
      <c r="N635" s="2807">
        <v>-4</v>
      </c>
      <c r="O635" s="2807">
        <f t="shared" si="29"/>
        <v>52.93</v>
      </c>
      <c r="P635" s="1414" t="s">
        <v>4547</v>
      </c>
      <c r="Q635" s="1414" t="s">
        <v>4547</v>
      </c>
    </row>
    <row r="636" spans="1:17">
      <c r="A636" s="1414">
        <v>634</v>
      </c>
      <c r="B636" s="1414" t="s">
        <v>3511</v>
      </c>
      <c r="C636" s="2807">
        <v>52.93</v>
      </c>
      <c r="I636" s="2807">
        <f t="shared" si="27"/>
        <v>635</v>
      </c>
      <c r="J636" s="2807" t="s">
        <v>4545</v>
      </c>
      <c r="K636" s="2807" t="s">
        <v>4504</v>
      </c>
      <c r="L636" s="2807" t="str">
        <f t="shared" si="28"/>
        <v>B4126</v>
      </c>
      <c r="M636" s="2807">
        <v>8</v>
      </c>
      <c r="N636" s="2807">
        <v>-4</v>
      </c>
      <c r="O636" s="2807">
        <f t="shared" si="29"/>
        <v>52.93</v>
      </c>
      <c r="P636" s="1414" t="s">
        <v>4547</v>
      </c>
      <c r="Q636" s="1414" t="s">
        <v>4547</v>
      </c>
    </row>
    <row r="637" spans="1:17">
      <c r="A637" s="1414">
        <v>635</v>
      </c>
      <c r="B637" s="1414" t="s">
        <v>3512</v>
      </c>
      <c r="C637" s="2807">
        <v>52.93</v>
      </c>
      <c r="I637" s="2807">
        <f t="shared" si="27"/>
        <v>636</v>
      </c>
      <c r="J637" s="2807" t="s">
        <v>4545</v>
      </c>
      <c r="K637" s="2807" t="s">
        <v>4504</v>
      </c>
      <c r="L637" s="2807" t="str">
        <f t="shared" si="28"/>
        <v>B4127</v>
      </c>
      <c r="M637" s="2807">
        <v>8</v>
      </c>
      <c r="N637" s="2807">
        <v>-4</v>
      </c>
      <c r="O637" s="2807">
        <f t="shared" si="29"/>
        <v>52.93</v>
      </c>
      <c r="P637" s="1414" t="s">
        <v>4547</v>
      </c>
      <c r="Q637" s="1414" t="s">
        <v>4547</v>
      </c>
    </row>
    <row r="638" spans="1:17">
      <c r="A638" s="1414">
        <v>636</v>
      </c>
      <c r="B638" s="1414" t="s">
        <v>3513</v>
      </c>
      <c r="C638" s="2807">
        <v>52.93</v>
      </c>
      <c r="I638" s="2807">
        <f t="shared" si="27"/>
        <v>637</v>
      </c>
      <c r="J638" s="2807" t="s">
        <v>4545</v>
      </c>
      <c r="K638" s="2807" t="s">
        <v>4504</v>
      </c>
      <c r="L638" s="2807" t="str">
        <f t="shared" si="28"/>
        <v>B4128</v>
      </c>
      <c r="M638" s="2807">
        <v>8</v>
      </c>
      <c r="N638" s="2807">
        <v>-4</v>
      </c>
      <c r="O638" s="2807">
        <f t="shared" si="29"/>
        <v>52.93</v>
      </c>
      <c r="P638" s="1414" t="s">
        <v>4547</v>
      </c>
      <c r="Q638" s="1414" t="s">
        <v>4547</v>
      </c>
    </row>
    <row r="639" spans="1:17">
      <c r="A639" s="1414">
        <v>637</v>
      </c>
      <c r="B639" s="1414" t="s">
        <v>3514</v>
      </c>
      <c r="C639" s="2807">
        <v>52.93</v>
      </c>
      <c r="I639" s="2807">
        <f t="shared" si="27"/>
        <v>638</v>
      </c>
      <c r="J639" s="2807" t="s">
        <v>4545</v>
      </c>
      <c r="K639" s="2807" t="s">
        <v>4504</v>
      </c>
      <c r="L639" s="2807" t="str">
        <f t="shared" si="28"/>
        <v>B4129</v>
      </c>
      <c r="M639" s="2807">
        <v>8</v>
      </c>
      <c r="N639" s="2807">
        <v>-4</v>
      </c>
      <c r="O639" s="2807">
        <f t="shared" si="29"/>
        <v>52.93</v>
      </c>
      <c r="P639" s="1414" t="s">
        <v>4547</v>
      </c>
      <c r="Q639" s="1414" t="s">
        <v>4547</v>
      </c>
    </row>
    <row r="640" spans="1:17">
      <c r="A640" s="1414">
        <v>638</v>
      </c>
      <c r="B640" s="1414" t="s">
        <v>3515</v>
      </c>
      <c r="C640" s="2807">
        <v>52.93</v>
      </c>
      <c r="I640" s="2807">
        <f t="shared" si="27"/>
        <v>639</v>
      </c>
      <c r="J640" s="2807" t="s">
        <v>4545</v>
      </c>
      <c r="K640" s="2807" t="s">
        <v>4504</v>
      </c>
      <c r="L640" s="2807" t="str">
        <f t="shared" si="28"/>
        <v>B4130</v>
      </c>
      <c r="M640" s="2807">
        <v>8</v>
      </c>
      <c r="N640" s="2807">
        <v>-4</v>
      </c>
      <c r="O640" s="2807">
        <f t="shared" si="29"/>
        <v>52.93</v>
      </c>
      <c r="P640" s="1414" t="s">
        <v>4547</v>
      </c>
      <c r="Q640" s="1414" t="s">
        <v>4547</v>
      </c>
    </row>
    <row r="641" spans="1:17">
      <c r="A641" s="1414">
        <v>639</v>
      </c>
      <c r="B641" s="1414" t="s">
        <v>3516</v>
      </c>
      <c r="C641" s="2807">
        <v>52.93</v>
      </c>
      <c r="I641" s="2807">
        <f t="shared" si="27"/>
        <v>640</v>
      </c>
      <c r="J641" s="2807" t="s">
        <v>4545</v>
      </c>
      <c r="K641" s="2807" t="s">
        <v>4504</v>
      </c>
      <c r="L641" s="2807" t="str">
        <f t="shared" si="28"/>
        <v>B4131</v>
      </c>
      <c r="M641" s="2807">
        <v>8</v>
      </c>
      <c r="N641" s="2807">
        <v>-4</v>
      </c>
      <c r="O641" s="2807">
        <f t="shared" si="29"/>
        <v>52.93</v>
      </c>
      <c r="P641" s="1414" t="s">
        <v>4547</v>
      </c>
      <c r="Q641" s="1414" t="s">
        <v>4547</v>
      </c>
    </row>
    <row r="642" spans="1:17">
      <c r="A642" s="1414">
        <v>640</v>
      </c>
      <c r="B642" s="1414" t="s">
        <v>3517</v>
      </c>
      <c r="C642" s="2807">
        <v>52.93</v>
      </c>
      <c r="I642" s="2807">
        <f t="shared" si="27"/>
        <v>641</v>
      </c>
      <c r="J642" s="2807" t="s">
        <v>4545</v>
      </c>
      <c r="K642" s="2807" t="s">
        <v>4504</v>
      </c>
      <c r="L642" s="2807" t="str">
        <f t="shared" si="28"/>
        <v>B4132</v>
      </c>
      <c r="M642" s="2807">
        <v>8</v>
      </c>
      <c r="N642" s="2807">
        <v>-4</v>
      </c>
      <c r="O642" s="2807">
        <f t="shared" si="29"/>
        <v>50.93</v>
      </c>
      <c r="P642" s="1414" t="s">
        <v>4547</v>
      </c>
      <c r="Q642" s="1414" t="s">
        <v>4547</v>
      </c>
    </row>
    <row r="643" spans="1:17">
      <c r="A643" s="1414">
        <v>641</v>
      </c>
      <c r="B643" s="1414" t="s">
        <v>3518</v>
      </c>
      <c r="C643" s="2807">
        <v>50.93</v>
      </c>
      <c r="I643" s="2807">
        <f t="shared" ref="I643:I706" si="30">A644</f>
        <v>642</v>
      </c>
      <c r="J643" s="2807" t="s">
        <v>4545</v>
      </c>
      <c r="K643" s="2807" t="s">
        <v>4504</v>
      </c>
      <c r="L643" s="2807" t="str">
        <f t="shared" ref="L643:L706" si="31">B644</f>
        <v>B4133</v>
      </c>
      <c r="M643" s="2807">
        <v>8</v>
      </c>
      <c r="N643" s="2807">
        <v>-4</v>
      </c>
      <c r="O643" s="2807">
        <f t="shared" ref="O643:O706" si="32">C644</f>
        <v>50.93</v>
      </c>
      <c r="P643" s="1414" t="s">
        <v>4547</v>
      </c>
      <c r="Q643" s="1414" t="s">
        <v>4547</v>
      </c>
    </row>
    <row r="644" spans="1:17">
      <c r="A644" s="1414">
        <v>642</v>
      </c>
      <c r="B644" s="1414" t="s">
        <v>3519</v>
      </c>
      <c r="C644" s="2807">
        <v>50.93</v>
      </c>
      <c r="I644" s="2807">
        <f t="shared" si="30"/>
        <v>643</v>
      </c>
      <c r="J644" s="2807" t="s">
        <v>4545</v>
      </c>
      <c r="K644" s="2807" t="s">
        <v>4504</v>
      </c>
      <c r="L644" s="2807" t="str">
        <f t="shared" si="31"/>
        <v>B4134</v>
      </c>
      <c r="M644" s="2807">
        <v>8</v>
      </c>
      <c r="N644" s="2807">
        <v>-4</v>
      </c>
      <c r="O644" s="2807">
        <f t="shared" si="32"/>
        <v>50.93</v>
      </c>
      <c r="P644" s="1414" t="s">
        <v>4547</v>
      </c>
      <c r="Q644" s="1414" t="s">
        <v>4547</v>
      </c>
    </row>
    <row r="645" spans="1:17">
      <c r="A645" s="1414">
        <v>643</v>
      </c>
      <c r="B645" s="1414" t="s">
        <v>3520</v>
      </c>
      <c r="C645" s="2807">
        <v>50.93</v>
      </c>
      <c r="I645" s="2807">
        <f t="shared" si="30"/>
        <v>644</v>
      </c>
      <c r="J645" s="2807" t="s">
        <v>4545</v>
      </c>
      <c r="K645" s="2807" t="s">
        <v>4504</v>
      </c>
      <c r="L645" s="2807" t="str">
        <f t="shared" si="31"/>
        <v>B4135</v>
      </c>
      <c r="M645" s="2807">
        <v>8</v>
      </c>
      <c r="N645" s="2807">
        <v>-4</v>
      </c>
      <c r="O645" s="2807">
        <f t="shared" si="32"/>
        <v>50.93</v>
      </c>
      <c r="P645" s="1414" t="s">
        <v>4547</v>
      </c>
      <c r="Q645" s="1414" t="s">
        <v>4547</v>
      </c>
    </row>
    <row r="646" spans="1:17">
      <c r="A646" s="1414">
        <v>644</v>
      </c>
      <c r="B646" s="1414" t="s">
        <v>3521</v>
      </c>
      <c r="C646" s="2807">
        <v>50.93</v>
      </c>
      <c r="I646" s="2807">
        <f t="shared" si="30"/>
        <v>645</v>
      </c>
      <c r="J646" s="2807" t="s">
        <v>4545</v>
      </c>
      <c r="K646" s="2807" t="s">
        <v>4504</v>
      </c>
      <c r="L646" s="2807" t="str">
        <f t="shared" si="31"/>
        <v>B4136</v>
      </c>
      <c r="M646" s="2807">
        <v>8</v>
      </c>
      <c r="N646" s="2807">
        <v>-4</v>
      </c>
      <c r="O646" s="2807">
        <f t="shared" si="32"/>
        <v>50.93</v>
      </c>
      <c r="P646" s="1414" t="s">
        <v>4547</v>
      </c>
      <c r="Q646" s="1414" t="s">
        <v>4547</v>
      </c>
    </row>
    <row r="647" spans="1:17">
      <c r="A647" s="1414">
        <v>645</v>
      </c>
      <c r="B647" s="1414" t="s">
        <v>3522</v>
      </c>
      <c r="C647" s="2807">
        <v>50.93</v>
      </c>
      <c r="I647" s="2807">
        <f t="shared" si="30"/>
        <v>646</v>
      </c>
      <c r="J647" s="2807" t="s">
        <v>4545</v>
      </c>
      <c r="K647" s="2807" t="s">
        <v>4504</v>
      </c>
      <c r="L647" s="2807" t="str">
        <f t="shared" si="31"/>
        <v>B4137</v>
      </c>
      <c r="M647" s="2807">
        <v>8</v>
      </c>
      <c r="N647" s="2807">
        <v>-4</v>
      </c>
      <c r="O647" s="2807">
        <f t="shared" si="32"/>
        <v>50.93</v>
      </c>
      <c r="P647" s="1414" t="s">
        <v>4547</v>
      </c>
      <c r="Q647" s="1414" t="s">
        <v>4547</v>
      </c>
    </row>
    <row r="648" spans="1:17">
      <c r="A648" s="1414">
        <v>646</v>
      </c>
      <c r="B648" s="1414" t="s">
        <v>3523</v>
      </c>
      <c r="C648" s="2807">
        <v>50.93</v>
      </c>
      <c r="I648" s="2807">
        <f t="shared" si="30"/>
        <v>647</v>
      </c>
      <c r="J648" s="2807" t="s">
        <v>4545</v>
      </c>
      <c r="K648" s="2807" t="s">
        <v>4504</v>
      </c>
      <c r="L648" s="2807" t="str">
        <f t="shared" si="31"/>
        <v>B4138</v>
      </c>
      <c r="M648" s="2807">
        <v>8</v>
      </c>
      <c r="N648" s="2807">
        <v>-4</v>
      </c>
      <c r="O648" s="2807">
        <f t="shared" si="32"/>
        <v>50.93</v>
      </c>
      <c r="P648" s="1414" t="s">
        <v>4547</v>
      </c>
      <c r="Q648" s="1414" t="s">
        <v>4547</v>
      </c>
    </row>
    <row r="649" spans="1:17">
      <c r="A649" s="1414">
        <v>647</v>
      </c>
      <c r="B649" s="1414" t="s">
        <v>3524</v>
      </c>
      <c r="C649" s="2807">
        <v>50.93</v>
      </c>
      <c r="I649" s="2807">
        <f t="shared" si="30"/>
        <v>648</v>
      </c>
      <c r="J649" s="2807" t="s">
        <v>4545</v>
      </c>
      <c r="K649" s="2807" t="s">
        <v>4504</v>
      </c>
      <c r="L649" s="2807" t="str">
        <f t="shared" si="31"/>
        <v>B4139</v>
      </c>
      <c r="M649" s="2807">
        <v>8</v>
      </c>
      <c r="N649" s="2807">
        <v>-4</v>
      </c>
      <c r="O649" s="2807">
        <f t="shared" si="32"/>
        <v>50.93</v>
      </c>
      <c r="P649" s="1414" t="s">
        <v>4547</v>
      </c>
      <c r="Q649" s="1414" t="s">
        <v>4547</v>
      </c>
    </row>
    <row r="650" spans="1:17">
      <c r="A650" s="1414">
        <v>648</v>
      </c>
      <c r="B650" s="1414" t="s">
        <v>3525</v>
      </c>
      <c r="C650" s="2807">
        <v>50.93</v>
      </c>
      <c r="I650" s="2807">
        <f t="shared" si="30"/>
        <v>649</v>
      </c>
      <c r="J650" s="2807" t="s">
        <v>4545</v>
      </c>
      <c r="K650" s="2807" t="s">
        <v>4504</v>
      </c>
      <c r="L650" s="2807" t="str">
        <f t="shared" si="31"/>
        <v>B4140</v>
      </c>
      <c r="M650" s="2807">
        <v>8</v>
      </c>
      <c r="N650" s="2807">
        <v>-4</v>
      </c>
      <c r="O650" s="2807">
        <f t="shared" si="32"/>
        <v>50.93</v>
      </c>
      <c r="P650" s="1414" t="s">
        <v>4547</v>
      </c>
      <c r="Q650" s="1414" t="s">
        <v>4547</v>
      </c>
    </row>
    <row r="651" spans="1:17">
      <c r="A651" s="1414">
        <v>649</v>
      </c>
      <c r="B651" s="1414" t="s">
        <v>3526</v>
      </c>
      <c r="C651" s="2807">
        <v>50.93</v>
      </c>
      <c r="I651" s="2807">
        <f t="shared" si="30"/>
        <v>650</v>
      </c>
      <c r="J651" s="2807" t="s">
        <v>4545</v>
      </c>
      <c r="K651" s="2807" t="s">
        <v>4504</v>
      </c>
      <c r="L651" s="2807" t="str">
        <f t="shared" si="31"/>
        <v>B4141</v>
      </c>
      <c r="M651" s="2807">
        <v>8</v>
      </c>
      <c r="N651" s="2807">
        <v>-4</v>
      </c>
      <c r="O651" s="2807">
        <f t="shared" si="32"/>
        <v>50.93</v>
      </c>
      <c r="P651" s="1414" t="s">
        <v>4547</v>
      </c>
      <c r="Q651" s="1414" t="s">
        <v>4547</v>
      </c>
    </row>
    <row r="652" spans="1:17">
      <c r="A652" s="1414">
        <v>650</v>
      </c>
      <c r="B652" s="1414" t="s">
        <v>3527</v>
      </c>
      <c r="C652" s="2807">
        <v>50.93</v>
      </c>
      <c r="I652" s="2807">
        <f t="shared" si="30"/>
        <v>651</v>
      </c>
      <c r="J652" s="2807" t="s">
        <v>4545</v>
      </c>
      <c r="K652" s="2807" t="s">
        <v>4504</v>
      </c>
      <c r="L652" s="2807" t="str">
        <f t="shared" si="31"/>
        <v>B4142</v>
      </c>
      <c r="M652" s="2807">
        <v>8</v>
      </c>
      <c r="N652" s="2807">
        <v>-4</v>
      </c>
      <c r="O652" s="2807">
        <f t="shared" si="32"/>
        <v>50.93</v>
      </c>
      <c r="P652" s="1414" t="s">
        <v>4547</v>
      </c>
      <c r="Q652" s="1414" t="s">
        <v>4547</v>
      </c>
    </row>
    <row r="653" spans="1:17">
      <c r="A653" s="1414">
        <v>651</v>
      </c>
      <c r="B653" s="1414" t="s">
        <v>3528</v>
      </c>
      <c r="C653" s="2807">
        <v>50.93</v>
      </c>
      <c r="I653" s="2807">
        <f t="shared" si="30"/>
        <v>652</v>
      </c>
      <c r="J653" s="2807" t="s">
        <v>4545</v>
      </c>
      <c r="K653" s="2807" t="s">
        <v>4504</v>
      </c>
      <c r="L653" s="2807" t="str">
        <f t="shared" si="31"/>
        <v>B4143</v>
      </c>
      <c r="M653" s="2807">
        <v>8</v>
      </c>
      <c r="N653" s="2807">
        <v>-4</v>
      </c>
      <c r="O653" s="2807">
        <f t="shared" si="32"/>
        <v>50.93</v>
      </c>
      <c r="P653" s="1414" t="s">
        <v>4547</v>
      </c>
      <c r="Q653" s="1414" t="s">
        <v>4547</v>
      </c>
    </row>
    <row r="654" spans="1:17">
      <c r="A654" s="1414">
        <v>652</v>
      </c>
      <c r="B654" s="1414" t="s">
        <v>3529</v>
      </c>
      <c r="C654" s="2807">
        <v>50.93</v>
      </c>
      <c r="I654" s="2807">
        <f t="shared" si="30"/>
        <v>653</v>
      </c>
      <c r="J654" s="2807" t="s">
        <v>4545</v>
      </c>
      <c r="K654" s="2807" t="s">
        <v>4504</v>
      </c>
      <c r="L654" s="2807" t="str">
        <f t="shared" si="31"/>
        <v>B4144</v>
      </c>
      <c r="M654" s="2807">
        <v>8</v>
      </c>
      <c r="N654" s="2807">
        <v>-4</v>
      </c>
      <c r="O654" s="2807">
        <f t="shared" si="32"/>
        <v>50.93</v>
      </c>
      <c r="P654" s="1414" t="s">
        <v>4547</v>
      </c>
      <c r="Q654" s="1414" t="s">
        <v>4547</v>
      </c>
    </row>
    <row r="655" spans="1:17">
      <c r="A655" s="1414">
        <v>653</v>
      </c>
      <c r="B655" s="1414" t="s">
        <v>3530</v>
      </c>
      <c r="C655" s="2807">
        <v>50.93</v>
      </c>
      <c r="I655" s="2807">
        <f t="shared" si="30"/>
        <v>654</v>
      </c>
      <c r="J655" s="2807" t="s">
        <v>4545</v>
      </c>
      <c r="K655" s="2807" t="s">
        <v>4504</v>
      </c>
      <c r="L655" s="2807" t="str">
        <f t="shared" si="31"/>
        <v>B4145</v>
      </c>
      <c r="M655" s="2807">
        <v>8</v>
      </c>
      <c r="N655" s="2807">
        <v>-4</v>
      </c>
      <c r="O655" s="2807">
        <f t="shared" si="32"/>
        <v>50.93</v>
      </c>
      <c r="P655" s="1414" t="s">
        <v>4547</v>
      </c>
      <c r="Q655" s="1414" t="s">
        <v>4547</v>
      </c>
    </row>
    <row r="656" spans="1:17">
      <c r="A656" s="1414">
        <v>654</v>
      </c>
      <c r="B656" s="1414" t="s">
        <v>3531</v>
      </c>
      <c r="C656" s="2807">
        <v>50.93</v>
      </c>
      <c r="I656" s="2807">
        <f t="shared" si="30"/>
        <v>655</v>
      </c>
      <c r="J656" s="2807" t="s">
        <v>4545</v>
      </c>
      <c r="K656" s="2807" t="s">
        <v>4504</v>
      </c>
      <c r="L656" s="2807" t="str">
        <f t="shared" si="31"/>
        <v>B4146</v>
      </c>
      <c r="M656" s="2807">
        <v>8</v>
      </c>
      <c r="N656" s="2807">
        <v>-4</v>
      </c>
      <c r="O656" s="2807">
        <f t="shared" si="32"/>
        <v>50.93</v>
      </c>
      <c r="P656" s="1414" t="s">
        <v>4547</v>
      </c>
      <c r="Q656" s="1414" t="s">
        <v>4547</v>
      </c>
    </row>
    <row r="657" spans="1:17">
      <c r="A657" s="1414">
        <v>655</v>
      </c>
      <c r="B657" s="1414" t="s">
        <v>3532</v>
      </c>
      <c r="C657" s="2807">
        <v>50.93</v>
      </c>
      <c r="I657" s="2807">
        <f t="shared" si="30"/>
        <v>656</v>
      </c>
      <c r="J657" s="2807" t="s">
        <v>4545</v>
      </c>
      <c r="K657" s="2807" t="s">
        <v>4504</v>
      </c>
      <c r="L657" s="2807" t="str">
        <f t="shared" si="31"/>
        <v>B4147</v>
      </c>
      <c r="M657" s="2807">
        <v>8</v>
      </c>
      <c r="N657" s="2807">
        <v>-4</v>
      </c>
      <c r="O657" s="2807">
        <f t="shared" si="32"/>
        <v>50.93</v>
      </c>
      <c r="P657" s="1414" t="s">
        <v>4547</v>
      </c>
      <c r="Q657" s="1414" t="s">
        <v>4547</v>
      </c>
    </row>
    <row r="658" spans="1:17">
      <c r="A658" s="1414">
        <v>656</v>
      </c>
      <c r="B658" s="1414" t="s">
        <v>3533</v>
      </c>
      <c r="C658" s="2807">
        <v>50.93</v>
      </c>
      <c r="I658" s="2807">
        <f t="shared" si="30"/>
        <v>657</v>
      </c>
      <c r="J658" s="2807" t="s">
        <v>4545</v>
      </c>
      <c r="K658" s="2807" t="s">
        <v>4504</v>
      </c>
      <c r="L658" s="2807" t="str">
        <f t="shared" si="31"/>
        <v>B4148</v>
      </c>
      <c r="M658" s="2807">
        <v>8</v>
      </c>
      <c r="N658" s="2807">
        <v>-4</v>
      </c>
      <c r="O658" s="2807">
        <f t="shared" si="32"/>
        <v>50.93</v>
      </c>
      <c r="P658" s="1414" t="s">
        <v>4547</v>
      </c>
      <c r="Q658" s="1414" t="s">
        <v>4547</v>
      </c>
    </row>
    <row r="659" spans="1:17">
      <c r="A659" s="1414">
        <v>657</v>
      </c>
      <c r="B659" s="1414" t="s">
        <v>3534</v>
      </c>
      <c r="C659" s="2807">
        <v>50.93</v>
      </c>
      <c r="I659" s="2807">
        <f t="shared" si="30"/>
        <v>658</v>
      </c>
      <c r="J659" s="2807" t="s">
        <v>4545</v>
      </c>
      <c r="K659" s="2807" t="s">
        <v>4504</v>
      </c>
      <c r="L659" s="2807" t="str">
        <f t="shared" si="31"/>
        <v>B4149</v>
      </c>
      <c r="M659" s="2807">
        <v>8</v>
      </c>
      <c r="N659" s="2807">
        <v>-4</v>
      </c>
      <c r="O659" s="2807">
        <f t="shared" si="32"/>
        <v>50.93</v>
      </c>
      <c r="P659" s="1414" t="s">
        <v>4547</v>
      </c>
      <c r="Q659" s="1414" t="s">
        <v>4547</v>
      </c>
    </row>
    <row r="660" spans="1:17">
      <c r="A660" s="1414">
        <v>658</v>
      </c>
      <c r="B660" s="1414" t="s">
        <v>3535</v>
      </c>
      <c r="C660" s="2807">
        <v>50.93</v>
      </c>
      <c r="I660" s="2807">
        <f t="shared" si="30"/>
        <v>659</v>
      </c>
      <c r="J660" s="2807" t="s">
        <v>4545</v>
      </c>
      <c r="K660" s="2807" t="s">
        <v>4504</v>
      </c>
      <c r="L660" s="2807" t="str">
        <f t="shared" si="31"/>
        <v>B4150</v>
      </c>
      <c r="M660" s="2807">
        <v>8</v>
      </c>
      <c r="N660" s="2807">
        <v>-4</v>
      </c>
      <c r="O660" s="2807">
        <f t="shared" si="32"/>
        <v>50.93</v>
      </c>
      <c r="P660" s="1414" t="s">
        <v>4547</v>
      </c>
      <c r="Q660" s="1414" t="s">
        <v>4547</v>
      </c>
    </row>
    <row r="661" spans="1:17">
      <c r="A661" s="1414">
        <v>659</v>
      </c>
      <c r="B661" s="1414" t="s">
        <v>3536</v>
      </c>
      <c r="C661" s="2807">
        <v>50.93</v>
      </c>
      <c r="I661" s="2807">
        <f t="shared" si="30"/>
        <v>660</v>
      </c>
      <c r="J661" s="2807" t="s">
        <v>4545</v>
      </c>
      <c r="K661" s="2807" t="s">
        <v>4504</v>
      </c>
      <c r="L661" s="2807" t="str">
        <f t="shared" si="31"/>
        <v>B4151</v>
      </c>
      <c r="M661" s="2807">
        <v>8</v>
      </c>
      <c r="N661" s="2807">
        <v>-4</v>
      </c>
      <c r="O661" s="2807">
        <f t="shared" si="32"/>
        <v>50.93</v>
      </c>
      <c r="P661" s="1414" t="s">
        <v>4547</v>
      </c>
      <c r="Q661" s="1414" t="s">
        <v>4547</v>
      </c>
    </row>
    <row r="662" spans="1:17">
      <c r="A662" s="1414">
        <v>660</v>
      </c>
      <c r="B662" s="1414" t="s">
        <v>3537</v>
      </c>
      <c r="C662" s="2807">
        <v>50.93</v>
      </c>
      <c r="I662" s="2807">
        <f t="shared" si="30"/>
        <v>661</v>
      </c>
      <c r="J662" s="2807" t="s">
        <v>4545</v>
      </c>
      <c r="K662" s="2807" t="s">
        <v>4504</v>
      </c>
      <c r="L662" s="2807" t="str">
        <f t="shared" si="31"/>
        <v>B4152</v>
      </c>
      <c r="M662" s="2807">
        <v>8</v>
      </c>
      <c r="N662" s="2807">
        <v>-4</v>
      </c>
      <c r="O662" s="2807">
        <f t="shared" si="32"/>
        <v>50.93</v>
      </c>
      <c r="P662" s="1414" t="s">
        <v>4547</v>
      </c>
      <c r="Q662" s="1414" t="s">
        <v>4547</v>
      </c>
    </row>
    <row r="663" spans="1:17">
      <c r="A663" s="1414">
        <v>661</v>
      </c>
      <c r="B663" s="1414" t="s">
        <v>3538</v>
      </c>
      <c r="C663" s="2807">
        <v>50.93</v>
      </c>
      <c r="I663" s="2807">
        <f t="shared" si="30"/>
        <v>662</v>
      </c>
      <c r="J663" s="2807" t="s">
        <v>4545</v>
      </c>
      <c r="K663" s="2807" t="s">
        <v>4504</v>
      </c>
      <c r="L663" s="2807" t="str">
        <f t="shared" si="31"/>
        <v>B4153</v>
      </c>
      <c r="M663" s="2807">
        <v>8</v>
      </c>
      <c r="N663" s="2807">
        <v>-4</v>
      </c>
      <c r="O663" s="2807">
        <f t="shared" si="32"/>
        <v>50.93</v>
      </c>
      <c r="P663" s="1414" t="s">
        <v>4547</v>
      </c>
      <c r="Q663" s="1414" t="s">
        <v>4547</v>
      </c>
    </row>
    <row r="664" spans="1:17">
      <c r="A664" s="1414">
        <v>662</v>
      </c>
      <c r="B664" s="1414" t="s">
        <v>3539</v>
      </c>
      <c r="C664" s="2807">
        <v>50.93</v>
      </c>
      <c r="I664" s="2807">
        <f t="shared" si="30"/>
        <v>663</v>
      </c>
      <c r="J664" s="2807" t="s">
        <v>4545</v>
      </c>
      <c r="K664" s="2807" t="s">
        <v>4504</v>
      </c>
      <c r="L664" s="2807" t="str">
        <f t="shared" si="31"/>
        <v>B4154</v>
      </c>
      <c r="M664" s="2807">
        <v>8</v>
      </c>
      <c r="N664" s="2807">
        <v>-4</v>
      </c>
      <c r="O664" s="2807">
        <f t="shared" si="32"/>
        <v>50.93</v>
      </c>
      <c r="P664" s="1414" t="s">
        <v>4547</v>
      </c>
      <c r="Q664" s="1414" t="s">
        <v>4547</v>
      </c>
    </row>
    <row r="665" spans="1:17">
      <c r="A665" s="1414">
        <v>663</v>
      </c>
      <c r="B665" s="1414" t="s">
        <v>3540</v>
      </c>
      <c r="C665" s="2807">
        <v>50.93</v>
      </c>
      <c r="I665" s="2807">
        <f t="shared" si="30"/>
        <v>664</v>
      </c>
      <c r="J665" s="2807" t="s">
        <v>4545</v>
      </c>
      <c r="K665" s="2807" t="s">
        <v>4504</v>
      </c>
      <c r="L665" s="2807" t="str">
        <f t="shared" si="31"/>
        <v>B4155</v>
      </c>
      <c r="M665" s="2807">
        <v>8</v>
      </c>
      <c r="N665" s="2807">
        <v>-4</v>
      </c>
      <c r="O665" s="2807">
        <f t="shared" si="32"/>
        <v>50.93</v>
      </c>
      <c r="P665" s="1414" t="s">
        <v>4547</v>
      </c>
      <c r="Q665" s="1414" t="s">
        <v>4547</v>
      </c>
    </row>
    <row r="666" spans="1:17">
      <c r="A666" s="1414">
        <v>664</v>
      </c>
      <c r="B666" s="1414" t="s">
        <v>3541</v>
      </c>
      <c r="C666" s="2807">
        <v>50.93</v>
      </c>
      <c r="I666" s="2807">
        <f t="shared" si="30"/>
        <v>665</v>
      </c>
      <c r="J666" s="2807" t="s">
        <v>4545</v>
      </c>
      <c r="K666" s="2807" t="s">
        <v>4504</v>
      </c>
      <c r="L666" s="2807" t="str">
        <f t="shared" si="31"/>
        <v>B4156</v>
      </c>
      <c r="M666" s="2807">
        <v>8</v>
      </c>
      <c r="N666" s="2807">
        <v>-4</v>
      </c>
      <c r="O666" s="2807">
        <f t="shared" si="32"/>
        <v>59.92</v>
      </c>
      <c r="P666" s="1414" t="s">
        <v>4547</v>
      </c>
      <c r="Q666" s="1414" t="s">
        <v>4547</v>
      </c>
    </row>
    <row r="667" spans="1:17">
      <c r="A667" s="1414">
        <v>665</v>
      </c>
      <c r="B667" s="1414" t="s">
        <v>3542</v>
      </c>
      <c r="C667" s="2807">
        <v>59.92</v>
      </c>
      <c r="I667" s="2807">
        <f t="shared" si="30"/>
        <v>666</v>
      </c>
      <c r="J667" s="2807" t="s">
        <v>4545</v>
      </c>
      <c r="K667" s="2807" t="s">
        <v>4504</v>
      </c>
      <c r="L667" s="2807" t="str">
        <f t="shared" si="31"/>
        <v>B4157</v>
      </c>
      <c r="M667" s="2807">
        <v>8</v>
      </c>
      <c r="N667" s="2807">
        <v>-4</v>
      </c>
      <c r="O667" s="2807">
        <f t="shared" si="32"/>
        <v>50.93</v>
      </c>
      <c r="P667" s="1414" t="s">
        <v>4547</v>
      </c>
      <c r="Q667" s="1414" t="s">
        <v>4547</v>
      </c>
    </row>
    <row r="668" spans="1:17">
      <c r="A668" s="1414">
        <v>666</v>
      </c>
      <c r="B668" s="1414" t="s">
        <v>3543</v>
      </c>
      <c r="C668" s="2807">
        <v>50.93</v>
      </c>
      <c r="I668" s="2807">
        <f t="shared" si="30"/>
        <v>667</v>
      </c>
      <c r="J668" s="2807" t="s">
        <v>4545</v>
      </c>
      <c r="K668" s="2807" t="s">
        <v>4504</v>
      </c>
      <c r="L668" s="2807" t="str">
        <f t="shared" si="31"/>
        <v>B4158</v>
      </c>
      <c r="M668" s="2807">
        <v>8</v>
      </c>
      <c r="N668" s="2807">
        <v>-4</v>
      </c>
      <c r="O668" s="2807">
        <f t="shared" si="32"/>
        <v>50.93</v>
      </c>
      <c r="P668" s="1414" t="s">
        <v>4547</v>
      </c>
      <c r="Q668" s="1414" t="s">
        <v>4547</v>
      </c>
    </row>
    <row r="669" spans="1:17">
      <c r="A669" s="1414">
        <v>667</v>
      </c>
      <c r="B669" s="1414" t="s">
        <v>3544</v>
      </c>
      <c r="C669" s="2807">
        <v>50.93</v>
      </c>
      <c r="I669" s="2807">
        <f t="shared" si="30"/>
        <v>668</v>
      </c>
      <c r="J669" s="2807" t="s">
        <v>4545</v>
      </c>
      <c r="K669" s="2807" t="s">
        <v>4504</v>
      </c>
      <c r="L669" s="2807" t="str">
        <f t="shared" si="31"/>
        <v>B4159</v>
      </c>
      <c r="M669" s="2807">
        <v>8</v>
      </c>
      <c r="N669" s="2807">
        <v>-4</v>
      </c>
      <c r="O669" s="2807">
        <f t="shared" si="32"/>
        <v>50.93</v>
      </c>
      <c r="P669" s="1414" t="s">
        <v>4547</v>
      </c>
      <c r="Q669" s="1414" t="s">
        <v>4547</v>
      </c>
    </row>
    <row r="670" spans="1:17">
      <c r="A670" s="1414">
        <v>668</v>
      </c>
      <c r="B670" s="1414" t="s">
        <v>3545</v>
      </c>
      <c r="C670" s="2807">
        <v>50.93</v>
      </c>
      <c r="I670" s="2807">
        <f t="shared" si="30"/>
        <v>669</v>
      </c>
      <c r="J670" s="2807" t="s">
        <v>4545</v>
      </c>
      <c r="K670" s="2807" t="s">
        <v>4504</v>
      </c>
      <c r="L670" s="2807" t="str">
        <f t="shared" si="31"/>
        <v>B4160</v>
      </c>
      <c r="M670" s="2807">
        <v>8</v>
      </c>
      <c r="N670" s="2807">
        <v>-4</v>
      </c>
      <c r="O670" s="2807">
        <f t="shared" si="32"/>
        <v>50.93</v>
      </c>
      <c r="P670" s="1414" t="s">
        <v>4547</v>
      </c>
      <c r="Q670" s="1414" t="s">
        <v>4547</v>
      </c>
    </row>
    <row r="671" spans="1:17">
      <c r="A671" s="1414">
        <v>669</v>
      </c>
      <c r="B671" s="1414" t="s">
        <v>3546</v>
      </c>
      <c r="C671" s="2807">
        <v>50.93</v>
      </c>
      <c r="I671" s="2807">
        <f t="shared" si="30"/>
        <v>670</v>
      </c>
      <c r="J671" s="2807" t="s">
        <v>4545</v>
      </c>
      <c r="K671" s="2807" t="s">
        <v>4504</v>
      </c>
      <c r="L671" s="2807" t="str">
        <f t="shared" si="31"/>
        <v>B4161</v>
      </c>
      <c r="M671" s="2807">
        <v>8</v>
      </c>
      <c r="N671" s="2807">
        <v>-4</v>
      </c>
      <c r="O671" s="2807">
        <f t="shared" si="32"/>
        <v>50.93</v>
      </c>
      <c r="P671" s="1414" t="s">
        <v>4547</v>
      </c>
      <c r="Q671" s="1414" t="s">
        <v>4547</v>
      </c>
    </row>
    <row r="672" spans="1:17">
      <c r="A672" s="1414">
        <v>670</v>
      </c>
      <c r="B672" s="1414" t="s">
        <v>3547</v>
      </c>
      <c r="C672" s="2807">
        <v>50.93</v>
      </c>
      <c r="I672" s="2807">
        <f t="shared" si="30"/>
        <v>671</v>
      </c>
      <c r="J672" s="2807" t="s">
        <v>4545</v>
      </c>
      <c r="K672" s="2807" t="s">
        <v>4504</v>
      </c>
      <c r="L672" s="2807" t="str">
        <f t="shared" si="31"/>
        <v>B4162</v>
      </c>
      <c r="M672" s="2807">
        <v>8</v>
      </c>
      <c r="N672" s="2807">
        <v>-4</v>
      </c>
      <c r="O672" s="2807">
        <f t="shared" si="32"/>
        <v>50.93</v>
      </c>
      <c r="P672" s="1414" t="s">
        <v>4547</v>
      </c>
      <c r="Q672" s="1414" t="s">
        <v>4547</v>
      </c>
    </row>
    <row r="673" spans="1:17">
      <c r="A673" s="1414">
        <v>671</v>
      </c>
      <c r="B673" s="1414" t="s">
        <v>3548</v>
      </c>
      <c r="C673" s="2807">
        <v>50.93</v>
      </c>
      <c r="I673" s="2807">
        <f t="shared" si="30"/>
        <v>672</v>
      </c>
      <c r="J673" s="2807" t="s">
        <v>4545</v>
      </c>
      <c r="K673" s="2807" t="s">
        <v>4504</v>
      </c>
      <c r="L673" s="2807" t="str">
        <f t="shared" si="31"/>
        <v>B4163</v>
      </c>
      <c r="M673" s="2807">
        <v>8</v>
      </c>
      <c r="N673" s="2807">
        <v>-4</v>
      </c>
      <c r="O673" s="2807">
        <f t="shared" si="32"/>
        <v>52.93</v>
      </c>
      <c r="P673" s="1414" t="s">
        <v>4547</v>
      </c>
      <c r="Q673" s="1414" t="s">
        <v>4547</v>
      </c>
    </row>
    <row r="674" spans="1:17">
      <c r="A674" s="1414">
        <v>672</v>
      </c>
      <c r="B674" s="1414" t="s">
        <v>3549</v>
      </c>
      <c r="C674" s="2807">
        <v>52.93</v>
      </c>
      <c r="I674" s="2807">
        <f t="shared" si="30"/>
        <v>673</v>
      </c>
      <c r="J674" s="2807" t="s">
        <v>4545</v>
      </c>
      <c r="K674" s="2807" t="s">
        <v>4504</v>
      </c>
      <c r="L674" s="2807" t="str">
        <f t="shared" si="31"/>
        <v>B4164</v>
      </c>
      <c r="M674" s="2807">
        <v>8</v>
      </c>
      <c r="N674" s="2807">
        <v>-4</v>
      </c>
      <c r="O674" s="2807">
        <f t="shared" si="32"/>
        <v>52.93</v>
      </c>
      <c r="P674" s="1414" t="s">
        <v>4547</v>
      </c>
      <c r="Q674" s="1414" t="s">
        <v>4547</v>
      </c>
    </row>
    <row r="675" spans="1:17">
      <c r="A675" s="1414">
        <v>673</v>
      </c>
      <c r="B675" s="1414" t="s">
        <v>3550</v>
      </c>
      <c r="C675" s="2807">
        <v>52.93</v>
      </c>
      <c r="I675" s="2807">
        <f t="shared" si="30"/>
        <v>674</v>
      </c>
      <c r="J675" s="2807" t="s">
        <v>4545</v>
      </c>
      <c r="K675" s="2807" t="s">
        <v>4504</v>
      </c>
      <c r="L675" s="2807" t="str">
        <f t="shared" si="31"/>
        <v>B4165</v>
      </c>
      <c r="M675" s="2807">
        <v>8</v>
      </c>
      <c r="N675" s="2807">
        <v>-4</v>
      </c>
      <c r="O675" s="2807">
        <f t="shared" si="32"/>
        <v>52.93</v>
      </c>
      <c r="P675" s="1414" t="s">
        <v>4547</v>
      </c>
      <c r="Q675" s="1414" t="s">
        <v>4547</v>
      </c>
    </row>
    <row r="676" spans="1:17">
      <c r="A676" s="1414">
        <v>674</v>
      </c>
      <c r="B676" s="1414" t="s">
        <v>3551</v>
      </c>
      <c r="C676" s="2807">
        <v>52.93</v>
      </c>
      <c r="I676" s="2807">
        <f t="shared" si="30"/>
        <v>675</v>
      </c>
      <c r="J676" s="2807" t="s">
        <v>4545</v>
      </c>
      <c r="K676" s="2807" t="s">
        <v>4504</v>
      </c>
      <c r="L676" s="2807" t="str">
        <f t="shared" si="31"/>
        <v>B4166</v>
      </c>
      <c r="M676" s="2807">
        <v>8</v>
      </c>
      <c r="N676" s="2807">
        <v>-4</v>
      </c>
      <c r="O676" s="2807">
        <f t="shared" si="32"/>
        <v>52.93</v>
      </c>
      <c r="P676" s="1414" t="s">
        <v>4547</v>
      </c>
      <c r="Q676" s="1414" t="s">
        <v>4547</v>
      </c>
    </row>
    <row r="677" spans="1:17">
      <c r="A677" s="1414">
        <v>675</v>
      </c>
      <c r="B677" s="1414" t="s">
        <v>3552</v>
      </c>
      <c r="C677" s="2807">
        <v>52.93</v>
      </c>
      <c r="I677" s="2807">
        <f t="shared" si="30"/>
        <v>676</v>
      </c>
      <c r="J677" s="2807" t="s">
        <v>4545</v>
      </c>
      <c r="K677" s="2807" t="s">
        <v>4504</v>
      </c>
      <c r="L677" s="2807" t="str">
        <f t="shared" si="31"/>
        <v>B4167</v>
      </c>
      <c r="M677" s="2807">
        <v>8</v>
      </c>
      <c r="N677" s="2807">
        <v>-4</v>
      </c>
      <c r="O677" s="2807">
        <f t="shared" si="32"/>
        <v>52.93</v>
      </c>
      <c r="P677" s="1414" t="s">
        <v>4547</v>
      </c>
      <c r="Q677" s="1414" t="s">
        <v>4547</v>
      </c>
    </row>
    <row r="678" spans="1:17">
      <c r="A678" s="1414">
        <v>676</v>
      </c>
      <c r="B678" s="1414" t="s">
        <v>3553</v>
      </c>
      <c r="C678" s="2807">
        <v>52.93</v>
      </c>
      <c r="I678" s="2807">
        <f t="shared" si="30"/>
        <v>677</v>
      </c>
      <c r="J678" s="2807" t="s">
        <v>4545</v>
      </c>
      <c r="K678" s="2807" t="s">
        <v>4504</v>
      </c>
      <c r="L678" s="2807" t="str">
        <f t="shared" si="31"/>
        <v>B4168</v>
      </c>
      <c r="M678" s="2807">
        <v>8</v>
      </c>
      <c r="N678" s="2807">
        <v>-4</v>
      </c>
      <c r="O678" s="2807">
        <f t="shared" si="32"/>
        <v>52.93</v>
      </c>
      <c r="P678" s="1414" t="s">
        <v>4547</v>
      </c>
      <c r="Q678" s="1414" t="s">
        <v>4547</v>
      </c>
    </row>
    <row r="679" spans="1:17">
      <c r="A679" s="1414">
        <v>677</v>
      </c>
      <c r="B679" s="1414" t="s">
        <v>3554</v>
      </c>
      <c r="C679" s="2807">
        <v>52.93</v>
      </c>
      <c r="I679" s="2807">
        <f t="shared" si="30"/>
        <v>678</v>
      </c>
      <c r="J679" s="2807" t="s">
        <v>4545</v>
      </c>
      <c r="K679" s="2807" t="s">
        <v>4504</v>
      </c>
      <c r="L679" s="2807" t="str">
        <f t="shared" si="31"/>
        <v>B4169</v>
      </c>
      <c r="M679" s="2807">
        <v>8</v>
      </c>
      <c r="N679" s="2807">
        <v>-4</v>
      </c>
      <c r="O679" s="2807">
        <f t="shared" si="32"/>
        <v>52.93</v>
      </c>
      <c r="P679" s="1414" t="s">
        <v>4547</v>
      </c>
      <c r="Q679" s="1414" t="s">
        <v>4547</v>
      </c>
    </row>
    <row r="680" spans="1:17">
      <c r="A680" s="1414">
        <v>678</v>
      </c>
      <c r="B680" s="1414" t="s">
        <v>3555</v>
      </c>
      <c r="C680" s="2807">
        <v>52.93</v>
      </c>
      <c r="I680" s="2807">
        <f t="shared" si="30"/>
        <v>679</v>
      </c>
      <c r="J680" s="2807" t="s">
        <v>4545</v>
      </c>
      <c r="K680" s="2807" t="s">
        <v>4504</v>
      </c>
      <c r="L680" s="2807" t="str">
        <f t="shared" si="31"/>
        <v>B4170</v>
      </c>
      <c r="M680" s="2807">
        <v>8</v>
      </c>
      <c r="N680" s="2807">
        <v>-4</v>
      </c>
      <c r="O680" s="2807">
        <f t="shared" si="32"/>
        <v>52.93</v>
      </c>
      <c r="P680" s="1414" t="s">
        <v>4547</v>
      </c>
      <c r="Q680" s="1414" t="s">
        <v>4547</v>
      </c>
    </row>
    <row r="681" spans="1:17">
      <c r="A681" s="1414">
        <v>679</v>
      </c>
      <c r="B681" s="1414" t="s">
        <v>3556</v>
      </c>
      <c r="C681" s="2807">
        <v>52.93</v>
      </c>
      <c r="I681" s="2807">
        <f t="shared" si="30"/>
        <v>680</v>
      </c>
      <c r="J681" s="2807" t="s">
        <v>4545</v>
      </c>
      <c r="K681" s="2807" t="s">
        <v>4504</v>
      </c>
      <c r="L681" s="2807" t="str">
        <f t="shared" si="31"/>
        <v>B4171</v>
      </c>
      <c r="M681" s="2807">
        <v>8</v>
      </c>
      <c r="N681" s="2807">
        <v>-4</v>
      </c>
      <c r="O681" s="2807">
        <f t="shared" si="32"/>
        <v>52.93</v>
      </c>
      <c r="P681" s="1414" t="s">
        <v>4547</v>
      </c>
      <c r="Q681" s="1414" t="s">
        <v>4547</v>
      </c>
    </row>
    <row r="682" spans="1:17">
      <c r="A682" s="1414">
        <v>680</v>
      </c>
      <c r="B682" s="1414" t="s">
        <v>3557</v>
      </c>
      <c r="C682" s="2807">
        <v>52.93</v>
      </c>
      <c r="I682" s="2807">
        <f t="shared" si="30"/>
        <v>681</v>
      </c>
      <c r="J682" s="2807" t="s">
        <v>4545</v>
      </c>
      <c r="K682" s="2807" t="s">
        <v>4504</v>
      </c>
      <c r="L682" s="2807" t="str">
        <f t="shared" si="31"/>
        <v>B4172</v>
      </c>
      <c r="M682" s="2807">
        <v>8</v>
      </c>
      <c r="N682" s="2807">
        <v>-4</v>
      </c>
      <c r="O682" s="2807">
        <f t="shared" si="32"/>
        <v>52.93</v>
      </c>
      <c r="P682" s="1414" t="s">
        <v>4547</v>
      </c>
      <c r="Q682" s="1414" t="s">
        <v>4547</v>
      </c>
    </row>
    <row r="683" spans="1:17">
      <c r="A683" s="1414">
        <v>681</v>
      </c>
      <c r="B683" s="1414" t="s">
        <v>3558</v>
      </c>
      <c r="C683" s="2807">
        <v>52.93</v>
      </c>
      <c r="I683" s="2807">
        <f t="shared" si="30"/>
        <v>682</v>
      </c>
      <c r="J683" s="2807" t="s">
        <v>4545</v>
      </c>
      <c r="K683" s="2807" t="s">
        <v>4504</v>
      </c>
      <c r="L683" s="2807" t="str">
        <f t="shared" si="31"/>
        <v>B4173</v>
      </c>
      <c r="M683" s="2807">
        <v>8</v>
      </c>
      <c r="N683" s="2807">
        <v>-4</v>
      </c>
      <c r="O683" s="2807">
        <f t="shared" si="32"/>
        <v>52.93</v>
      </c>
      <c r="P683" s="1414" t="s">
        <v>4547</v>
      </c>
      <c r="Q683" s="1414" t="s">
        <v>4547</v>
      </c>
    </row>
    <row r="684" spans="1:17">
      <c r="A684" s="1414">
        <v>682</v>
      </c>
      <c r="B684" s="1414" t="s">
        <v>3559</v>
      </c>
      <c r="C684" s="2807">
        <v>52.93</v>
      </c>
      <c r="I684" s="2807">
        <f t="shared" si="30"/>
        <v>683</v>
      </c>
      <c r="J684" s="2807" t="s">
        <v>4545</v>
      </c>
      <c r="K684" s="2807" t="s">
        <v>4504</v>
      </c>
      <c r="L684" s="2807" t="str">
        <f t="shared" si="31"/>
        <v>B4174</v>
      </c>
      <c r="M684" s="2807">
        <v>8</v>
      </c>
      <c r="N684" s="2807">
        <v>-4</v>
      </c>
      <c r="O684" s="2807">
        <f t="shared" si="32"/>
        <v>52.93</v>
      </c>
      <c r="P684" s="1414" t="s">
        <v>4547</v>
      </c>
      <c r="Q684" s="1414" t="s">
        <v>4547</v>
      </c>
    </row>
    <row r="685" spans="1:17">
      <c r="A685" s="1414">
        <v>683</v>
      </c>
      <c r="B685" s="1414" t="s">
        <v>3560</v>
      </c>
      <c r="C685" s="2807">
        <v>52.93</v>
      </c>
      <c r="I685" s="2807">
        <f t="shared" si="30"/>
        <v>684</v>
      </c>
      <c r="J685" s="2807" t="s">
        <v>4545</v>
      </c>
      <c r="K685" s="2807" t="s">
        <v>4504</v>
      </c>
      <c r="L685" s="2807" t="str">
        <f t="shared" si="31"/>
        <v>B4175</v>
      </c>
      <c r="M685" s="2807">
        <v>8</v>
      </c>
      <c r="N685" s="2807">
        <v>-4</v>
      </c>
      <c r="O685" s="2807">
        <f t="shared" si="32"/>
        <v>52.93</v>
      </c>
      <c r="P685" s="1414" t="s">
        <v>4547</v>
      </c>
      <c r="Q685" s="1414" t="s">
        <v>4547</v>
      </c>
    </row>
    <row r="686" spans="1:17">
      <c r="A686" s="1414">
        <v>684</v>
      </c>
      <c r="B686" s="1414" t="s">
        <v>3561</v>
      </c>
      <c r="C686" s="2807">
        <v>52.93</v>
      </c>
      <c r="I686" s="2807">
        <f t="shared" si="30"/>
        <v>685</v>
      </c>
      <c r="J686" s="2807" t="s">
        <v>4545</v>
      </c>
      <c r="K686" s="2807" t="s">
        <v>4504</v>
      </c>
      <c r="L686" s="2807" t="str">
        <f t="shared" si="31"/>
        <v>B4176</v>
      </c>
      <c r="M686" s="2807">
        <v>8</v>
      </c>
      <c r="N686" s="2807">
        <v>-4</v>
      </c>
      <c r="O686" s="2807">
        <f t="shared" si="32"/>
        <v>52.93</v>
      </c>
      <c r="P686" s="1414" t="s">
        <v>4547</v>
      </c>
      <c r="Q686" s="1414" t="s">
        <v>4547</v>
      </c>
    </row>
    <row r="687" spans="1:17">
      <c r="A687" s="1414">
        <v>685</v>
      </c>
      <c r="B687" s="1414" t="s">
        <v>3562</v>
      </c>
      <c r="C687" s="2807">
        <v>52.93</v>
      </c>
      <c r="I687" s="2807">
        <f t="shared" si="30"/>
        <v>686</v>
      </c>
      <c r="J687" s="2807" t="s">
        <v>4545</v>
      </c>
      <c r="K687" s="2807" t="s">
        <v>4504</v>
      </c>
      <c r="L687" s="2807" t="str">
        <f t="shared" si="31"/>
        <v>B4177</v>
      </c>
      <c r="M687" s="2807">
        <v>8</v>
      </c>
      <c r="N687" s="2807">
        <v>-4</v>
      </c>
      <c r="O687" s="2807">
        <f t="shared" si="32"/>
        <v>52.93</v>
      </c>
      <c r="P687" s="1414" t="s">
        <v>4547</v>
      </c>
      <c r="Q687" s="1414" t="s">
        <v>4547</v>
      </c>
    </row>
    <row r="688" spans="1:17">
      <c r="A688" s="1414">
        <v>686</v>
      </c>
      <c r="B688" s="1414" t="s">
        <v>3563</v>
      </c>
      <c r="C688" s="2807">
        <v>52.93</v>
      </c>
      <c r="I688" s="2807">
        <f t="shared" si="30"/>
        <v>687</v>
      </c>
      <c r="J688" s="2807" t="s">
        <v>4545</v>
      </c>
      <c r="K688" s="2807" t="s">
        <v>4504</v>
      </c>
      <c r="L688" s="2807" t="str">
        <f t="shared" si="31"/>
        <v>B4178</v>
      </c>
      <c r="M688" s="2807">
        <v>8</v>
      </c>
      <c r="N688" s="2807">
        <v>-4</v>
      </c>
      <c r="O688" s="2807">
        <f t="shared" si="32"/>
        <v>59.92</v>
      </c>
      <c r="P688" s="1414" t="s">
        <v>4547</v>
      </c>
      <c r="Q688" s="1414" t="s">
        <v>4547</v>
      </c>
    </row>
    <row r="689" spans="1:17">
      <c r="A689" s="1414">
        <v>687</v>
      </c>
      <c r="B689" s="1414" t="s">
        <v>3564</v>
      </c>
      <c r="C689" s="2807">
        <v>59.92</v>
      </c>
      <c r="I689" s="2807">
        <f t="shared" si="30"/>
        <v>688</v>
      </c>
      <c r="J689" s="2807" t="s">
        <v>4545</v>
      </c>
      <c r="K689" s="2807" t="s">
        <v>4504</v>
      </c>
      <c r="L689" s="2807" t="str">
        <f t="shared" si="31"/>
        <v>B4179</v>
      </c>
      <c r="M689" s="2807">
        <v>8</v>
      </c>
      <c r="N689" s="2807">
        <v>-4</v>
      </c>
      <c r="O689" s="2807">
        <f t="shared" si="32"/>
        <v>50.93</v>
      </c>
      <c r="P689" s="1414" t="s">
        <v>4547</v>
      </c>
      <c r="Q689" s="1414" t="s">
        <v>4547</v>
      </c>
    </row>
    <row r="690" spans="1:17">
      <c r="A690" s="1414">
        <v>688</v>
      </c>
      <c r="B690" s="1414" t="s">
        <v>3565</v>
      </c>
      <c r="C690" s="2807">
        <v>50.93</v>
      </c>
      <c r="I690" s="2807">
        <f t="shared" si="30"/>
        <v>689</v>
      </c>
      <c r="J690" s="2807" t="s">
        <v>4545</v>
      </c>
      <c r="K690" s="2807" t="s">
        <v>4504</v>
      </c>
      <c r="L690" s="2807" t="str">
        <f t="shared" si="31"/>
        <v>B4180</v>
      </c>
      <c r="M690" s="2807">
        <v>8</v>
      </c>
      <c r="N690" s="2807">
        <v>-4</v>
      </c>
      <c r="O690" s="2807">
        <f t="shared" si="32"/>
        <v>50.93</v>
      </c>
      <c r="P690" s="1414" t="s">
        <v>4547</v>
      </c>
      <c r="Q690" s="1414" t="s">
        <v>4547</v>
      </c>
    </row>
    <row r="691" spans="1:17">
      <c r="A691" s="1414">
        <v>689</v>
      </c>
      <c r="B691" s="1414" t="s">
        <v>3566</v>
      </c>
      <c r="C691" s="2807">
        <v>50.93</v>
      </c>
      <c r="I691" s="2807">
        <f t="shared" si="30"/>
        <v>690</v>
      </c>
      <c r="J691" s="2807" t="s">
        <v>4545</v>
      </c>
      <c r="K691" s="2807" t="s">
        <v>4504</v>
      </c>
      <c r="L691" s="2807" t="str">
        <f t="shared" si="31"/>
        <v>B4181</v>
      </c>
      <c r="M691" s="2807">
        <v>8</v>
      </c>
      <c r="N691" s="2807">
        <v>-4</v>
      </c>
      <c r="O691" s="2807">
        <f t="shared" si="32"/>
        <v>50.93</v>
      </c>
      <c r="P691" s="1414" t="s">
        <v>4547</v>
      </c>
      <c r="Q691" s="1414" t="s">
        <v>4547</v>
      </c>
    </row>
    <row r="692" spans="1:17">
      <c r="A692" s="1414">
        <v>690</v>
      </c>
      <c r="B692" s="1414" t="s">
        <v>3567</v>
      </c>
      <c r="C692" s="2807">
        <v>50.93</v>
      </c>
      <c r="I692" s="2807">
        <f t="shared" si="30"/>
        <v>691</v>
      </c>
      <c r="J692" s="2807" t="s">
        <v>4545</v>
      </c>
      <c r="K692" s="2807" t="s">
        <v>4504</v>
      </c>
      <c r="L692" s="2807" t="str">
        <f t="shared" si="31"/>
        <v>B4182</v>
      </c>
      <c r="M692" s="2807">
        <v>8</v>
      </c>
      <c r="N692" s="2807">
        <v>-4</v>
      </c>
      <c r="O692" s="2807">
        <f t="shared" si="32"/>
        <v>50.93</v>
      </c>
      <c r="P692" s="1414" t="s">
        <v>4547</v>
      </c>
      <c r="Q692" s="1414" t="s">
        <v>4547</v>
      </c>
    </row>
    <row r="693" spans="1:17">
      <c r="A693" s="1414">
        <v>691</v>
      </c>
      <c r="B693" s="1414" t="s">
        <v>3568</v>
      </c>
      <c r="C693" s="2807">
        <v>50.93</v>
      </c>
      <c r="I693" s="2807">
        <f t="shared" si="30"/>
        <v>692</v>
      </c>
      <c r="J693" s="2807" t="s">
        <v>4545</v>
      </c>
      <c r="K693" s="2807" t="s">
        <v>4504</v>
      </c>
      <c r="L693" s="2807" t="str">
        <f t="shared" si="31"/>
        <v>B4183</v>
      </c>
      <c r="M693" s="2807">
        <v>8</v>
      </c>
      <c r="N693" s="2807">
        <v>-4</v>
      </c>
      <c r="O693" s="2807">
        <f t="shared" si="32"/>
        <v>50.93</v>
      </c>
      <c r="P693" s="1414" t="s">
        <v>4547</v>
      </c>
      <c r="Q693" s="1414" t="s">
        <v>4547</v>
      </c>
    </row>
    <row r="694" spans="1:17">
      <c r="A694" s="1414">
        <v>692</v>
      </c>
      <c r="B694" s="1414" t="s">
        <v>3569</v>
      </c>
      <c r="C694" s="2807">
        <v>50.93</v>
      </c>
      <c r="I694" s="2807">
        <f t="shared" si="30"/>
        <v>693</v>
      </c>
      <c r="J694" s="2807" t="s">
        <v>4545</v>
      </c>
      <c r="K694" s="2807" t="s">
        <v>4504</v>
      </c>
      <c r="L694" s="2807" t="str">
        <f t="shared" si="31"/>
        <v>B4184</v>
      </c>
      <c r="M694" s="2807">
        <v>8</v>
      </c>
      <c r="N694" s="2807">
        <v>-4</v>
      </c>
      <c r="O694" s="2807">
        <f t="shared" si="32"/>
        <v>50.93</v>
      </c>
      <c r="P694" s="1414" t="s">
        <v>4547</v>
      </c>
      <c r="Q694" s="1414" t="s">
        <v>4547</v>
      </c>
    </row>
    <row r="695" spans="1:17">
      <c r="A695" s="1414">
        <v>693</v>
      </c>
      <c r="B695" s="1414" t="s">
        <v>3570</v>
      </c>
      <c r="C695" s="2807">
        <v>50.93</v>
      </c>
      <c r="I695" s="2807">
        <f t="shared" si="30"/>
        <v>694</v>
      </c>
      <c r="J695" s="2807" t="s">
        <v>4545</v>
      </c>
      <c r="K695" s="2807" t="s">
        <v>4504</v>
      </c>
      <c r="L695" s="2807" t="str">
        <f t="shared" si="31"/>
        <v>B4185</v>
      </c>
      <c r="M695" s="2807">
        <v>8</v>
      </c>
      <c r="N695" s="2807">
        <v>-4</v>
      </c>
      <c r="O695" s="2807">
        <f t="shared" si="32"/>
        <v>52.93</v>
      </c>
      <c r="P695" s="1414" t="s">
        <v>4547</v>
      </c>
      <c r="Q695" s="1414" t="s">
        <v>4547</v>
      </c>
    </row>
    <row r="696" spans="1:17">
      <c r="A696" s="1414">
        <v>694</v>
      </c>
      <c r="B696" s="1414" t="s">
        <v>3571</v>
      </c>
      <c r="C696" s="2807">
        <v>52.93</v>
      </c>
      <c r="I696" s="2807">
        <f t="shared" si="30"/>
        <v>695</v>
      </c>
      <c r="J696" s="2807" t="s">
        <v>4545</v>
      </c>
      <c r="K696" s="2807" t="s">
        <v>4504</v>
      </c>
      <c r="L696" s="2807" t="str">
        <f t="shared" si="31"/>
        <v>B4186</v>
      </c>
      <c r="M696" s="2807">
        <v>8</v>
      </c>
      <c r="N696" s="2807">
        <v>-4</v>
      </c>
      <c r="O696" s="2807">
        <f t="shared" si="32"/>
        <v>52.93</v>
      </c>
      <c r="P696" s="1414" t="s">
        <v>4547</v>
      </c>
      <c r="Q696" s="1414" t="s">
        <v>4547</v>
      </c>
    </row>
    <row r="697" spans="1:17">
      <c r="A697" s="1414">
        <v>695</v>
      </c>
      <c r="B697" s="1414" t="s">
        <v>3572</v>
      </c>
      <c r="C697" s="2807">
        <v>52.93</v>
      </c>
      <c r="I697" s="2807">
        <f t="shared" si="30"/>
        <v>696</v>
      </c>
      <c r="J697" s="2807" t="s">
        <v>4545</v>
      </c>
      <c r="K697" s="2807" t="s">
        <v>4504</v>
      </c>
      <c r="L697" s="2807" t="str">
        <f t="shared" si="31"/>
        <v>B4187</v>
      </c>
      <c r="M697" s="2807">
        <v>8</v>
      </c>
      <c r="N697" s="2807">
        <v>-4</v>
      </c>
      <c r="O697" s="2807">
        <f t="shared" si="32"/>
        <v>52.93</v>
      </c>
      <c r="P697" s="1414" t="s">
        <v>4547</v>
      </c>
      <c r="Q697" s="1414" t="s">
        <v>4547</v>
      </c>
    </row>
    <row r="698" spans="1:17">
      <c r="A698" s="1414">
        <v>696</v>
      </c>
      <c r="B698" s="1414" t="s">
        <v>3573</v>
      </c>
      <c r="C698" s="2807">
        <v>52.93</v>
      </c>
      <c r="I698" s="2807">
        <f t="shared" si="30"/>
        <v>697</v>
      </c>
      <c r="J698" s="2807" t="s">
        <v>4545</v>
      </c>
      <c r="K698" s="2807" t="s">
        <v>4504</v>
      </c>
      <c r="L698" s="2807" t="str">
        <f t="shared" si="31"/>
        <v>B4188</v>
      </c>
      <c r="M698" s="2807">
        <v>8</v>
      </c>
      <c r="N698" s="2807">
        <v>-4</v>
      </c>
      <c r="O698" s="2807">
        <f t="shared" si="32"/>
        <v>52.93</v>
      </c>
      <c r="P698" s="1414" t="s">
        <v>4547</v>
      </c>
      <c r="Q698" s="1414" t="s">
        <v>4547</v>
      </c>
    </row>
    <row r="699" spans="1:17">
      <c r="A699" s="1414">
        <v>697</v>
      </c>
      <c r="B699" s="1414" t="s">
        <v>3574</v>
      </c>
      <c r="C699" s="2807">
        <v>52.93</v>
      </c>
      <c r="I699" s="2807">
        <f t="shared" si="30"/>
        <v>698</v>
      </c>
      <c r="J699" s="2807" t="s">
        <v>4545</v>
      </c>
      <c r="K699" s="2807" t="s">
        <v>4504</v>
      </c>
      <c r="L699" s="2807" t="str">
        <f t="shared" si="31"/>
        <v>B4189</v>
      </c>
      <c r="M699" s="2807">
        <v>8</v>
      </c>
      <c r="N699" s="2807">
        <v>-4</v>
      </c>
      <c r="O699" s="2807">
        <f t="shared" si="32"/>
        <v>52.93</v>
      </c>
      <c r="P699" s="1414" t="s">
        <v>4547</v>
      </c>
      <c r="Q699" s="1414" t="s">
        <v>4547</v>
      </c>
    </row>
    <row r="700" spans="1:17">
      <c r="A700" s="1414">
        <v>698</v>
      </c>
      <c r="B700" s="1414" t="s">
        <v>3575</v>
      </c>
      <c r="C700" s="2807">
        <v>52.93</v>
      </c>
      <c r="I700" s="2807">
        <f t="shared" si="30"/>
        <v>699</v>
      </c>
      <c r="J700" s="2807" t="s">
        <v>4545</v>
      </c>
      <c r="K700" s="2807" t="s">
        <v>4504</v>
      </c>
      <c r="L700" s="2807" t="str">
        <f t="shared" si="31"/>
        <v>B4190</v>
      </c>
      <c r="M700" s="2807">
        <v>8</v>
      </c>
      <c r="N700" s="2807">
        <v>-4</v>
      </c>
      <c r="O700" s="2807">
        <f t="shared" si="32"/>
        <v>52.93</v>
      </c>
      <c r="P700" s="1414" t="s">
        <v>4547</v>
      </c>
      <c r="Q700" s="1414" t="s">
        <v>4547</v>
      </c>
    </row>
    <row r="701" spans="1:17">
      <c r="A701" s="1414">
        <v>699</v>
      </c>
      <c r="B701" s="1414" t="s">
        <v>3576</v>
      </c>
      <c r="C701" s="2807">
        <v>52.93</v>
      </c>
      <c r="I701" s="2807">
        <f t="shared" si="30"/>
        <v>700</v>
      </c>
      <c r="J701" s="2807" t="s">
        <v>4545</v>
      </c>
      <c r="K701" s="2807" t="s">
        <v>4504</v>
      </c>
      <c r="L701" s="2807" t="str">
        <f t="shared" si="31"/>
        <v>B4191</v>
      </c>
      <c r="M701" s="2807">
        <v>8</v>
      </c>
      <c r="N701" s="2807">
        <v>-4</v>
      </c>
      <c r="O701" s="2807">
        <f t="shared" si="32"/>
        <v>52.93</v>
      </c>
      <c r="P701" s="1414" t="s">
        <v>4547</v>
      </c>
      <c r="Q701" s="1414" t="s">
        <v>4547</v>
      </c>
    </row>
    <row r="702" spans="1:17">
      <c r="A702" s="1414">
        <v>700</v>
      </c>
      <c r="B702" s="1414" t="s">
        <v>3577</v>
      </c>
      <c r="C702" s="2807">
        <v>52.93</v>
      </c>
      <c r="I702" s="2807">
        <f t="shared" si="30"/>
        <v>701</v>
      </c>
      <c r="J702" s="2807" t="s">
        <v>4545</v>
      </c>
      <c r="K702" s="2807" t="s">
        <v>4504</v>
      </c>
      <c r="L702" s="2807" t="str">
        <f t="shared" si="31"/>
        <v>B4192</v>
      </c>
      <c r="M702" s="2807">
        <v>8</v>
      </c>
      <c r="N702" s="2807">
        <v>-4</v>
      </c>
      <c r="O702" s="2807">
        <f t="shared" si="32"/>
        <v>52.93</v>
      </c>
      <c r="P702" s="1414" t="s">
        <v>4547</v>
      </c>
      <c r="Q702" s="1414" t="s">
        <v>4547</v>
      </c>
    </row>
    <row r="703" spans="1:17">
      <c r="A703" s="1414">
        <v>701</v>
      </c>
      <c r="B703" s="1414" t="s">
        <v>3578</v>
      </c>
      <c r="C703" s="2807">
        <v>52.93</v>
      </c>
      <c r="I703" s="2807">
        <f t="shared" si="30"/>
        <v>702</v>
      </c>
      <c r="J703" s="2807" t="s">
        <v>4545</v>
      </c>
      <c r="K703" s="2807" t="s">
        <v>4504</v>
      </c>
      <c r="L703" s="2807" t="str">
        <f t="shared" si="31"/>
        <v>B4193</v>
      </c>
      <c r="M703" s="2807">
        <v>8</v>
      </c>
      <c r="N703" s="2807">
        <v>-4</v>
      </c>
      <c r="O703" s="2807">
        <f t="shared" si="32"/>
        <v>52.93</v>
      </c>
      <c r="P703" s="1414" t="s">
        <v>4547</v>
      </c>
      <c r="Q703" s="1414" t="s">
        <v>4547</v>
      </c>
    </row>
    <row r="704" spans="1:17">
      <c r="A704" s="1414">
        <v>702</v>
      </c>
      <c r="B704" s="1414" t="s">
        <v>3579</v>
      </c>
      <c r="C704" s="2807">
        <v>52.93</v>
      </c>
      <c r="I704" s="2807">
        <f t="shared" si="30"/>
        <v>703</v>
      </c>
      <c r="J704" s="2807" t="s">
        <v>4545</v>
      </c>
      <c r="K704" s="2807" t="s">
        <v>4504</v>
      </c>
      <c r="L704" s="2807" t="str">
        <f t="shared" si="31"/>
        <v>B4194</v>
      </c>
      <c r="M704" s="2807">
        <v>8</v>
      </c>
      <c r="N704" s="2807">
        <v>-4</v>
      </c>
      <c r="O704" s="2807">
        <f t="shared" si="32"/>
        <v>52.93</v>
      </c>
      <c r="P704" s="1414" t="s">
        <v>4547</v>
      </c>
      <c r="Q704" s="1414" t="s">
        <v>4547</v>
      </c>
    </row>
    <row r="705" spans="1:17">
      <c r="A705" s="1414">
        <v>703</v>
      </c>
      <c r="B705" s="1414" t="s">
        <v>3580</v>
      </c>
      <c r="C705" s="2807">
        <v>52.93</v>
      </c>
      <c r="I705" s="2807">
        <f t="shared" si="30"/>
        <v>704</v>
      </c>
      <c r="J705" s="2807" t="s">
        <v>4545</v>
      </c>
      <c r="K705" s="2807" t="s">
        <v>4504</v>
      </c>
      <c r="L705" s="2807" t="str">
        <f t="shared" si="31"/>
        <v>B4195</v>
      </c>
      <c r="M705" s="2807">
        <v>8</v>
      </c>
      <c r="N705" s="2807">
        <v>-4</v>
      </c>
      <c r="O705" s="2807">
        <f t="shared" si="32"/>
        <v>52.93</v>
      </c>
      <c r="P705" s="1414" t="s">
        <v>4547</v>
      </c>
      <c r="Q705" s="1414" t="s">
        <v>4547</v>
      </c>
    </row>
    <row r="706" spans="1:17">
      <c r="A706" s="1414">
        <v>704</v>
      </c>
      <c r="B706" s="1414" t="s">
        <v>3581</v>
      </c>
      <c r="C706" s="2807">
        <v>52.93</v>
      </c>
      <c r="I706" s="2807">
        <f t="shared" si="30"/>
        <v>705</v>
      </c>
      <c r="J706" s="2807" t="s">
        <v>4545</v>
      </c>
      <c r="K706" s="2807" t="s">
        <v>4504</v>
      </c>
      <c r="L706" s="2807" t="str">
        <f t="shared" si="31"/>
        <v>B4196</v>
      </c>
      <c r="M706" s="2807">
        <v>8</v>
      </c>
      <c r="N706" s="2807">
        <v>-4</v>
      </c>
      <c r="O706" s="2807">
        <f t="shared" si="32"/>
        <v>52.93</v>
      </c>
      <c r="P706" s="1414" t="s">
        <v>4547</v>
      </c>
      <c r="Q706" s="1414" t="s">
        <v>4547</v>
      </c>
    </row>
    <row r="707" spans="1:17">
      <c r="A707" s="1414">
        <v>705</v>
      </c>
      <c r="B707" s="1414" t="s">
        <v>3582</v>
      </c>
      <c r="C707" s="2807">
        <v>52.93</v>
      </c>
      <c r="I707" s="2807">
        <f t="shared" ref="I707:I751" si="33">A708</f>
        <v>706</v>
      </c>
      <c r="J707" s="2807" t="s">
        <v>4545</v>
      </c>
      <c r="K707" s="2807" t="s">
        <v>4504</v>
      </c>
      <c r="L707" s="2807" t="str">
        <f t="shared" ref="L707:L751" si="34">B708</f>
        <v>B4197</v>
      </c>
      <c r="M707" s="2807">
        <v>8</v>
      </c>
      <c r="N707" s="2807">
        <v>-4</v>
      </c>
      <c r="O707" s="2807">
        <f t="shared" ref="O707:O751" si="35">C708</f>
        <v>52.93</v>
      </c>
      <c r="P707" s="1414" t="s">
        <v>4547</v>
      </c>
      <c r="Q707" s="1414" t="s">
        <v>4547</v>
      </c>
    </row>
    <row r="708" spans="1:17">
      <c r="A708" s="1414">
        <v>706</v>
      </c>
      <c r="B708" s="1414" t="s">
        <v>3583</v>
      </c>
      <c r="C708" s="2807">
        <v>52.93</v>
      </c>
      <c r="I708" s="2807">
        <f t="shared" si="33"/>
        <v>707</v>
      </c>
      <c r="J708" s="2807" t="s">
        <v>4545</v>
      </c>
      <c r="K708" s="2807" t="s">
        <v>4504</v>
      </c>
      <c r="L708" s="2807" t="str">
        <f t="shared" si="34"/>
        <v>B4198</v>
      </c>
      <c r="M708" s="2807">
        <v>8</v>
      </c>
      <c r="N708" s="2807">
        <v>-4</v>
      </c>
      <c r="O708" s="2807">
        <f t="shared" si="35"/>
        <v>52.93</v>
      </c>
      <c r="P708" s="1414" t="s">
        <v>4547</v>
      </c>
      <c r="Q708" s="1414" t="s">
        <v>4547</v>
      </c>
    </row>
    <row r="709" spans="1:17">
      <c r="A709" s="1414">
        <v>707</v>
      </c>
      <c r="B709" s="1414" t="s">
        <v>3584</v>
      </c>
      <c r="C709" s="2807">
        <v>52.93</v>
      </c>
      <c r="I709" s="2807">
        <f t="shared" si="33"/>
        <v>708</v>
      </c>
      <c r="J709" s="2807" t="s">
        <v>4545</v>
      </c>
      <c r="K709" s="2807" t="s">
        <v>4504</v>
      </c>
      <c r="L709" s="2807" t="str">
        <f t="shared" si="34"/>
        <v>B4199</v>
      </c>
      <c r="M709" s="2807">
        <v>8</v>
      </c>
      <c r="N709" s="2807">
        <v>-4</v>
      </c>
      <c r="O709" s="2807">
        <f t="shared" si="35"/>
        <v>52.93</v>
      </c>
      <c r="P709" s="1414" t="s">
        <v>4547</v>
      </c>
      <c r="Q709" s="1414" t="s">
        <v>4547</v>
      </c>
    </row>
    <row r="710" spans="1:17">
      <c r="A710" s="1414">
        <v>708</v>
      </c>
      <c r="B710" s="1414" t="s">
        <v>3585</v>
      </c>
      <c r="C710" s="2807">
        <v>52.93</v>
      </c>
      <c r="I710" s="2807">
        <f t="shared" si="33"/>
        <v>709</v>
      </c>
      <c r="J710" s="2807" t="s">
        <v>4545</v>
      </c>
      <c r="K710" s="2807" t="s">
        <v>4504</v>
      </c>
      <c r="L710" s="2807" t="str">
        <f t="shared" si="34"/>
        <v>B4200</v>
      </c>
      <c r="M710" s="2807">
        <v>8</v>
      </c>
      <c r="N710" s="2807">
        <v>-4</v>
      </c>
      <c r="O710" s="2807">
        <f t="shared" si="35"/>
        <v>50.93</v>
      </c>
      <c r="P710" s="1414" t="s">
        <v>4547</v>
      </c>
      <c r="Q710" s="1414" t="s">
        <v>4547</v>
      </c>
    </row>
    <row r="711" spans="1:17">
      <c r="A711" s="1414">
        <v>709</v>
      </c>
      <c r="B711" s="1414" t="s">
        <v>3586</v>
      </c>
      <c r="C711" s="2807">
        <v>50.93</v>
      </c>
      <c r="I711" s="2807">
        <f t="shared" si="33"/>
        <v>710</v>
      </c>
      <c r="J711" s="2807" t="s">
        <v>4545</v>
      </c>
      <c r="K711" s="2807" t="s">
        <v>4504</v>
      </c>
      <c r="L711" s="2807" t="str">
        <f t="shared" si="34"/>
        <v>B4201</v>
      </c>
      <c r="M711" s="2807">
        <v>8</v>
      </c>
      <c r="N711" s="2807">
        <v>-4</v>
      </c>
      <c r="O711" s="2807">
        <f t="shared" si="35"/>
        <v>50.93</v>
      </c>
      <c r="P711" s="1414" t="s">
        <v>4547</v>
      </c>
      <c r="Q711" s="1414" t="s">
        <v>4547</v>
      </c>
    </row>
    <row r="712" spans="1:17">
      <c r="A712" s="1414">
        <v>710</v>
      </c>
      <c r="B712" s="1414" t="s">
        <v>3587</v>
      </c>
      <c r="C712" s="2807">
        <v>50.93</v>
      </c>
      <c r="I712" s="2807">
        <f t="shared" si="33"/>
        <v>711</v>
      </c>
      <c r="J712" s="2807" t="s">
        <v>4545</v>
      </c>
      <c r="K712" s="2807" t="s">
        <v>4504</v>
      </c>
      <c r="L712" s="2807" t="str">
        <f t="shared" si="34"/>
        <v>B4202</v>
      </c>
      <c r="M712" s="2807">
        <v>8</v>
      </c>
      <c r="N712" s="2807">
        <v>-4</v>
      </c>
      <c r="O712" s="2807">
        <f t="shared" si="35"/>
        <v>50.93</v>
      </c>
      <c r="P712" s="1414" t="s">
        <v>4547</v>
      </c>
      <c r="Q712" s="1414" t="s">
        <v>4547</v>
      </c>
    </row>
    <row r="713" spans="1:17">
      <c r="A713" s="1414">
        <v>711</v>
      </c>
      <c r="B713" s="1414" t="s">
        <v>3588</v>
      </c>
      <c r="C713" s="2807">
        <v>50.93</v>
      </c>
      <c r="I713" s="2807">
        <f t="shared" si="33"/>
        <v>712</v>
      </c>
      <c r="J713" s="2807" t="s">
        <v>4545</v>
      </c>
      <c r="K713" s="2807" t="s">
        <v>4504</v>
      </c>
      <c r="L713" s="2807" t="str">
        <f t="shared" si="34"/>
        <v>B4203</v>
      </c>
      <c r="M713" s="2807">
        <v>8</v>
      </c>
      <c r="N713" s="2807">
        <v>-4</v>
      </c>
      <c r="O713" s="2807">
        <f t="shared" si="35"/>
        <v>50.93</v>
      </c>
      <c r="P713" s="1414" t="s">
        <v>4547</v>
      </c>
      <c r="Q713" s="1414" t="s">
        <v>4547</v>
      </c>
    </row>
    <row r="714" spans="1:17">
      <c r="A714" s="1414">
        <v>712</v>
      </c>
      <c r="B714" s="1414" t="s">
        <v>3589</v>
      </c>
      <c r="C714" s="2807">
        <v>50.93</v>
      </c>
      <c r="I714" s="2807">
        <f t="shared" si="33"/>
        <v>713</v>
      </c>
      <c r="J714" s="2807" t="s">
        <v>4545</v>
      </c>
      <c r="K714" s="2807" t="s">
        <v>4504</v>
      </c>
      <c r="L714" s="2807" t="str">
        <f t="shared" si="34"/>
        <v>B4204</v>
      </c>
      <c r="M714" s="2807">
        <v>8</v>
      </c>
      <c r="N714" s="2807">
        <v>-4</v>
      </c>
      <c r="O714" s="2807">
        <f t="shared" si="35"/>
        <v>50.93</v>
      </c>
      <c r="P714" s="1414" t="s">
        <v>4547</v>
      </c>
      <c r="Q714" s="1414" t="s">
        <v>4547</v>
      </c>
    </row>
    <row r="715" spans="1:17">
      <c r="A715" s="1414">
        <v>713</v>
      </c>
      <c r="B715" s="1414" t="s">
        <v>3590</v>
      </c>
      <c r="C715" s="2807">
        <v>50.93</v>
      </c>
      <c r="I715" s="2807">
        <f t="shared" si="33"/>
        <v>714</v>
      </c>
      <c r="J715" s="2807" t="s">
        <v>4545</v>
      </c>
      <c r="K715" s="2807" t="s">
        <v>4504</v>
      </c>
      <c r="L715" s="2807" t="str">
        <f t="shared" si="34"/>
        <v>B4205</v>
      </c>
      <c r="M715" s="2807">
        <v>8</v>
      </c>
      <c r="N715" s="2807">
        <v>-4</v>
      </c>
      <c r="O715" s="2807">
        <f t="shared" si="35"/>
        <v>50.93</v>
      </c>
      <c r="P715" s="1414" t="s">
        <v>4547</v>
      </c>
      <c r="Q715" s="1414" t="s">
        <v>4547</v>
      </c>
    </row>
    <row r="716" spans="1:17">
      <c r="A716" s="1414">
        <v>714</v>
      </c>
      <c r="B716" s="1414" t="s">
        <v>3591</v>
      </c>
      <c r="C716" s="2807">
        <v>50.93</v>
      </c>
      <c r="I716" s="2807">
        <f t="shared" si="33"/>
        <v>715</v>
      </c>
      <c r="J716" s="2807" t="s">
        <v>4545</v>
      </c>
      <c r="K716" s="2807" t="s">
        <v>4504</v>
      </c>
      <c r="L716" s="2807" t="str">
        <f t="shared" si="34"/>
        <v>B4206</v>
      </c>
      <c r="M716" s="2807">
        <v>8</v>
      </c>
      <c r="N716" s="2807">
        <v>-4</v>
      </c>
      <c r="O716" s="2807">
        <f t="shared" si="35"/>
        <v>52.93</v>
      </c>
      <c r="P716" s="1414" t="s">
        <v>4547</v>
      </c>
      <c r="Q716" s="1414" t="s">
        <v>4547</v>
      </c>
    </row>
    <row r="717" spans="1:17">
      <c r="A717" s="1414">
        <v>715</v>
      </c>
      <c r="B717" s="1414" t="s">
        <v>3592</v>
      </c>
      <c r="C717" s="2807">
        <v>52.93</v>
      </c>
      <c r="I717" s="2807">
        <f t="shared" si="33"/>
        <v>716</v>
      </c>
      <c r="J717" s="2807" t="s">
        <v>4545</v>
      </c>
      <c r="K717" s="2807" t="s">
        <v>4504</v>
      </c>
      <c r="L717" s="2807" t="str">
        <f t="shared" si="34"/>
        <v>B4207</v>
      </c>
      <c r="M717" s="2807">
        <v>8</v>
      </c>
      <c r="N717" s="2807">
        <v>-4</v>
      </c>
      <c r="O717" s="2807">
        <f t="shared" si="35"/>
        <v>52.93</v>
      </c>
      <c r="P717" s="1414" t="s">
        <v>4547</v>
      </c>
      <c r="Q717" s="1414" t="s">
        <v>4547</v>
      </c>
    </row>
    <row r="718" spans="1:17">
      <c r="A718" s="1414">
        <v>716</v>
      </c>
      <c r="B718" s="1414" t="s">
        <v>3593</v>
      </c>
      <c r="C718" s="2807">
        <v>52.93</v>
      </c>
      <c r="I718" s="2807">
        <f t="shared" si="33"/>
        <v>717</v>
      </c>
      <c r="J718" s="2807" t="s">
        <v>4545</v>
      </c>
      <c r="K718" s="2807" t="s">
        <v>4504</v>
      </c>
      <c r="L718" s="2807" t="str">
        <f t="shared" si="34"/>
        <v>B4208</v>
      </c>
      <c r="M718" s="2807">
        <v>8</v>
      </c>
      <c r="N718" s="2807">
        <v>-4</v>
      </c>
      <c r="O718" s="2807">
        <f t="shared" si="35"/>
        <v>52.93</v>
      </c>
      <c r="P718" s="1414" t="s">
        <v>4547</v>
      </c>
      <c r="Q718" s="1414" t="s">
        <v>4547</v>
      </c>
    </row>
    <row r="719" spans="1:17">
      <c r="A719" s="1414">
        <v>717</v>
      </c>
      <c r="B719" s="1414" t="s">
        <v>3594</v>
      </c>
      <c r="C719" s="2807">
        <v>52.93</v>
      </c>
      <c r="I719" s="2807">
        <f t="shared" si="33"/>
        <v>718</v>
      </c>
      <c r="J719" s="2807" t="s">
        <v>4545</v>
      </c>
      <c r="K719" s="2807" t="s">
        <v>4504</v>
      </c>
      <c r="L719" s="2807" t="str">
        <f t="shared" si="34"/>
        <v>B4209</v>
      </c>
      <c r="M719" s="2807">
        <v>8</v>
      </c>
      <c r="N719" s="2807">
        <v>-4</v>
      </c>
      <c r="O719" s="2807">
        <f t="shared" si="35"/>
        <v>52.93</v>
      </c>
      <c r="P719" s="1414" t="s">
        <v>4547</v>
      </c>
      <c r="Q719" s="1414" t="s">
        <v>4547</v>
      </c>
    </row>
    <row r="720" spans="1:17">
      <c r="A720" s="1414">
        <v>718</v>
      </c>
      <c r="B720" s="1414" t="s">
        <v>3595</v>
      </c>
      <c r="C720" s="2807">
        <v>52.93</v>
      </c>
      <c r="I720" s="2807">
        <f t="shared" si="33"/>
        <v>719</v>
      </c>
      <c r="J720" s="2807" t="s">
        <v>4545</v>
      </c>
      <c r="K720" s="2807" t="s">
        <v>4504</v>
      </c>
      <c r="L720" s="2807" t="str">
        <f t="shared" si="34"/>
        <v>B4210</v>
      </c>
      <c r="M720" s="2807">
        <v>8</v>
      </c>
      <c r="N720" s="2807">
        <v>-4</v>
      </c>
      <c r="O720" s="2807">
        <f t="shared" si="35"/>
        <v>52.93</v>
      </c>
      <c r="P720" s="1414" t="s">
        <v>4547</v>
      </c>
      <c r="Q720" s="1414" t="s">
        <v>4547</v>
      </c>
    </row>
    <row r="721" spans="1:17">
      <c r="A721" s="1414">
        <v>719</v>
      </c>
      <c r="B721" s="1414" t="s">
        <v>3596</v>
      </c>
      <c r="C721" s="2807">
        <v>52.93</v>
      </c>
      <c r="I721" s="2807">
        <f t="shared" si="33"/>
        <v>720</v>
      </c>
      <c r="J721" s="2807" t="s">
        <v>4545</v>
      </c>
      <c r="K721" s="2807" t="s">
        <v>4504</v>
      </c>
      <c r="L721" s="2807" t="str">
        <f t="shared" si="34"/>
        <v>B4211</v>
      </c>
      <c r="M721" s="2807">
        <v>8</v>
      </c>
      <c r="N721" s="2807">
        <v>-4</v>
      </c>
      <c r="O721" s="2807">
        <f t="shared" si="35"/>
        <v>52.93</v>
      </c>
      <c r="P721" s="1414" t="s">
        <v>4547</v>
      </c>
      <c r="Q721" s="1414" t="s">
        <v>4547</v>
      </c>
    </row>
    <row r="722" spans="1:17">
      <c r="A722" s="1414">
        <v>720</v>
      </c>
      <c r="B722" s="1414" t="s">
        <v>3597</v>
      </c>
      <c r="C722" s="2807">
        <v>52.93</v>
      </c>
      <c r="I722" s="2807">
        <f t="shared" si="33"/>
        <v>721</v>
      </c>
      <c r="J722" s="2807" t="s">
        <v>4545</v>
      </c>
      <c r="K722" s="2807" t="s">
        <v>4504</v>
      </c>
      <c r="L722" s="2807" t="str">
        <f t="shared" si="34"/>
        <v>B4212</v>
      </c>
      <c r="M722" s="2807">
        <v>8</v>
      </c>
      <c r="N722" s="2807">
        <v>-4</v>
      </c>
      <c r="O722" s="2807">
        <f t="shared" si="35"/>
        <v>52.93</v>
      </c>
      <c r="P722" s="1414" t="s">
        <v>4547</v>
      </c>
      <c r="Q722" s="1414" t="s">
        <v>4547</v>
      </c>
    </row>
    <row r="723" spans="1:17">
      <c r="A723" s="1414">
        <v>721</v>
      </c>
      <c r="B723" s="1414" t="s">
        <v>3598</v>
      </c>
      <c r="C723" s="2807">
        <v>52.93</v>
      </c>
      <c r="I723" s="2807">
        <f t="shared" si="33"/>
        <v>722</v>
      </c>
      <c r="J723" s="2807" t="s">
        <v>4545</v>
      </c>
      <c r="K723" s="2807" t="s">
        <v>4504</v>
      </c>
      <c r="L723" s="2807" t="str">
        <f t="shared" si="34"/>
        <v>B4213</v>
      </c>
      <c r="M723" s="2807">
        <v>8</v>
      </c>
      <c r="N723" s="2807">
        <v>-4</v>
      </c>
      <c r="O723" s="2807">
        <f t="shared" si="35"/>
        <v>52.93</v>
      </c>
      <c r="P723" s="1414" t="s">
        <v>4547</v>
      </c>
      <c r="Q723" s="1414" t="s">
        <v>4547</v>
      </c>
    </row>
    <row r="724" spans="1:17">
      <c r="A724" s="1414">
        <v>722</v>
      </c>
      <c r="B724" s="1414" t="s">
        <v>3599</v>
      </c>
      <c r="C724" s="2807">
        <v>52.93</v>
      </c>
      <c r="I724" s="2807">
        <f t="shared" si="33"/>
        <v>723</v>
      </c>
      <c r="J724" s="2807" t="s">
        <v>4545</v>
      </c>
      <c r="K724" s="2807" t="s">
        <v>4504</v>
      </c>
      <c r="L724" s="2807" t="str">
        <f t="shared" si="34"/>
        <v>B4214</v>
      </c>
      <c r="M724" s="2807">
        <v>8</v>
      </c>
      <c r="N724" s="2807">
        <v>-4</v>
      </c>
      <c r="O724" s="2807">
        <f t="shared" si="35"/>
        <v>52.93</v>
      </c>
      <c r="P724" s="1414" t="s">
        <v>4547</v>
      </c>
      <c r="Q724" s="1414" t="s">
        <v>4547</v>
      </c>
    </row>
    <row r="725" spans="1:17">
      <c r="A725" s="1414">
        <v>723</v>
      </c>
      <c r="B725" s="1414" t="s">
        <v>3600</v>
      </c>
      <c r="C725" s="2807">
        <v>52.93</v>
      </c>
      <c r="I725" s="2807">
        <f t="shared" si="33"/>
        <v>724</v>
      </c>
      <c r="J725" s="2807" t="s">
        <v>4545</v>
      </c>
      <c r="K725" s="2807" t="s">
        <v>4504</v>
      </c>
      <c r="L725" s="2807" t="str">
        <f t="shared" si="34"/>
        <v>B4215</v>
      </c>
      <c r="M725" s="2807">
        <v>8</v>
      </c>
      <c r="N725" s="2807">
        <v>-4</v>
      </c>
      <c r="O725" s="2807">
        <f t="shared" si="35"/>
        <v>59.92</v>
      </c>
      <c r="P725" s="1414" t="s">
        <v>4547</v>
      </c>
      <c r="Q725" s="1414" t="s">
        <v>4547</v>
      </c>
    </row>
    <row r="726" spans="1:17">
      <c r="A726" s="1414">
        <v>724</v>
      </c>
      <c r="B726" s="1414" t="s">
        <v>3601</v>
      </c>
      <c r="C726" s="1414">
        <v>59.92</v>
      </c>
      <c r="I726" s="2807">
        <f t="shared" si="33"/>
        <v>725</v>
      </c>
      <c r="J726" s="2807" t="s">
        <v>4545</v>
      </c>
      <c r="K726" s="2807" t="s">
        <v>4504</v>
      </c>
      <c r="L726" s="2807" t="str">
        <f t="shared" si="34"/>
        <v>B4216</v>
      </c>
      <c r="M726" s="2807">
        <v>8</v>
      </c>
      <c r="N726" s="2807">
        <v>-4</v>
      </c>
      <c r="O726" s="2807">
        <f t="shared" si="35"/>
        <v>59.92</v>
      </c>
      <c r="P726" s="1414" t="s">
        <v>4547</v>
      </c>
      <c r="Q726" s="1414" t="s">
        <v>4547</v>
      </c>
    </row>
    <row r="727" spans="1:17">
      <c r="A727" s="1414">
        <v>725</v>
      </c>
      <c r="B727" s="1414" t="s">
        <v>3602</v>
      </c>
      <c r="C727" s="1414">
        <v>59.92</v>
      </c>
      <c r="I727" s="2807">
        <f t="shared" si="33"/>
        <v>726</v>
      </c>
      <c r="J727" s="2807" t="s">
        <v>4545</v>
      </c>
      <c r="K727" s="2807" t="s">
        <v>4504</v>
      </c>
      <c r="L727" s="2807" t="str">
        <f t="shared" si="34"/>
        <v>B4217</v>
      </c>
      <c r="M727" s="2807">
        <v>8</v>
      </c>
      <c r="N727" s="2807">
        <v>-4</v>
      </c>
      <c r="O727" s="2807">
        <f t="shared" si="35"/>
        <v>52.93</v>
      </c>
      <c r="P727" s="1414" t="s">
        <v>4547</v>
      </c>
      <c r="Q727" s="1414" t="s">
        <v>4547</v>
      </c>
    </row>
    <row r="728" spans="1:17">
      <c r="A728" s="1414">
        <v>726</v>
      </c>
      <c r="B728" s="1414" t="s">
        <v>3603</v>
      </c>
      <c r="C728" s="1414">
        <v>52.93</v>
      </c>
      <c r="I728" s="2807">
        <f t="shared" si="33"/>
        <v>727</v>
      </c>
      <c r="J728" s="2807" t="s">
        <v>4545</v>
      </c>
      <c r="K728" s="2807" t="s">
        <v>4504</v>
      </c>
      <c r="L728" s="2807" t="str">
        <f t="shared" si="34"/>
        <v>B4218</v>
      </c>
      <c r="M728" s="2807">
        <v>8</v>
      </c>
      <c r="N728" s="2807">
        <v>-4</v>
      </c>
      <c r="O728" s="2807">
        <f t="shared" si="35"/>
        <v>52.93</v>
      </c>
      <c r="P728" s="1414" t="s">
        <v>4547</v>
      </c>
      <c r="Q728" s="1414" t="s">
        <v>4547</v>
      </c>
    </row>
    <row r="729" spans="1:17">
      <c r="A729" s="1414">
        <v>727</v>
      </c>
      <c r="B729" s="1414" t="s">
        <v>3604</v>
      </c>
      <c r="C729" s="1414">
        <v>52.93</v>
      </c>
      <c r="I729" s="2807">
        <f t="shared" si="33"/>
        <v>728</v>
      </c>
      <c r="J729" s="2807" t="s">
        <v>4545</v>
      </c>
      <c r="K729" s="2807" t="s">
        <v>4504</v>
      </c>
      <c r="L729" s="2807" t="str">
        <f t="shared" si="34"/>
        <v>B4219</v>
      </c>
      <c r="M729" s="2807">
        <v>8</v>
      </c>
      <c r="N729" s="2807">
        <v>-4</v>
      </c>
      <c r="O729" s="2807">
        <f t="shared" si="35"/>
        <v>52.93</v>
      </c>
      <c r="P729" s="1414" t="s">
        <v>4547</v>
      </c>
      <c r="Q729" s="1414" t="s">
        <v>4547</v>
      </c>
    </row>
    <row r="730" spans="1:17">
      <c r="A730" s="1414">
        <v>728</v>
      </c>
      <c r="B730" s="1414" t="s">
        <v>3605</v>
      </c>
      <c r="C730" s="1414">
        <v>52.93</v>
      </c>
      <c r="I730" s="2807">
        <f t="shared" si="33"/>
        <v>729</v>
      </c>
      <c r="J730" s="2807" t="s">
        <v>4545</v>
      </c>
      <c r="K730" s="2807" t="s">
        <v>4504</v>
      </c>
      <c r="L730" s="2807" t="str">
        <f t="shared" si="34"/>
        <v>B4220</v>
      </c>
      <c r="M730" s="2807">
        <v>8</v>
      </c>
      <c r="N730" s="2807">
        <v>-4</v>
      </c>
      <c r="O730" s="2807">
        <f t="shared" si="35"/>
        <v>89.38</v>
      </c>
      <c r="P730" s="1414" t="s">
        <v>4547</v>
      </c>
      <c r="Q730" s="1414" t="s">
        <v>4547</v>
      </c>
    </row>
    <row r="731" spans="1:17">
      <c r="A731" s="1414">
        <v>729</v>
      </c>
      <c r="B731" s="1414" t="s">
        <v>3606</v>
      </c>
      <c r="C731" s="1414">
        <v>89.38</v>
      </c>
      <c r="I731" s="2807">
        <f t="shared" si="33"/>
        <v>730</v>
      </c>
      <c r="J731" s="2807" t="s">
        <v>4545</v>
      </c>
      <c r="K731" s="2807" t="s">
        <v>4504</v>
      </c>
      <c r="L731" s="2807" t="str">
        <f t="shared" si="34"/>
        <v>B4221</v>
      </c>
      <c r="M731" s="2807">
        <v>8</v>
      </c>
      <c r="N731" s="2807">
        <v>-4</v>
      </c>
      <c r="O731" s="2807">
        <f t="shared" si="35"/>
        <v>52.93</v>
      </c>
      <c r="P731" s="1414" t="s">
        <v>4547</v>
      </c>
      <c r="Q731" s="1414" t="s">
        <v>4547</v>
      </c>
    </row>
    <row r="732" spans="1:17">
      <c r="A732" s="1414">
        <v>730</v>
      </c>
      <c r="B732" s="1414" t="s">
        <v>3607</v>
      </c>
      <c r="C732" s="1414">
        <v>52.93</v>
      </c>
      <c r="I732" s="2807">
        <f t="shared" si="33"/>
        <v>731</v>
      </c>
      <c r="J732" s="2807" t="s">
        <v>4545</v>
      </c>
      <c r="K732" s="2807" t="s">
        <v>4504</v>
      </c>
      <c r="L732" s="2807" t="str">
        <f t="shared" si="34"/>
        <v>B4222</v>
      </c>
      <c r="M732" s="2807">
        <v>8</v>
      </c>
      <c r="N732" s="2807">
        <v>-4</v>
      </c>
      <c r="O732" s="2807">
        <f t="shared" si="35"/>
        <v>52.93</v>
      </c>
      <c r="P732" s="1414" t="s">
        <v>4547</v>
      </c>
      <c r="Q732" s="1414" t="s">
        <v>4547</v>
      </c>
    </row>
    <row r="733" spans="1:17">
      <c r="A733" s="1414">
        <v>731</v>
      </c>
      <c r="B733" s="1414" t="s">
        <v>3608</v>
      </c>
      <c r="C733" s="1414">
        <v>52.93</v>
      </c>
      <c r="I733" s="2807">
        <f t="shared" si="33"/>
        <v>732</v>
      </c>
      <c r="J733" s="2807" t="s">
        <v>4545</v>
      </c>
      <c r="K733" s="2807" t="s">
        <v>4504</v>
      </c>
      <c r="L733" s="2807" t="str">
        <f t="shared" si="34"/>
        <v>B4223</v>
      </c>
      <c r="M733" s="2807">
        <v>8</v>
      </c>
      <c r="N733" s="2807">
        <v>-4</v>
      </c>
      <c r="O733" s="2807">
        <f t="shared" si="35"/>
        <v>52.93</v>
      </c>
      <c r="P733" s="1414" t="s">
        <v>4547</v>
      </c>
      <c r="Q733" s="1414" t="s">
        <v>4547</v>
      </c>
    </row>
    <row r="734" spans="1:17">
      <c r="A734" s="1414">
        <v>732</v>
      </c>
      <c r="B734" s="1414" t="s">
        <v>3609</v>
      </c>
      <c r="C734" s="1414">
        <v>52.93</v>
      </c>
      <c r="I734" s="2807">
        <f t="shared" si="33"/>
        <v>733</v>
      </c>
      <c r="J734" s="2807" t="s">
        <v>4545</v>
      </c>
      <c r="K734" s="2807" t="s">
        <v>4504</v>
      </c>
      <c r="L734" s="2807" t="str">
        <f t="shared" si="34"/>
        <v>B4224</v>
      </c>
      <c r="M734" s="2807">
        <v>8</v>
      </c>
      <c r="N734" s="2807">
        <v>-4</v>
      </c>
      <c r="O734" s="2807">
        <f t="shared" si="35"/>
        <v>52.93</v>
      </c>
      <c r="P734" s="1414" t="s">
        <v>4547</v>
      </c>
      <c r="Q734" s="1414" t="s">
        <v>4547</v>
      </c>
    </row>
    <row r="735" spans="1:17">
      <c r="A735" s="1414">
        <v>733</v>
      </c>
      <c r="B735" s="1414" t="s">
        <v>3610</v>
      </c>
      <c r="C735" s="1414">
        <v>52.93</v>
      </c>
      <c r="I735" s="2807">
        <f t="shared" si="33"/>
        <v>734</v>
      </c>
      <c r="J735" s="2807" t="s">
        <v>4545</v>
      </c>
      <c r="K735" s="2807" t="s">
        <v>4504</v>
      </c>
      <c r="L735" s="2807" t="str">
        <f t="shared" si="34"/>
        <v>B4225</v>
      </c>
      <c r="M735" s="2807">
        <v>8</v>
      </c>
      <c r="N735" s="2807">
        <v>-4</v>
      </c>
      <c r="O735" s="2807">
        <f t="shared" si="35"/>
        <v>52.93</v>
      </c>
      <c r="P735" s="1414" t="s">
        <v>4547</v>
      </c>
      <c r="Q735" s="1414" t="s">
        <v>4547</v>
      </c>
    </row>
    <row r="736" spans="1:17">
      <c r="A736" s="1414">
        <v>734</v>
      </c>
      <c r="B736" s="1414" t="s">
        <v>3611</v>
      </c>
      <c r="C736" s="1414">
        <v>52.93</v>
      </c>
      <c r="I736" s="2807">
        <f t="shared" si="33"/>
        <v>735</v>
      </c>
      <c r="J736" s="2807" t="s">
        <v>4545</v>
      </c>
      <c r="K736" s="2807" t="s">
        <v>4504</v>
      </c>
      <c r="L736" s="2807" t="str">
        <f t="shared" si="34"/>
        <v>B4226</v>
      </c>
      <c r="M736" s="2807">
        <v>8</v>
      </c>
      <c r="N736" s="2807">
        <v>-4</v>
      </c>
      <c r="O736" s="2807">
        <f t="shared" si="35"/>
        <v>52.93</v>
      </c>
      <c r="P736" s="1414" t="s">
        <v>4547</v>
      </c>
      <c r="Q736" s="1414" t="s">
        <v>4547</v>
      </c>
    </row>
    <row r="737" spans="1:17">
      <c r="A737" s="1414">
        <v>735</v>
      </c>
      <c r="B737" s="1414" t="s">
        <v>3612</v>
      </c>
      <c r="C737" s="1414">
        <v>52.93</v>
      </c>
      <c r="I737" s="2807">
        <f t="shared" si="33"/>
        <v>736</v>
      </c>
      <c r="J737" s="2807" t="s">
        <v>4545</v>
      </c>
      <c r="K737" s="2807" t="s">
        <v>4504</v>
      </c>
      <c r="L737" s="2807" t="str">
        <f t="shared" si="34"/>
        <v>B4227</v>
      </c>
      <c r="M737" s="2807">
        <v>8</v>
      </c>
      <c r="N737" s="2807">
        <v>-4</v>
      </c>
      <c r="O737" s="2807">
        <f t="shared" si="35"/>
        <v>52.93</v>
      </c>
      <c r="P737" s="1414" t="s">
        <v>4547</v>
      </c>
      <c r="Q737" s="1414" t="s">
        <v>4547</v>
      </c>
    </row>
    <row r="738" spans="1:17">
      <c r="A738" s="1414">
        <v>736</v>
      </c>
      <c r="B738" s="1414" t="s">
        <v>3613</v>
      </c>
      <c r="C738" s="1414">
        <v>52.93</v>
      </c>
      <c r="I738" s="2807">
        <f t="shared" si="33"/>
        <v>737</v>
      </c>
      <c r="J738" s="2807" t="s">
        <v>4545</v>
      </c>
      <c r="K738" s="2807" t="s">
        <v>4504</v>
      </c>
      <c r="L738" s="2807" t="str">
        <f t="shared" si="34"/>
        <v>B4228</v>
      </c>
      <c r="M738" s="2807">
        <v>8</v>
      </c>
      <c r="N738" s="2807">
        <v>-4</v>
      </c>
      <c r="O738" s="2807">
        <f t="shared" si="35"/>
        <v>52.93</v>
      </c>
      <c r="P738" s="1414" t="s">
        <v>4547</v>
      </c>
      <c r="Q738" s="1414" t="s">
        <v>4547</v>
      </c>
    </row>
    <row r="739" spans="1:17">
      <c r="A739" s="1414">
        <v>737</v>
      </c>
      <c r="B739" s="1414" t="s">
        <v>3614</v>
      </c>
      <c r="C739" s="1414">
        <v>52.93</v>
      </c>
      <c r="I739" s="2807">
        <f t="shared" si="33"/>
        <v>738</v>
      </c>
      <c r="J739" s="2807" t="s">
        <v>4545</v>
      </c>
      <c r="K739" s="2807" t="s">
        <v>4504</v>
      </c>
      <c r="L739" s="2807" t="str">
        <f t="shared" si="34"/>
        <v>B4229</v>
      </c>
      <c r="M739" s="2807">
        <v>8</v>
      </c>
      <c r="N739" s="2807">
        <v>-4</v>
      </c>
      <c r="O739" s="2807">
        <f t="shared" si="35"/>
        <v>52.93</v>
      </c>
      <c r="P739" s="1414" t="s">
        <v>4547</v>
      </c>
      <c r="Q739" s="1414" t="s">
        <v>4547</v>
      </c>
    </row>
    <row r="740" spans="1:17">
      <c r="A740" s="1414">
        <v>738</v>
      </c>
      <c r="B740" s="1414" t="s">
        <v>3615</v>
      </c>
      <c r="C740" s="1414">
        <v>52.93</v>
      </c>
      <c r="I740" s="2807">
        <f t="shared" si="33"/>
        <v>739</v>
      </c>
      <c r="J740" s="2807" t="s">
        <v>4545</v>
      </c>
      <c r="K740" s="2807" t="s">
        <v>4504</v>
      </c>
      <c r="L740" s="2807" t="str">
        <f t="shared" si="34"/>
        <v>B4230</v>
      </c>
      <c r="M740" s="2807">
        <v>8</v>
      </c>
      <c r="N740" s="2807">
        <v>-4</v>
      </c>
      <c r="O740" s="2807">
        <f t="shared" si="35"/>
        <v>52.93</v>
      </c>
      <c r="P740" s="1414" t="s">
        <v>4547</v>
      </c>
      <c r="Q740" s="1414" t="s">
        <v>4547</v>
      </c>
    </row>
    <row r="741" spans="1:17">
      <c r="A741" s="1414">
        <v>739</v>
      </c>
      <c r="B741" s="1414" t="s">
        <v>3616</v>
      </c>
      <c r="C741" s="1414">
        <v>52.93</v>
      </c>
      <c r="I741" s="2807">
        <f t="shared" si="33"/>
        <v>740</v>
      </c>
      <c r="J741" s="2807" t="s">
        <v>4545</v>
      </c>
      <c r="K741" s="2807" t="s">
        <v>4504</v>
      </c>
      <c r="L741" s="2807" t="str">
        <f t="shared" si="34"/>
        <v>B4231</v>
      </c>
      <c r="M741" s="2807">
        <v>8</v>
      </c>
      <c r="N741" s="2807">
        <v>-4</v>
      </c>
      <c r="O741" s="2807">
        <f t="shared" si="35"/>
        <v>52.93</v>
      </c>
      <c r="P741" s="1414" t="s">
        <v>4547</v>
      </c>
      <c r="Q741" s="1414" t="s">
        <v>4547</v>
      </c>
    </row>
    <row r="742" spans="1:17">
      <c r="A742" s="1414">
        <v>740</v>
      </c>
      <c r="B742" s="1414" t="s">
        <v>3617</v>
      </c>
      <c r="C742" s="1414">
        <v>52.93</v>
      </c>
      <c r="I742" s="2807">
        <f t="shared" si="33"/>
        <v>741</v>
      </c>
      <c r="J742" s="2807" t="s">
        <v>4545</v>
      </c>
      <c r="K742" s="2807" t="s">
        <v>4504</v>
      </c>
      <c r="L742" s="2807" t="str">
        <f t="shared" si="34"/>
        <v>B4232</v>
      </c>
      <c r="M742" s="2807">
        <v>8</v>
      </c>
      <c r="N742" s="2807">
        <v>-4</v>
      </c>
      <c r="O742" s="2807">
        <f t="shared" si="35"/>
        <v>52.93</v>
      </c>
      <c r="P742" s="1414" t="s">
        <v>4547</v>
      </c>
      <c r="Q742" s="1414" t="s">
        <v>4547</v>
      </c>
    </row>
    <row r="743" spans="1:17">
      <c r="A743" s="1414">
        <v>741</v>
      </c>
      <c r="B743" s="1414" t="s">
        <v>3618</v>
      </c>
      <c r="C743" s="1414">
        <v>52.93</v>
      </c>
      <c r="I743" s="2807">
        <f t="shared" si="33"/>
        <v>742</v>
      </c>
      <c r="J743" s="2807" t="s">
        <v>4545</v>
      </c>
      <c r="K743" s="2807" t="s">
        <v>4504</v>
      </c>
      <c r="L743" s="2807" t="str">
        <f t="shared" si="34"/>
        <v>B4233</v>
      </c>
      <c r="M743" s="2807">
        <v>8</v>
      </c>
      <c r="N743" s="2807">
        <v>-4</v>
      </c>
      <c r="O743" s="2807">
        <f t="shared" si="35"/>
        <v>52.93</v>
      </c>
      <c r="P743" s="1414" t="s">
        <v>4547</v>
      </c>
      <c r="Q743" s="1414" t="s">
        <v>4547</v>
      </c>
    </row>
    <row r="744" spans="1:17">
      <c r="A744" s="1414">
        <v>742</v>
      </c>
      <c r="B744" s="1414" t="s">
        <v>3619</v>
      </c>
      <c r="C744" s="1414">
        <v>52.93</v>
      </c>
      <c r="I744" s="2807">
        <f t="shared" si="33"/>
        <v>743</v>
      </c>
      <c r="J744" s="2807" t="s">
        <v>4545</v>
      </c>
      <c r="K744" s="2807" t="s">
        <v>4504</v>
      </c>
      <c r="L744" s="2807" t="str">
        <f t="shared" si="34"/>
        <v>B4234</v>
      </c>
      <c r="M744" s="2807">
        <v>8</v>
      </c>
      <c r="N744" s="2807">
        <v>-4</v>
      </c>
      <c r="O744" s="2807">
        <f t="shared" si="35"/>
        <v>52.93</v>
      </c>
      <c r="P744" s="1414" t="s">
        <v>4547</v>
      </c>
      <c r="Q744" s="1414" t="s">
        <v>4547</v>
      </c>
    </row>
    <row r="745" spans="1:17">
      <c r="A745" s="1414">
        <v>743</v>
      </c>
      <c r="B745" s="1414" t="s">
        <v>3620</v>
      </c>
      <c r="C745" s="1414">
        <v>52.93</v>
      </c>
      <c r="I745" s="2807">
        <f t="shared" si="33"/>
        <v>744</v>
      </c>
      <c r="J745" s="2807" t="s">
        <v>4545</v>
      </c>
      <c r="K745" s="2807" t="s">
        <v>4504</v>
      </c>
      <c r="L745" s="2807" t="str">
        <f t="shared" si="34"/>
        <v>B4235</v>
      </c>
      <c r="M745" s="2807">
        <v>8</v>
      </c>
      <c r="N745" s="2807">
        <v>-4</v>
      </c>
      <c r="O745" s="2807">
        <f t="shared" si="35"/>
        <v>52.93</v>
      </c>
      <c r="P745" s="1414" t="s">
        <v>4547</v>
      </c>
      <c r="Q745" s="1414" t="s">
        <v>4547</v>
      </c>
    </row>
    <row r="746" spans="1:17">
      <c r="A746" s="1414">
        <v>744</v>
      </c>
      <c r="B746" s="1414" t="s">
        <v>3621</v>
      </c>
      <c r="C746" s="1414">
        <v>52.93</v>
      </c>
      <c r="I746" s="2807">
        <f t="shared" si="33"/>
        <v>745</v>
      </c>
      <c r="J746" s="2807" t="s">
        <v>4545</v>
      </c>
      <c r="K746" s="2807" t="s">
        <v>4504</v>
      </c>
      <c r="L746" s="2807" t="str">
        <f t="shared" si="34"/>
        <v>B4236</v>
      </c>
      <c r="M746" s="2807">
        <v>8</v>
      </c>
      <c r="N746" s="2807">
        <v>-4</v>
      </c>
      <c r="O746" s="2807">
        <f t="shared" si="35"/>
        <v>52.93</v>
      </c>
      <c r="P746" s="1414" t="s">
        <v>4547</v>
      </c>
      <c r="Q746" s="1414" t="s">
        <v>4547</v>
      </c>
    </row>
    <row r="747" spans="1:17">
      <c r="A747" s="1414">
        <v>745</v>
      </c>
      <c r="B747" s="1414" t="s">
        <v>3622</v>
      </c>
      <c r="C747" s="1414">
        <v>52.93</v>
      </c>
      <c r="I747" s="2807">
        <f t="shared" si="33"/>
        <v>746</v>
      </c>
      <c r="J747" s="2807" t="s">
        <v>4545</v>
      </c>
      <c r="K747" s="2807" t="s">
        <v>4504</v>
      </c>
      <c r="L747" s="2807" t="str">
        <f t="shared" si="34"/>
        <v>B4237</v>
      </c>
      <c r="M747" s="2807">
        <v>8</v>
      </c>
      <c r="N747" s="2807">
        <v>-4</v>
      </c>
      <c r="O747" s="2807">
        <f t="shared" si="35"/>
        <v>52.93</v>
      </c>
      <c r="P747" s="1414" t="s">
        <v>4547</v>
      </c>
      <c r="Q747" s="1414" t="s">
        <v>4547</v>
      </c>
    </row>
    <row r="748" spans="1:17">
      <c r="A748" s="1414">
        <v>746</v>
      </c>
      <c r="B748" s="1414" t="s">
        <v>3623</v>
      </c>
      <c r="C748" s="1414">
        <v>52.93</v>
      </c>
      <c r="I748" s="2807">
        <f t="shared" si="33"/>
        <v>747</v>
      </c>
      <c r="J748" s="2807" t="s">
        <v>4545</v>
      </c>
      <c r="K748" s="2807" t="s">
        <v>4504</v>
      </c>
      <c r="L748" s="2807" t="str">
        <f t="shared" si="34"/>
        <v>B4238</v>
      </c>
      <c r="M748" s="2807">
        <v>8</v>
      </c>
      <c r="N748" s="2807">
        <v>-4</v>
      </c>
      <c r="O748" s="2807">
        <f t="shared" si="35"/>
        <v>52.93</v>
      </c>
      <c r="P748" s="1414" t="s">
        <v>4547</v>
      </c>
      <c r="Q748" s="1414" t="s">
        <v>4547</v>
      </c>
    </row>
    <row r="749" spans="1:17">
      <c r="A749" s="1414">
        <v>747</v>
      </c>
      <c r="B749" s="1414" t="s">
        <v>3624</v>
      </c>
      <c r="C749" s="1414">
        <v>52.93</v>
      </c>
      <c r="I749" s="2807">
        <f t="shared" si="33"/>
        <v>748</v>
      </c>
      <c r="J749" s="2807" t="s">
        <v>4545</v>
      </c>
      <c r="K749" s="2807" t="s">
        <v>4504</v>
      </c>
      <c r="L749" s="2807" t="str">
        <f t="shared" si="34"/>
        <v>B4239</v>
      </c>
      <c r="M749" s="2807">
        <v>8</v>
      </c>
      <c r="N749" s="2807">
        <v>-4</v>
      </c>
      <c r="O749" s="2807">
        <f t="shared" si="35"/>
        <v>52.93</v>
      </c>
      <c r="P749" s="1414" t="s">
        <v>4547</v>
      </c>
      <c r="Q749" s="1414" t="s">
        <v>4547</v>
      </c>
    </row>
    <row r="750" spans="1:17">
      <c r="A750" s="1414">
        <v>748</v>
      </c>
      <c r="B750" s="1414" t="s">
        <v>3625</v>
      </c>
      <c r="C750" s="1414">
        <v>52.93</v>
      </c>
      <c r="I750" s="2807">
        <f t="shared" si="33"/>
        <v>749</v>
      </c>
      <c r="J750" s="2807" t="s">
        <v>4545</v>
      </c>
      <c r="K750" s="2807" t="s">
        <v>4504</v>
      </c>
      <c r="L750" s="2807" t="str">
        <f t="shared" si="34"/>
        <v>B4240</v>
      </c>
      <c r="M750" s="2807">
        <v>8</v>
      </c>
      <c r="N750" s="2807">
        <v>-4</v>
      </c>
      <c r="O750" s="2807">
        <f t="shared" si="35"/>
        <v>52.93</v>
      </c>
      <c r="P750" s="1414" t="s">
        <v>4547</v>
      </c>
      <c r="Q750" s="1414" t="s">
        <v>4547</v>
      </c>
    </row>
    <row r="751" spans="1:17">
      <c r="A751" s="1414">
        <v>749</v>
      </c>
      <c r="B751" s="1414" t="s">
        <v>3626</v>
      </c>
      <c r="C751" s="1414">
        <v>52.93</v>
      </c>
      <c r="I751" s="2807">
        <f t="shared" si="33"/>
        <v>750</v>
      </c>
      <c r="J751" s="2807" t="s">
        <v>4545</v>
      </c>
      <c r="K751" s="2807" t="s">
        <v>4504</v>
      </c>
      <c r="L751" s="2807" t="str">
        <f t="shared" si="34"/>
        <v>B4241</v>
      </c>
      <c r="M751" s="2807">
        <v>8</v>
      </c>
      <c r="N751" s="2807">
        <v>-4</v>
      </c>
      <c r="O751" s="2807">
        <f t="shared" si="35"/>
        <v>52.93</v>
      </c>
      <c r="P751" s="1414" t="s">
        <v>4547</v>
      </c>
      <c r="Q751" s="1414" t="s">
        <v>4547</v>
      </c>
    </row>
    <row r="752" spans="1:17">
      <c r="A752" s="1414">
        <v>750</v>
      </c>
      <c r="B752" s="1414" t="s">
        <v>3627</v>
      </c>
      <c r="C752" s="1414">
        <v>52.93</v>
      </c>
      <c r="I752" s="1414" t="s">
        <v>4563</v>
      </c>
      <c r="O752" s="2807">
        <f>SUM(O2:O751)</f>
        <v>96165.289999996472</v>
      </c>
    </row>
    <row r="753" spans="3:15">
      <c r="C753" s="2807">
        <f>SUM(C3:C752)</f>
        <v>96165.289999996472</v>
      </c>
      <c r="O753" s="2807">
        <f>SUM(O3:O751)</f>
        <v>39819.020000000091</v>
      </c>
    </row>
  </sheetData>
  <phoneticPr fontId="13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sheetPr>
  <dimension ref="A1:W127"/>
  <sheetViews>
    <sheetView workbookViewId="0">
      <selection activeCell="H20" sqref="H20"/>
    </sheetView>
  </sheetViews>
  <sheetFormatPr defaultColWidth="9" defaultRowHeight="13.5"/>
  <cols>
    <col min="1" max="1" width="13.5" style="1441" customWidth="1"/>
    <col min="2" max="2" width="23.25" style="1398" customWidth="1"/>
    <col min="3" max="3" width="13" style="1438" customWidth="1"/>
    <col min="4" max="4" width="5.75" style="1436" customWidth="1"/>
    <col min="5" max="5" width="7.125" style="1436" customWidth="1"/>
    <col min="6" max="6" width="10.625" style="1436" customWidth="1"/>
    <col min="7" max="7" width="7.5" style="1436" customWidth="1"/>
    <col min="8" max="8" width="11.875" style="1438" customWidth="1"/>
    <col min="9" max="9" width="11.625" style="1438" customWidth="1"/>
    <col min="10" max="10" width="9" style="1438" customWidth="1"/>
    <col min="11" max="19" width="9" style="1436" customWidth="1"/>
    <col min="20" max="23" width="9" style="1438" customWidth="1"/>
    <col min="24" max="24" width="21.125" style="1398" customWidth="1"/>
    <col min="25" max="16384" width="9" style="1398"/>
  </cols>
  <sheetData>
    <row r="1" spans="1:23" s="1433" customFormat="1" ht="40.5">
      <c r="A1" s="1429" t="s">
        <v>44</v>
      </c>
      <c r="B1" s="1430" t="s">
        <v>974</v>
      </c>
      <c r="C1" s="1431" t="s">
        <v>314</v>
      </c>
      <c r="D1" s="1432" t="s">
        <v>3339</v>
      </c>
      <c r="E1" s="1431" t="s">
        <v>975</v>
      </c>
      <c r="F1" s="1431" t="s">
        <v>976</v>
      </c>
      <c r="G1" s="1431" t="s">
        <v>977</v>
      </c>
      <c r="H1" s="1431" t="s">
        <v>978</v>
      </c>
      <c r="I1" s="1431" t="s">
        <v>979</v>
      </c>
      <c r="J1" s="1431" t="s">
        <v>980</v>
      </c>
      <c r="K1" s="1431" t="s">
        <v>981</v>
      </c>
      <c r="L1" s="1431" t="s">
        <v>982</v>
      </c>
      <c r="M1" s="1431" t="s">
        <v>983</v>
      </c>
      <c r="N1" s="1431" t="s">
        <v>984</v>
      </c>
      <c r="O1" s="1431" t="s">
        <v>985</v>
      </c>
      <c r="P1" s="1432" t="s">
        <v>309</v>
      </c>
      <c r="Q1" s="1432" t="s">
        <v>447</v>
      </c>
      <c r="R1" s="1431" t="s">
        <v>441</v>
      </c>
      <c r="S1" s="1431" t="s">
        <v>986</v>
      </c>
      <c r="T1" s="1432" t="s">
        <v>987</v>
      </c>
      <c r="U1" s="1431" t="s">
        <v>988</v>
      </c>
      <c r="V1" s="1431" t="s">
        <v>989</v>
      </c>
      <c r="W1" s="1431" t="s">
        <v>311</v>
      </c>
    </row>
    <row r="2" spans="1:23">
      <c r="A2" s="1434" t="s">
        <v>19</v>
      </c>
      <c r="B2" s="1434" t="s">
        <v>990</v>
      </c>
      <c r="C2" s="1435" t="s">
        <v>315</v>
      </c>
      <c r="D2" s="1436" t="s">
        <v>991</v>
      </c>
      <c r="E2" s="1436" t="s">
        <v>992</v>
      </c>
      <c r="F2" s="1436" t="s">
        <v>993</v>
      </c>
      <c r="G2" s="1436">
        <v>20</v>
      </c>
      <c r="H2" s="1436" t="s">
        <v>993</v>
      </c>
      <c r="I2" s="1436" t="s">
        <v>3325</v>
      </c>
      <c r="J2" s="1436" t="s">
        <v>994</v>
      </c>
      <c r="K2" s="1436" t="s">
        <v>995</v>
      </c>
      <c r="L2" s="1436" t="s">
        <v>995</v>
      </c>
      <c r="M2" s="1436" t="s">
        <v>995</v>
      </c>
      <c r="N2" s="1436" t="s">
        <v>995</v>
      </c>
      <c r="O2" s="1436" t="s">
        <v>995</v>
      </c>
      <c r="P2" s="1436" t="s">
        <v>995</v>
      </c>
      <c r="Q2" s="1436" t="s">
        <v>995</v>
      </c>
      <c r="R2" s="1436" t="s">
        <v>443</v>
      </c>
      <c r="S2" s="1436" t="s">
        <v>995</v>
      </c>
      <c r="T2" s="1436" t="s">
        <v>996</v>
      </c>
      <c r="U2" s="1436" t="s">
        <v>995</v>
      </c>
      <c r="V2" s="1436" t="s">
        <v>997</v>
      </c>
      <c r="W2" s="1436" t="s">
        <v>995</v>
      </c>
    </row>
    <row r="3" spans="1:23">
      <c r="A3" s="1434" t="s">
        <v>998</v>
      </c>
      <c r="B3" s="1437" t="s">
        <v>448</v>
      </c>
      <c r="C3" s="1435" t="s">
        <v>316</v>
      </c>
      <c r="D3" s="1436" t="s">
        <v>999</v>
      </c>
      <c r="E3" s="1436" t="s">
        <v>13</v>
      </c>
      <c r="F3" s="1436" t="s">
        <v>1000</v>
      </c>
      <c r="G3" s="1436">
        <v>40</v>
      </c>
      <c r="H3" s="1436" t="s">
        <v>1000</v>
      </c>
      <c r="I3" s="1436" t="s">
        <v>3326</v>
      </c>
      <c r="J3" s="1436" t="s">
        <v>1001</v>
      </c>
      <c r="K3" s="1436" t="s">
        <v>1002</v>
      </c>
      <c r="L3" s="1436" t="s">
        <v>1002</v>
      </c>
      <c r="M3" s="1436" t="s">
        <v>1002</v>
      </c>
      <c r="N3" s="1436" t="s">
        <v>1002</v>
      </c>
      <c r="O3" s="1436" t="s">
        <v>1002</v>
      </c>
      <c r="P3" s="1436" t="s">
        <v>1002</v>
      </c>
      <c r="Q3" s="1436" t="s">
        <v>1002</v>
      </c>
      <c r="R3" s="1436" t="s">
        <v>442</v>
      </c>
      <c r="S3" s="1436" t="s">
        <v>1002</v>
      </c>
      <c r="T3" s="1436" t="s">
        <v>1003</v>
      </c>
      <c r="U3" s="1436" t="s">
        <v>1002</v>
      </c>
      <c r="V3" s="1436" t="s">
        <v>1004</v>
      </c>
      <c r="W3" s="1436" t="s">
        <v>1002</v>
      </c>
    </row>
    <row r="4" spans="1:23">
      <c r="A4" s="1434" t="s">
        <v>1005</v>
      </c>
      <c r="B4" s="1434" t="s">
        <v>1006</v>
      </c>
      <c r="C4" s="1435" t="s">
        <v>317</v>
      </c>
      <c r="D4" s="1436" t="s">
        <v>389</v>
      </c>
      <c r="E4" s="1436" t="s">
        <v>1007</v>
      </c>
      <c r="F4" s="1436" t="s">
        <v>1008</v>
      </c>
      <c r="G4" s="1436">
        <v>50</v>
      </c>
      <c r="H4" s="1436" t="s">
        <v>1008</v>
      </c>
      <c r="I4" s="1436" t="s">
        <v>3327</v>
      </c>
      <c r="K4" s="1436" t="s">
        <v>1009</v>
      </c>
      <c r="L4" s="1436" t="s">
        <v>1009</v>
      </c>
      <c r="M4" s="1436" t="s">
        <v>1009</v>
      </c>
      <c r="N4" s="1436" t="s">
        <v>1009</v>
      </c>
      <c r="O4" s="1436" t="s">
        <v>1009</v>
      </c>
      <c r="P4" s="1436" t="s">
        <v>1009</v>
      </c>
      <c r="Q4" s="1436" t="s">
        <v>1009</v>
      </c>
      <c r="R4" s="1436" t="s">
        <v>444</v>
      </c>
      <c r="S4" s="1436" t="s">
        <v>1009</v>
      </c>
      <c r="T4" s="1436" t="s">
        <v>1010</v>
      </c>
      <c r="U4" s="1436" t="s">
        <v>1009</v>
      </c>
      <c r="W4" s="1436" t="s">
        <v>1009</v>
      </c>
    </row>
    <row r="5" spans="1:23">
      <c r="A5" s="1434" t="s">
        <v>1011</v>
      </c>
      <c r="B5" s="1434" t="s">
        <v>1012</v>
      </c>
      <c r="C5" s="1435" t="s">
        <v>318</v>
      </c>
      <c r="F5" s="1436" t="s">
        <v>1013</v>
      </c>
      <c r="G5" s="1436">
        <v>70</v>
      </c>
      <c r="H5" s="1436" t="s">
        <v>1014</v>
      </c>
      <c r="I5" s="1436" t="s">
        <v>3328</v>
      </c>
      <c r="K5" s="1436" t="s">
        <v>1015</v>
      </c>
      <c r="L5" s="1436" t="s">
        <v>1015</v>
      </c>
      <c r="M5" s="1436" t="s">
        <v>1015</v>
      </c>
      <c r="N5" s="1436" t="s">
        <v>1015</v>
      </c>
      <c r="O5" s="1436" t="s">
        <v>1015</v>
      </c>
      <c r="P5" s="1436" t="s">
        <v>1015</v>
      </c>
      <c r="Q5" s="1436" t="s">
        <v>1015</v>
      </c>
      <c r="R5" s="1436" t="s">
        <v>445</v>
      </c>
      <c r="S5" s="1436" t="s">
        <v>1015</v>
      </c>
      <c r="T5" s="1436" t="s">
        <v>1016</v>
      </c>
      <c r="U5" s="1436" t="s">
        <v>1015</v>
      </c>
      <c r="W5" s="1436" t="s">
        <v>1015</v>
      </c>
    </row>
    <row r="6" spans="1:23">
      <c r="A6" s="1434" t="s">
        <v>1017</v>
      </c>
      <c r="B6" s="1437" t="s">
        <v>449</v>
      </c>
      <c r="C6" s="1439" t="s">
        <v>24</v>
      </c>
      <c r="F6" s="1436" t="s">
        <v>1014</v>
      </c>
      <c r="H6" s="1436" t="s">
        <v>1018</v>
      </c>
      <c r="I6" s="1436" t="s">
        <v>3329</v>
      </c>
      <c r="K6" s="1436" t="s">
        <v>1019</v>
      </c>
      <c r="L6" s="1436" t="s">
        <v>1019</v>
      </c>
      <c r="M6" s="1436" t="s">
        <v>1019</v>
      </c>
      <c r="N6" s="1436" t="s">
        <v>1019</v>
      </c>
      <c r="O6" s="1436" t="s">
        <v>1019</v>
      </c>
      <c r="P6" s="1436" t="s">
        <v>1019</v>
      </c>
      <c r="Q6" s="1436" t="s">
        <v>1019</v>
      </c>
      <c r="R6" s="1436" t="s">
        <v>446</v>
      </c>
      <c r="S6" s="1436" t="s">
        <v>1019</v>
      </c>
      <c r="T6" s="1436"/>
      <c r="U6" s="1436" t="s">
        <v>1019</v>
      </c>
      <c r="W6" s="1436" t="s">
        <v>1019</v>
      </c>
    </row>
    <row r="7" spans="1:23">
      <c r="A7" s="1434" t="s">
        <v>1020</v>
      </c>
      <c r="B7" s="1437" t="s">
        <v>450</v>
      </c>
      <c r="C7" s="1435" t="s">
        <v>25</v>
      </c>
      <c r="F7" s="1436" t="s">
        <v>1021</v>
      </c>
      <c r="H7" s="1436" t="s">
        <v>1022</v>
      </c>
      <c r="I7" s="1436" t="s">
        <v>3330</v>
      </c>
    </row>
    <row r="8" spans="1:23">
      <c r="A8" s="1434" t="s">
        <v>1023</v>
      </c>
      <c r="B8" s="1434" t="s">
        <v>1024</v>
      </c>
      <c r="C8" s="1435" t="s">
        <v>319</v>
      </c>
      <c r="F8" s="1436" t="s">
        <v>1025</v>
      </c>
      <c r="H8" s="1436" t="s">
        <v>2566</v>
      </c>
      <c r="I8" s="1436" t="s">
        <v>3331</v>
      </c>
    </row>
    <row r="9" spans="1:23">
      <c r="A9" s="1434" t="s">
        <v>1026</v>
      </c>
      <c r="B9" s="1434" t="s">
        <v>1027</v>
      </c>
      <c r="C9" s="1435" t="s">
        <v>320</v>
      </c>
      <c r="F9" s="1436" t="s">
        <v>1028</v>
      </c>
      <c r="H9" s="1436"/>
      <c r="I9" s="1438" t="s">
        <v>3332</v>
      </c>
    </row>
    <row r="10" spans="1:23">
      <c r="A10" s="1434" t="s">
        <v>1029</v>
      </c>
      <c r="B10" s="1434" t="s">
        <v>1030</v>
      </c>
      <c r="C10" s="1435" t="s">
        <v>321</v>
      </c>
      <c r="F10" s="1436" t="s">
        <v>2567</v>
      </c>
      <c r="I10" s="1438" t="s">
        <v>3333</v>
      </c>
    </row>
    <row r="11" spans="1:23">
      <c r="A11" s="1434" t="s">
        <v>1031</v>
      </c>
      <c r="B11" s="1434" t="s">
        <v>1032</v>
      </c>
      <c r="C11" s="1435" t="s">
        <v>322</v>
      </c>
      <c r="F11" s="1436" t="s">
        <v>13</v>
      </c>
      <c r="I11" s="1438" t="s">
        <v>3334</v>
      </c>
    </row>
    <row r="12" spans="1:23">
      <c r="A12" s="1434" t="s">
        <v>1033</v>
      </c>
      <c r="B12" s="1434" t="s">
        <v>1034</v>
      </c>
      <c r="C12" s="1435" t="s">
        <v>323</v>
      </c>
      <c r="I12" s="1438" t="s">
        <v>3335</v>
      </c>
    </row>
    <row r="13" spans="1:23">
      <c r="A13" s="1434" t="s">
        <v>1035</v>
      </c>
      <c r="B13" s="1434" t="s">
        <v>1036</v>
      </c>
      <c r="C13" s="1435" t="s">
        <v>324</v>
      </c>
      <c r="I13" s="1438" t="s">
        <v>3336</v>
      </c>
    </row>
    <row r="14" spans="1:23">
      <c r="A14" s="1434" t="s">
        <v>1037</v>
      </c>
      <c r="B14" s="1434" t="s">
        <v>1038</v>
      </c>
      <c r="C14" s="1436" t="s">
        <v>13</v>
      </c>
      <c r="I14" s="1438" t="s">
        <v>3337</v>
      </c>
    </row>
    <row r="15" spans="1:23">
      <c r="A15" s="1434" t="s">
        <v>1039</v>
      </c>
      <c r="B15" s="1434" t="s">
        <v>1040</v>
      </c>
      <c r="C15" s="1435"/>
      <c r="I15" s="1438" t="s">
        <v>3338</v>
      </c>
    </row>
    <row r="16" spans="1:23">
      <c r="A16" s="1434" t="s">
        <v>1041</v>
      </c>
      <c r="B16" s="1434" t="s">
        <v>312</v>
      </c>
      <c r="C16" s="1435"/>
    </row>
    <row r="17" spans="1:3">
      <c r="A17" s="1434" t="s">
        <v>1042</v>
      </c>
      <c r="B17" s="1434" t="s">
        <v>2280</v>
      </c>
      <c r="C17" s="1435"/>
    </row>
    <row r="18" spans="1:3">
      <c r="A18" s="1434" t="s">
        <v>1043</v>
      </c>
      <c r="B18" s="1434" t="s">
        <v>2422</v>
      </c>
      <c r="C18" s="1435"/>
    </row>
    <row r="19" spans="1:3">
      <c r="A19" s="1434" t="s">
        <v>1044</v>
      </c>
      <c r="B19" s="1434" t="s">
        <v>4188</v>
      </c>
      <c r="C19" s="1435"/>
    </row>
    <row r="20" spans="1:3">
      <c r="A20" s="1434" t="s">
        <v>1045</v>
      </c>
      <c r="B20" s="1434" t="s">
        <v>4190</v>
      </c>
      <c r="C20" s="1435"/>
    </row>
    <row r="21" spans="1:3">
      <c r="A21" s="1434" t="s">
        <v>1046</v>
      </c>
      <c r="B21" s="1434" t="s">
        <v>4191</v>
      </c>
      <c r="C21" s="1435"/>
    </row>
    <row r="22" spans="1:3">
      <c r="A22" s="1434" t="s">
        <v>1047</v>
      </c>
      <c r="B22" s="1434" t="s">
        <v>4424</v>
      </c>
      <c r="C22" s="1435"/>
    </row>
    <row r="23" spans="1:3">
      <c r="A23" s="1434" t="s">
        <v>1048</v>
      </c>
      <c r="B23" s="1434" t="s">
        <v>4429</v>
      </c>
      <c r="C23" s="1435"/>
    </row>
    <row r="24" spans="1:3">
      <c r="A24" s="1434" t="s">
        <v>1049</v>
      </c>
      <c r="B24" s="1434" t="s">
        <v>313</v>
      </c>
      <c r="C24" s="1435"/>
    </row>
    <row r="25" spans="1:3">
      <c r="A25" s="1434" t="s">
        <v>1050</v>
      </c>
      <c r="B25" s="1434" t="s">
        <v>313</v>
      </c>
      <c r="C25" s="1435"/>
    </row>
    <row r="26" spans="1:3">
      <c r="A26" s="1434" t="s">
        <v>1051</v>
      </c>
      <c r="B26" s="1434" t="s">
        <v>313</v>
      </c>
      <c r="C26" s="1435"/>
    </row>
    <row r="27" spans="1:3">
      <c r="A27" s="1434" t="s">
        <v>313</v>
      </c>
      <c r="B27" s="1434" t="s">
        <v>313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44"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0" t="s">
        <v>385</v>
      </c>
      <c r="C54" s="1438" t="s">
        <v>583</v>
      </c>
    </row>
    <row r="55" spans="1:4">
      <c r="A55" s="3244"/>
      <c r="B55" s="1440" t="s">
        <v>386</v>
      </c>
      <c r="C55" s="1438" t="s">
        <v>584</v>
      </c>
    </row>
    <row r="56" spans="1:4">
      <c r="A56" s="3244"/>
      <c r="B56" s="1440" t="s">
        <v>387</v>
      </c>
      <c r="C56" s="1438" t="s">
        <v>588</v>
      </c>
    </row>
    <row r="57" spans="1:4">
      <c r="A57" s="3244"/>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FF00"/>
    <pageSetUpPr fitToPage="1"/>
  </sheetPr>
  <dimension ref="A1:AD56"/>
  <sheetViews>
    <sheetView view="pageBreakPreview" zoomScaleNormal="100" zoomScaleSheetLayoutView="100" workbookViewId="0">
      <selection activeCell="M19" sqref="M19"/>
    </sheetView>
  </sheetViews>
  <sheetFormatPr defaultColWidth="10" defaultRowHeight="12.75"/>
  <cols>
    <col min="1" max="1" width="16.875" style="1611" customWidth="1"/>
    <col min="2" max="2" width="10" style="1611" customWidth="1"/>
    <col min="3" max="3" width="11.5" style="1611" customWidth="1"/>
    <col min="4" max="4" width="10" style="1611" customWidth="1"/>
    <col min="5" max="5" width="12.625" style="1611" customWidth="1"/>
    <col min="6" max="6" width="10" style="1611" customWidth="1"/>
    <col min="7" max="7" width="10.75" style="1611" customWidth="1"/>
    <col min="8" max="8" width="10" style="1611" customWidth="1"/>
    <col min="9" max="9" width="11.125" style="1461" customWidth="1"/>
    <col min="10" max="10" width="10" style="1609" customWidth="1"/>
    <col min="11" max="11" width="10" style="2406" customWidth="1"/>
    <col min="12" max="13" width="10" style="2407" customWidth="1"/>
    <col min="14" max="14" width="10" style="1609" customWidth="1"/>
    <col min="15" max="15" width="10" style="9" customWidth="1"/>
    <col min="16" max="17" width="10" style="1609"/>
    <col min="18" max="18" width="10" style="1609" customWidth="1"/>
    <col min="19" max="30" width="10" style="1609"/>
    <col min="31" max="16384" width="10" style="1611"/>
  </cols>
  <sheetData>
    <row r="1" spans="1:30" ht="13.5" thickBot="1">
      <c r="A1" s="2174" t="s">
        <v>2164</v>
      </c>
      <c r="B1" s="3252" t="str">
        <f>IF(B10="北京市","北京市",C10)&amp;F10&amp;IF(结果表!G1="在建","出让国有建设用地使用权及在建建筑物",IF(结果表!G1="土地","出让国有建设用地使用权",))&amp;B9&amp;"预评估"</f>
        <v>北京市房地产抵押价值预评估</v>
      </c>
      <c r="C1" s="3253"/>
      <c r="D1" s="3253"/>
      <c r="E1" s="3253"/>
      <c r="F1" s="3253"/>
      <c r="G1" s="3253"/>
      <c r="H1" s="3253"/>
      <c r="I1" s="3254"/>
      <c r="J1" s="2238"/>
      <c r="K1" s="2176"/>
      <c r="L1" s="2177"/>
      <c r="M1" s="2177"/>
      <c r="N1" s="2175"/>
      <c r="O1" s="1459"/>
      <c r="P1" s="2175"/>
      <c r="Q1" s="2175"/>
      <c r="R1" s="2175"/>
      <c r="S1" s="1554" t="str">
        <f>IF(B10="北京市","北京市",C10)&amp;F10&amp;IF(结果表!G1="在建","出让国有建设用地使用权及在建建筑物房地产抵押价值",IF(结果表!G1="土地","出让国有建设用地使用权抵押价值",B9))</f>
        <v>北京市房地产抵押价值</v>
      </c>
      <c r="T1" s="1611"/>
      <c r="U1" s="1611"/>
      <c r="V1" s="1611"/>
      <c r="W1" s="1611"/>
      <c r="X1" s="1611"/>
      <c r="Y1" s="1611"/>
      <c r="Z1" s="1611"/>
      <c r="AA1" s="1611"/>
      <c r="AB1" s="1611"/>
    </row>
    <row r="2" spans="1:30">
      <c r="A2" s="2175" t="s">
        <v>2165</v>
      </c>
      <c r="B2" s="121"/>
      <c r="D2" s="2441"/>
      <c r="E2" s="2434"/>
      <c r="F2" s="2434"/>
      <c r="G2" s="2435"/>
      <c r="H2" s="2435"/>
      <c r="I2" s="2435"/>
      <c r="J2" s="2238"/>
      <c r="K2" s="2176"/>
      <c r="L2" s="2177"/>
      <c r="M2" s="2177"/>
      <c r="N2" s="2175"/>
      <c r="O2" s="1459"/>
      <c r="P2" s="2175"/>
      <c r="Q2" s="2175"/>
      <c r="R2" s="2175"/>
      <c r="S2" s="1554" t="str">
        <f>IF(B10="北京市","北京市",C10)&amp;F10&amp;IF(结果表!G1="在建","出让国有建设用地使用权及在建建筑物房地产",IF(结果表!G1="土地","出让国有建设用地使用权","房地产"))</f>
        <v>北京市房地产</v>
      </c>
      <c r="T2" s="1611"/>
      <c r="U2" s="1611"/>
      <c r="V2" s="1611"/>
      <c r="W2" s="1611"/>
      <c r="X2" s="1611"/>
      <c r="Y2" s="1611"/>
      <c r="Z2" s="1611"/>
      <c r="AA2" s="1611"/>
      <c r="AB2" s="1611"/>
    </row>
    <row r="3" spans="1:30">
      <c r="A3" s="293" t="s">
        <v>2166</v>
      </c>
      <c r="B3" s="2178">
        <v>45492</v>
      </c>
      <c r="C3" s="2179" t="s">
        <v>2167</v>
      </c>
      <c r="D3" s="2178">
        <f>B3</f>
        <v>45492</v>
      </c>
      <c r="E3" s="2435"/>
      <c r="F3" s="2435"/>
      <c r="G3" s="2435"/>
      <c r="H3" s="2435"/>
      <c r="I3" s="2435"/>
      <c r="J3" s="2238"/>
      <c r="K3" s="2176"/>
      <c r="L3" s="2177"/>
      <c r="M3" s="2177"/>
      <c r="N3" s="2175"/>
      <c r="O3" s="1459"/>
      <c r="P3" s="2175"/>
      <c r="Q3" s="2175"/>
      <c r="R3" s="2175"/>
      <c r="S3" s="1554"/>
      <c r="T3" s="1611"/>
      <c r="U3" s="1611"/>
      <c r="V3" s="1611"/>
      <c r="W3" s="1611"/>
      <c r="X3" s="1611"/>
      <c r="Y3" s="1611"/>
      <c r="Z3" s="1611"/>
      <c r="AA3" s="1611"/>
      <c r="AB3" s="1611"/>
    </row>
    <row r="4" spans="1:30" ht="13.5" thickBot="1">
      <c r="A4" s="1022" t="s">
        <v>2168</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59"/>
      <c r="P4" s="2175"/>
      <c r="Q4" s="2175"/>
      <c r="R4" s="2175"/>
      <c r="S4" s="1554"/>
      <c r="T4" s="1611"/>
      <c r="U4" s="1611"/>
      <c r="V4" s="1611"/>
      <c r="W4" s="1611"/>
      <c r="X4" s="1611"/>
      <c r="Y4" s="1611"/>
      <c r="Z4" s="1611"/>
      <c r="AA4" s="1611"/>
      <c r="AB4" s="1611"/>
    </row>
    <row r="5" spans="1:30" ht="13.5" thickTop="1">
      <c r="A5" s="2183" t="s">
        <v>2169</v>
      </c>
      <c r="B5" s="2184"/>
      <c r="C5" s="2185"/>
      <c r="D5" s="2186"/>
      <c r="E5" s="2435"/>
      <c r="F5" s="2435"/>
      <c r="G5" s="2435"/>
      <c r="H5" s="2435"/>
      <c r="I5" s="2435"/>
      <c r="J5" s="2238"/>
      <c r="K5" s="2182" t="str">
        <f>IF(F4="——","",IF(H4="——",F4&amp;"（注册号："&amp;G4&amp;")",CONCATENATE(F4,"（注册号：",G4,")、",H4,"（注册号：",I4,")")))</f>
        <v>（注册号：0)、（注册号：0)</v>
      </c>
      <c r="L5" s="2177"/>
      <c r="M5" s="2177"/>
      <c r="N5" s="2175"/>
      <c r="O5" s="1459"/>
      <c r="P5" s="2175"/>
      <c r="Q5" s="2175"/>
      <c r="R5" s="2175"/>
      <c r="S5" s="1611"/>
      <c r="T5" s="1611"/>
      <c r="U5" s="1611"/>
      <c r="V5" s="1611"/>
      <c r="W5" s="1611"/>
      <c r="X5" s="1611"/>
      <c r="Y5" s="1611"/>
      <c r="Z5" s="1611"/>
      <c r="AA5" s="1611"/>
      <c r="AB5" s="1611"/>
    </row>
    <row r="6" spans="1:30">
      <c r="A6" s="2187" t="s">
        <v>2170</v>
      </c>
      <c r="B6" s="2188"/>
      <c r="C6" s="2189"/>
      <c r="D6" s="2190"/>
      <c r="E6" s="2434"/>
      <c r="F6" s="2435"/>
      <c r="G6" s="2435"/>
      <c r="H6" s="2435"/>
      <c r="I6" s="2435"/>
      <c r="J6" s="2238"/>
      <c r="K6" s="2394" t="str">
        <f>IF(COUNTIF(B6,"*上海银行*"),"上海银行","")</f>
        <v/>
      </c>
      <c r="L6" s="2392"/>
      <c r="M6" s="2392"/>
      <c r="N6" s="2238"/>
      <c r="O6" s="1663"/>
      <c r="P6" s="2238"/>
      <c r="Q6" s="2238"/>
      <c r="R6" s="2238"/>
    </row>
    <row r="7" spans="1:30">
      <c r="A7" s="2187" t="s">
        <v>2171</v>
      </c>
      <c r="B7" s="2191"/>
      <c r="C7" s="2189"/>
      <c r="D7" s="2190"/>
      <c r="E7" s="2434"/>
      <c r="F7" s="2435"/>
      <c r="G7" s="2435"/>
      <c r="H7" s="2435"/>
      <c r="I7" s="2435"/>
      <c r="J7" s="2238"/>
      <c r="K7" s="2395"/>
      <c r="L7" s="2392"/>
      <c r="M7" s="2392"/>
      <c r="N7" s="2238"/>
      <c r="O7" s="1663"/>
      <c r="P7" s="2238"/>
      <c r="Q7" s="2238"/>
      <c r="R7" s="2238"/>
    </row>
    <row r="8" spans="1:30">
      <c r="A8" s="2192" t="s">
        <v>2172</v>
      </c>
      <c r="B8" s="2193" t="s">
        <v>3376</v>
      </c>
      <c r="C8" s="2194"/>
      <c r="D8" s="3255" t="s">
        <v>2173</v>
      </c>
      <c r="E8" s="2195" t="s">
        <v>3375</v>
      </c>
      <c r="F8" s="2196"/>
      <c r="G8" s="2435"/>
      <c r="H8" s="2435"/>
      <c r="I8" s="2435"/>
      <c r="J8" s="2238"/>
      <c r="K8" s="2393"/>
      <c r="L8" s="2392"/>
      <c r="M8" s="2392"/>
      <c r="N8" s="2238"/>
      <c r="O8" s="1663"/>
      <c r="P8" s="2238"/>
      <c r="Q8" s="2238"/>
      <c r="R8" s="2238"/>
    </row>
    <row r="9" spans="1:30" ht="13.5" thickBot="1">
      <c r="A9" s="2197" t="s">
        <v>2174</v>
      </c>
      <c r="B9" s="2198" t="s">
        <v>3375</v>
      </c>
      <c r="C9" s="2199"/>
      <c r="D9" s="3256"/>
      <c r="E9" s="2198" t="s">
        <v>43</v>
      </c>
      <c r="F9" s="2200"/>
      <c r="G9" s="2436"/>
      <c r="H9" s="2436"/>
      <c r="I9" s="2436"/>
      <c r="J9" s="2238"/>
      <c r="K9" s="2395"/>
      <c r="L9" s="2392"/>
      <c r="M9" s="2392"/>
      <c r="N9" s="2238"/>
      <c r="O9" s="1663"/>
      <c r="P9" s="2238"/>
      <c r="Q9" s="2238"/>
      <c r="R9" s="2238"/>
    </row>
    <row r="10" spans="1:30" ht="13.5" thickTop="1">
      <c r="A10" s="2201" t="s">
        <v>2175</v>
      </c>
      <c r="B10" s="2202" t="s">
        <v>3377</v>
      </c>
      <c r="C10" s="2203"/>
      <c r="D10" s="2186"/>
      <c r="E10" s="2204" t="s">
        <v>2176</v>
      </c>
      <c r="F10" s="2437"/>
      <c r="G10" s="2438"/>
      <c r="H10" s="2439"/>
      <c r="I10" s="2440"/>
      <c r="J10" s="2238"/>
      <c r="K10" s="2395"/>
      <c r="L10" s="2392"/>
      <c r="M10" s="2392"/>
      <c r="N10" s="2238"/>
      <c r="O10" s="1663"/>
      <c r="P10" s="2238"/>
      <c r="Q10" s="2238"/>
      <c r="R10" s="2238"/>
    </row>
    <row r="11" spans="1:30">
      <c r="A11" s="2205" t="s">
        <v>2177</v>
      </c>
      <c r="B11" s="2206" t="s">
        <v>3378</v>
      </c>
      <c r="C11" s="2207"/>
      <c r="D11" s="2208"/>
      <c r="E11" s="2175"/>
      <c r="F11" s="2175"/>
      <c r="G11" s="2175"/>
      <c r="H11" s="2175"/>
      <c r="I11" s="2175"/>
      <c r="J11" s="2795"/>
      <c r="K11" s="2392"/>
      <c r="L11" s="2392"/>
      <c r="M11" s="2392"/>
      <c r="N11" s="2238"/>
      <c r="O11" s="1663"/>
      <c r="P11" s="2238"/>
      <c r="Q11" s="2238"/>
      <c r="R11" s="2238"/>
    </row>
    <row r="12" spans="1:30">
      <c r="A12" s="2209" t="s">
        <v>2178</v>
      </c>
      <c r="B12" s="314" t="s">
        <v>2179</v>
      </c>
      <c r="C12" s="2210" t="s">
        <v>2180</v>
      </c>
      <c r="D12" s="2210" t="s">
        <v>2181</v>
      </c>
      <c r="E12" s="2210" t="s">
        <v>2182</v>
      </c>
      <c r="F12" s="2210" t="s">
        <v>2183</v>
      </c>
      <c r="G12" s="2210" t="s">
        <v>2184</v>
      </c>
      <c r="H12" s="2210" t="s">
        <v>2185</v>
      </c>
      <c r="I12" s="2794" t="s">
        <v>2565</v>
      </c>
      <c r="J12" s="2796"/>
      <c r="K12" s="2392"/>
      <c r="L12" s="2392"/>
      <c r="M12" s="2238"/>
      <c r="N12" s="1663"/>
      <c r="O12" s="2238"/>
      <c r="P12" s="2238"/>
      <c r="Q12" s="2238"/>
      <c r="AD12" s="1611"/>
    </row>
    <row r="13" spans="1:30">
      <c r="A13" s="3115" t="s">
        <v>3320</v>
      </c>
      <c r="B13" s="2211" t="s">
        <v>2186</v>
      </c>
      <c r="C13" s="799"/>
      <c r="D13" s="799">
        <v>56978</v>
      </c>
      <c r="E13" s="799">
        <v>60631</v>
      </c>
      <c r="F13" s="799">
        <v>60631</v>
      </c>
      <c r="G13" s="799"/>
      <c r="H13" s="799"/>
      <c r="I13" s="799"/>
      <c r="J13" s="2796"/>
      <c r="K13" s="2392"/>
      <c r="L13" s="2392"/>
      <c r="M13" s="2238"/>
      <c r="N13" s="1663"/>
      <c r="O13" s="2238"/>
      <c r="P13" s="2238"/>
      <c r="Q13" s="2238"/>
      <c r="AD13" s="1611"/>
    </row>
    <row r="14" spans="1:30">
      <c r="A14" s="1013"/>
      <c r="B14" s="2211" t="s">
        <v>2187</v>
      </c>
      <c r="C14" s="2212"/>
      <c r="D14" s="2212">
        <v>40</v>
      </c>
      <c r="E14" s="2212">
        <v>50</v>
      </c>
      <c r="F14" s="2212">
        <v>50</v>
      </c>
      <c r="G14" s="2212"/>
      <c r="H14" s="2212"/>
      <c r="I14" s="2212"/>
      <c r="J14" s="2797"/>
      <c r="K14" s="2392"/>
      <c r="L14" s="2392"/>
      <c r="M14" s="2238"/>
      <c r="N14" s="1663"/>
      <c r="O14" s="2238"/>
      <c r="P14" s="2238"/>
      <c r="Q14" s="2238"/>
      <c r="AD14" s="1611"/>
    </row>
    <row r="15" spans="1:30">
      <c r="A15" s="311"/>
      <c r="B15" s="2213" t="s">
        <v>2188</v>
      </c>
      <c r="C15" s="2214" t="str">
        <f>IF(A13="出让",IF(C13="","",ROUNDDOWN(MIN((C13-$D$3)/365,C14),2)),C14)</f>
        <v/>
      </c>
      <c r="D15" s="2214">
        <f>IF(A13="出让",IF(D13="","",ROUNDDOWN(MIN((D13-$D$3)/365,D14),2)),D14)</f>
        <v>31.46</v>
      </c>
      <c r="E15" s="2214">
        <f>IF(A13="出让",IF(E13="","",ROUNDDOWN(MIN((E13-$D$3)/365,E14),2)),E14)</f>
        <v>41.47</v>
      </c>
      <c r="F15" s="2214">
        <f>IF(A13="出让",IF(F13="","",ROUNDDOWN(MIN((F13-$D$3)/365,F14),2)),F14)</f>
        <v>41.47</v>
      </c>
      <c r="G15" s="2214" t="str">
        <f>IF(A13="出让",IF(G13="","",ROUNDDOWN(MIN((G13-$D$3)/365,G14),2)),G14)</f>
        <v/>
      </c>
      <c r="H15" s="2214" t="str">
        <f>IF(A13="出让",IF(H13="","",ROUNDDOWN(MIN((H13-$D$3)/365,H14),2)),H14)</f>
        <v/>
      </c>
      <c r="I15" s="2214" t="str">
        <f>IF(A13="出让",IF(I13="","",ROUNDDOWN(MIN((I13-$D$3)/365,I14),2)),I14)</f>
        <v/>
      </c>
      <c r="J15" s="2798"/>
      <c r="K15" s="1663"/>
      <c r="L15" s="1663"/>
      <c r="M15" s="2238"/>
      <c r="N15" s="1663"/>
      <c r="O15" s="2238"/>
      <c r="P15" s="2238"/>
      <c r="Q15" s="2238"/>
      <c r="AD15" s="1611"/>
    </row>
    <row r="16" spans="1:30">
      <c r="A16" s="2204" t="s">
        <v>2189</v>
      </c>
      <c r="B16" s="3262"/>
      <c r="C16" s="3263"/>
      <c r="D16" s="3264"/>
      <c r="E16" s="2215" t="s">
        <v>2190</v>
      </c>
      <c r="F16" s="3265"/>
      <c r="G16" s="3266"/>
      <c r="H16" s="3266"/>
      <c r="I16" s="3267"/>
      <c r="J16" s="2238"/>
      <c r="K16" s="2396"/>
      <c r="L16" s="1663"/>
      <c r="M16" s="1663"/>
      <c r="N16" s="2238"/>
      <c r="O16" s="1663"/>
      <c r="P16" s="2238"/>
      <c r="Q16" s="2238"/>
      <c r="R16" s="2238"/>
    </row>
    <row r="17" spans="1:28">
      <c r="A17" s="304" t="s">
        <v>2191</v>
      </c>
      <c r="B17" s="293" t="s">
        <v>2192</v>
      </c>
      <c r="C17" s="8">
        <f>'数据-汇总表'!E3</f>
        <v>232700.46000000008</v>
      </c>
      <c r="D17" s="1249" t="s">
        <v>2193</v>
      </c>
      <c r="E17" s="3268" t="s">
        <v>2194</v>
      </c>
      <c r="F17" s="3269"/>
      <c r="G17" s="3269"/>
      <c r="H17" s="3269"/>
      <c r="I17" s="3270"/>
      <c r="J17" s="2238"/>
      <c r="K17" s="2397"/>
      <c r="L17" s="1663"/>
      <c r="M17" s="1663"/>
      <c r="N17" s="2238"/>
      <c r="O17" s="1663"/>
      <c r="P17" s="2238"/>
      <c r="Q17" s="2238"/>
      <c r="R17" s="2238"/>
      <c r="S17" s="2238"/>
      <c r="T17" s="2238"/>
      <c r="U17" s="2238"/>
      <c r="V17" s="2238"/>
    </row>
    <row r="18" spans="1:28" ht="24.75" thickBot="1">
      <c r="A18" s="2216" t="s">
        <v>2195</v>
      </c>
      <c r="B18" s="1022" t="s">
        <v>2196</v>
      </c>
      <c r="C18" s="2217">
        <f>'数据-汇总表'!D3</f>
        <v>28700</v>
      </c>
      <c r="D18" s="1024" t="s">
        <v>2197</v>
      </c>
      <c r="E18" s="3271" t="s">
        <v>2198</v>
      </c>
      <c r="F18" s="3272"/>
      <c r="G18" s="3272"/>
      <c r="H18" s="3272"/>
      <c r="I18" s="3273"/>
      <c r="J18" s="2238"/>
      <c r="K18" s="2397"/>
      <c r="L18" s="1663"/>
      <c r="M18" s="1663"/>
      <c r="N18" s="2238"/>
      <c r="O18" s="1663"/>
      <c r="P18" s="2238"/>
      <c r="Q18" s="2238"/>
      <c r="R18" s="2238"/>
      <c r="S18" s="2238"/>
      <c r="T18" s="2238"/>
      <c r="U18" s="2238"/>
      <c r="V18" s="2238"/>
    </row>
    <row r="19" spans="1:28" ht="37.5" thickTop="1" thickBot="1">
      <c r="A19" s="318" t="s">
        <v>1052</v>
      </c>
      <c r="B19" s="298" t="s">
        <v>2199</v>
      </c>
      <c r="C19" s="1448"/>
      <c r="D19" s="1449" t="s">
        <v>2200</v>
      </c>
      <c r="E19" s="1450"/>
      <c r="F19" s="1451" t="str">
        <f>IF(AND(C19="是",E19="否"),"是否提供他项权证或相关说明","")</f>
        <v/>
      </c>
      <c r="G19" s="1452"/>
      <c r="H19" s="2435"/>
      <c r="I19" s="2435"/>
      <c r="J19" s="2238"/>
      <c r="K19" s="2395"/>
      <c r="L19" s="2392"/>
      <c r="M19" s="2392"/>
      <c r="N19" s="2238"/>
      <c r="O19" s="1663"/>
      <c r="P19" s="2238"/>
      <c r="Q19" s="2238"/>
      <c r="R19" s="2238"/>
      <c r="S19" s="2238"/>
      <c r="T19" s="2238"/>
      <c r="U19" s="2238"/>
      <c r="V19" s="2238"/>
    </row>
    <row r="20" spans="1:28">
      <c r="A20" s="2410" t="s">
        <v>2201</v>
      </c>
      <c r="B20" s="3258" t="s">
        <v>2202</v>
      </c>
      <c r="C20" s="3259"/>
      <c r="D20" s="3260" t="s">
        <v>2203</v>
      </c>
      <c r="E20" s="3261"/>
      <c r="F20" s="2423" t="s">
        <v>1053</v>
      </c>
      <c r="G20" s="2435"/>
      <c r="H20" s="2435"/>
      <c r="I20" s="2435"/>
      <c r="J20" s="2238"/>
      <c r="K20" s="3257"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59"/>
      <c r="P20" s="2175"/>
      <c r="Q20" s="2175"/>
      <c r="R20" s="2175"/>
      <c r="S20" s="2175"/>
      <c r="T20" s="2175"/>
      <c r="U20" s="2175"/>
      <c r="V20" s="2175"/>
      <c r="W20" s="1611"/>
      <c r="X20" s="1611"/>
      <c r="Y20" s="1611"/>
      <c r="Z20" s="1611"/>
      <c r="AA20" s="1611"/>
      <c r="AB20" s="1611"/>
    </row>
    <row r="21" spans="1:28" ht="24.75" thickBot="1">
      <c r="A21" s="2410"/>
      <c r="B21" s="2411" t="s">
        <v>2205</v>
      </c>
      <c r="C21" s="2289" t="s">
        <v>1054</v>
      </c>
      <c r="D21" s="1453" t="s">
        <v>2206</v>
      </c>
      <c r="E21" s="2412" t="s">
        <v>1054</v>
      </c>
      <c r="F21" s="2424"/>
      <c r="G21" s="2435"/>
      <c r="H21" s="2435"/>
      <c r="I21" s="2435"/>
      <c r="J21" s="2238"/>
      <c r="K21" s="325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59"/>
      <c r="P21" s="2175"/>
      <c r="Q21" s="2175"/>
      <c r="R21" s="2175"/>
      <c r="S21" s="2175"/>
      <c r="T21" s="2175"/>
      <c r="U21" s="2175"/>
      <c r="V21" s="2175"/>
      <c r="W21" s="1611"/>
      <c r="X21" s="1611"/>
      <c r="Y21" s="1611"/>
      <c r="Z21" s="1611"/>
      <c r="AA21" s="1611"/>
      <c r="AB21" s="1611"/>
    </row>
    <row r="22" spans="1:28" ht="24.75" thickBot="1">
      <c r="A22" s="2410"/>
      <c r="B22" s="2413" t="s">
        <v>2207</v>
      </c>
      <c r="C22" s="2289" t="s">
        <v>1055</v>
      </c>
      <c r="D22" s="2435"/>
      <c r="E22" s="2435"/>
      <c r="F22" s="2435"/>
      <c r="G22" s="2435"/>
      <c r="H22" s="2435"/>
      <c r="I22" s="2435"/>
      <c r="J22" s="2238"/>
      <c r="K22" s="325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59"/>
      <c r="P22" s="2175"/>
      <c r="Q22" s="2175"/>
      <c r="R22" s="2175"/>
      <c r="S22" s="2175"/>
      <c r="T22" s="2175"/>
      <c r="U22" s="2175"/>
      <c r="V22" s="2175"/>
      <c r="W22" s="1611"/>
      <c r="X22" s="1611"/>
      <c r="Y22" s="1611"/>
      <c r="Z22" s="1611"/>
      <c r="AA22" s="1611"/>
      <c r="AB22" s="1611"/>
    </row>
    <row r="23" spans="1:28">
      <c r="A23" s="2414" t="s">
        <v>2208</v>
      </c>
      <c r="B23" s="2286" t="s">
        <v>2209</v>
      </c>
      <c r="C23" s="2415"/>
      <c r="D23" s="2416" t="s">
        <v>2209</v>
      </c>
      <c r="E23" s="2417"/>
      <c r="F23" s="2435"/>
      <c r="G23" s="2435"/>
      <c r="H23" s="2435"/>
      <c r="I23" s="2435"/>
      <c r="J23" s="2238"/>
      <c r="K23" s="2394"/>
      <c r="L23" s="120"/>
      <c r="M23" s="2392"/>
      <c r="N23" s="2238"/>
      <c r="O23" s="1663"/>
      <c r="P23" s="2238"/>
      <c r="Q23" s="2238"/>
      <c r="R23" s="2238"/>
      <c r="S23" s="2238"/>
      <c r="T23" s="2238"/>
      <c r="U23" s="2238"/>
      <c r="V23" s="2238"/>
    </row>
    <row r="24" spans="1:28">
      <c r="A24" s="2414"/>
      <c r="B24" s="2286" t="s">
        <v>1056</v>
      </c>
      <c r="C24" s="2264"/>
      <c r="D24" s="2414" t="s">
        <v>1056</v>
      </c>
      <c r="E24" s="2418"/>
      <c r="F24" s="2435"/>
      <c r="G24" s="2435"/>
      <c r="H24" s="2435"/>
      <c r="I24" s="2435"/>
      <c r="J24" s="2238"/>
      <c r="K24" s="2394"/>
      <c r="L24" s="120"/>
      <c r="M24" s="2392"/>
      <c r="N24" s="2238"/>
      <c r="O24" s="1663"/>
      <c r="P24" s="2238"/>
      <c r="Q24" s="2238"/>
      <c r="R24" s="2238"/>
      <c r="S24" s="2238"/>
      <c r="T24" s="2238"/>
      <c r="U24" s="2238"/>
      <c r="V24" s="2238"/>
    </row>
    <row r="25" spans="1:28">
      <c r="A25" s="2414"/>
      <c r="B25" s="2286" t="s">
        <v>1057</v>
      </c>
      <c r="C25" s="2264"/>
      <c r="D25" s="2414" t="s">
        <v>1057</v>
      </c>
      <c r="E25" s="2418"/>
      <c r="F25" s="2435"/>
      <c r="G25" s="2435"/>
      <c r="H25" s="2435"/>
      <c r="I25" s="2435"/>
      <c r="J25" s="2238"/>
      <c r="K25" s="2395"/>
      <c r="L25" s="2392"/>
      <c r="M25" s="2392"/>
      <c r="N25" s="2238"/>
      <c r="O25" s="1663"/>
      <c r="P25" s="2238"/>
      <c r="Q25" s="2238"/>
      <c r="R25" s="2238"/>
      <c r="S25" s="2238"/>
      <c r="T25" s="2238"/>
      <c r="U25" s="2238"/>
      <c r="V25" s="2238"/>
    </row>
    <row r="26" spans="1:28" ht="13.5" thickBot="1">
      <c r="A26" s="2419"/>
      <c r="B26" s="2420" t="s">
        <v>1058</v>
      </c>
      <c r="C26" s="2421"/>
      <c r="D26" s="2419" t="s">
        <v>1058</v>
      </c>
      <c r="E26" s="2422"/>
      <c r="F26" s="2436"/>
      <c r="G26" s="2436"/>
      <c r="H26" s="2436"/>
      <c r="I26" s="2436"/>
      <c r="J26" s="2238"/>
      <c r="K26" s="2395"/>
      <c r="L26" s="2392"/>
      <c r="M26" s="2392"/>
      <c r="N26" s="2238"/>
      <c r="O26" s="1663"/>
      <c r="P26" s="2238"/>
      <c r="Q26" s="2238"/>
      <c r="R26" s="2238"/>
      <c r="S26" s="2238"/>
      <c r="T26" s="2238"/>
      <c r="U26" s="2238"/>
      <c r="V26" s="2238"/>
    </row>
    <row r="27" spans="1:28" ht="13.5" thickTop="1">
      <c r="A27" s="3246" t="s">
        <v>2210</v>
      </c>
      <c r="B27" s="311" t="s">
        <v>2211</v>
      </c>
      <c r="C27" s="2218"/>
      <c r="D27" s="2219"/>
      <c r="E27" s="2435"/>
      <c r="F27" s="2435"/>
      <c r="G27" s="2435"/>
      <c r="H27" s="2435"/>
      <c r="I27" s="2435"/>
      <c r="J27" s="2238"/>
      <c r="K27" s="2396"/>
      <c r="L27" s="1663"/>
      <c r="M27" s="1663"/>
      <c r="N27" s="2238"/>
      <c r="O27" s="1663"/>
      <c r="P27" s="2238"/>
      <c r="Q27" s="2238"/>
      <c r="R27" s="2238"/>
      <c r="S27" s="2238"/>
      <c r="T27" s="2238"/>
      <c r="U27" s="2238"/>
      <c r="V27" s="2238"/>
    </row>
    <row r="28" spans="1:28">
      <c r="A28" s="3246"/>
      <c r="B28" s="293" t="s">
        <v>2212</v>
      </c>
      <c r="C28" s="2220"/>
      <c r="D28" s="2221"/>
      <c r="E28" s="2435"/>
      <c r="F28" s="2435"/>
      <c r="G28" s="2435"/>
      <c r="H28" s="2435"/>
      <c r="I28" s="2435"/>
      <c r="J28" s="2238"/>
      <c r="K28" s="2395"/>
      <c r="L28" s="2392"/>
      <c r="M28" s="2392"/>
      <c r="N28" s="2238"/>
      <c r="O28" s="1663"/>
      <c r="P28" s="2238"/>
      <c r="Q28" s="2238"/>
      <c r="R28" s="2238"/>
      <c r="S28" s="2238"/>
      <c r="T28" s="2238"/>
      <c r="U28" s="2238"/>
      <c r="V28" s="2238"/>
    </row>
    <row r="29" spans="1:28">
      <c r="A29" s="3246"/>
      <c r="B29" s="293" t="s">
        <v>2213</v>
      </c>
      <c r="C29" s="2222"/>
      <c r="D29" s="2223"/>
      <c r="E29" s="2435"/>
      <c r="F29" s="2435"/>
      <c r="G29" s="2435"/>
      <c r="H29" s="2435"/>
      <c r="I29" s="2435"/>
      <c r="J29" s="2238"/>
      <c r="K29" s="2395"/>
      <c r="L29" s="2392"/>
      <c r="M29" s="2392"/>
      <c r="N29" s="2238"/>
      <c r="O29" s="1663"/>
      <c r="P29" s="2238"/>
      <c r="Q29" s="2238"/>
      <c r="R29" s="2238"/>
      <c r="S29" s="2238"/>
      <c r="T29" s="2238"/>
      <c r="U29" s="2238"/>
      <c r="V29" s="2238"/>
    </row>
    <row r="30" spans="1:28">
      <c r="A30" s="3247"/>
      <c r="B30" s="293" t="s">
        <v>2214</v>
      </c>
      <c r="C30" s="3248"/>
      <c r="D30" s="3249"/>
      <c r="E30" s="2435"/>
      <c r="F30" s="2435"/>
      <c r="G30" s="2435"/>
      <c r="H30" s="2435"/>
      <c r="I30" s="2435"/>
      <c r="J30" s="2238"/>
      <c r="K30" s="2395"/>
      <c r="L30" s="2392"/>
      <c r="M30" s="2392"/>
      <c r="N30" s="2238"/>
      <c r="O30" s="1663"/>
      <c r="P30" s="2238"/>
      <c r="Q30" s="2238"/>
      <c r="R30" s="2238"/>
      <c r="S30" s="2238"/>
      <c r="T30" s="2238"/>
      <c r="U30" s="2238"/>
      <c r="V30" s="2238"/>
    </row>
    <row r="31" spans="1:28">
      <c r="A31" s="3250" t="s">
        <v>2215</v>
      </c>
      <c r="B31" s="2224"/>
      <c r="C31" s="12" t="str">
        <f>IF(B31="现房","成新及维护状况正常否",IF(B31="在建","工程状态是否正常",IF(B31="土地","是否闲置","-")))</f>
        <v>-</v>
      </c>
      <c r="D31" s="1274"/>
      <c r="E31" s="2225"/>
      <c r="F31" s="2435"/>
      <c r="G31" s="2435"/>
      <c r="H31" s="2435"/>
      <c r="I31" s="2435"/>
      <c r="J31" s="2238"/>
      <c r="K31" s="2394"/>
      <c r="L31" s="2392"/>
      <c r="M31" s="2392"/>
      <c r="N31" s="2238"/>
      <c r="O31" s="1663"/>
      <c r="P31" s="2238"/>
      <c r="Q31" s="2238"/>
      <c r="R31" s="2238"/>
      <c r="S31" s="2238"/>
      <c r="T31" s="2238"/>
      <c r="U31" s="2238"/>
      <c r="V31" s="2238"/>
    </row>
    <row r="32" spans="1:28">
      <c r="A32" s="3251"/>
      <c r="B32" s="2224"/>
      <c r="C32" s="12" t="str">
        <f>IF(B32="现房","成新及维护状况是否正常",IF(B32="在建","工程状态是否正常",IF(B32="土地","是否闲置","-")))</f>
        <v>-</v>
      </c>
      <c r="D32" s="1274"/>
      <c r="E32" s="2225"/>
      <c r="F32" s="2435"/>
      <c r="G32" s="2435"/>
      <c r="H32" s="2435"/>
      <c r="I32" s="2435"/>
      <c r="J32" s="2238"/>
      <c r="K32" s="2395"/>
      <c r="L32" s="2392"/>
      <c r="M32" s="2392"/>
      <c r="N32" s="2238"/>
      <c r="O32" s="1663"/>
      <c r="P32" s="2238"/>
      <c r="Q32" s="2238"/>
      <c r="R32" s="2238"/>
      <c r="S32" s="2238"/>
      <c r="T32" s="2238"/>
      <c r="U32" s="2238"/>
      <c r="V32" s="2238"/>
    </row>
    <row r="33" spans="1:30">
      <c r="A33" s="3251"/>
      <c r="B33" s="2227"/>
      <c r="C33" s="1471" t="str">
        <f>IF(B33="现房","成新及维护状况是否正常",IF(B33="在建","工程状态是否正常",IF(B33="土地","是否闲置","-")))</f>
        <v>-</v>
      </c>
      <c r="D33" s="1267"/>
      <c r="E33" s="2228"/>
      <c r="F33" s="2435"/>
      <c r="G33" s="2435"/>
      <c r="H33" s="2435"/>
      <c r="I33" s="2435"/>
      <c r="J33" s="2238"/>
      <c r="K33" s="2395"/>
      <c r="L33" s="2392"/>
      <c r="M33" s="2392"/>
      <c r="N33" s="2238"/>
      <c r="O33" s="1663"/>
      <c r="P33" s="2238"/>
      <c r="Q33" s="2238"/>
      <c r="R33" s="2238"/>
      <c r="S33" s="2238"/>
      <c r="T33" s="2238"/>
      <c r="U33" s="2238"/>
      <c r="V33" s="2238"/>
    </row>
    <row r="34" spans="1:30">
      <c r="A34" s="293" t="s">
        <v>2216</v>
      </c>
      <c r="B34" s="1863"/>
      <c r="C34" s="1863"/>
      <c r="D34" s="1863"/>
      <c r="E34" s="1863"/>
      <c r="F34" s="1863"/>
      <c r="G34" s="1863"/>
      <c r="H34" s="1863"/>
      <c r="I34" s="2435"/>
      <c r="J34" s="2238"/>
      <c r="K34" s="8">
        <f>COUNTIF(B34:H34,"——")</f>
        <v>0</v>
      </c>
      <c r="L34" s="314" t="s">
        <v>2217</v>
      </c>
      <c r="M34" s="314" t="s">
        <v>2218</v>
      </c>
      <c r="N34" s="314" t="s">
        <v>2219</v>
      </c>
      <c r="O34" s="314" t="s">
        <v>2220</v>
      </c>
      <c r="P34" s="314" t="s">
        <v>2221</v>
      </c>
      <c r="Q34" s="314" t="s">
        <v>2222</v>
      </c>
      <c r="R34" s="314" t="s">
        <v>2223</v>
      </c>
      <c r="S34" s="3245" t="s">
        <v>2224</v>
      </c>
      <c r="T34" s="314" t="str">
        <f>NUMBERSTRING(7-K34,1)&amp;"通"</f>
        <v>七通</v>
      </c>
      <c r="U34" s="2238"/>
      <c r="V34" s="2238"/>
    </row>
    <row r="35" spans="1:30">
      <c r="A35" s="2229"/>
      <c r="B35" s="3245" t="s">
        <v>2225</v>
      </c>
      <c r="C35" s="3245"/>
      <c r="D35" s="3245"/>
      <c r="E35" s="3245"/>
      <c r="F35" s="8">
        <f>C10</f>
        <v>0</v>
      </c>
      <c r="G35" s="2435"/>
      <c r="H35" s="2435"/>
      <c r="I35" s="2435"/>
      <c r="J35" s="2238"/>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5"/>
      <c r="T35" s="137" t="str">
        <f>IF(T34="一通",L35,IF(T34="二通",M35,IF(T34="三通",N35,IF(T34="四通",O35,IF(T34="五通",P35,IF(T34="六通",Q35,R35))))))</f>
        <v>、、、、、、</v>
      </c>
      <c r="U35" s="2238"/>
      <c r="V35" s="2238"/>
    </row>
    <row r="36" spans="1:30">
      <c r="A36" s="2176"/>
      <c r="B36" s="8" t="s">
        <v>2181</v>
      </c>
      <c r="C36" s="8" t="s">
        <v>2182</v>
      </c>
      <c r="D36" s="8" t="s">
        <v>2180</v>
      </c>
      <c r="E36" s="8" t="s">
        <v>2185</v>
      </c>
      <c r="F36" s="2794" t="s">
        <v>2568</v>
      </c>
      <c r="G36" s="2435"/>
      <c r="H36" s="2435"/>
      <c r="I36" s="2435"/>
      <c r="J36" s="2238"/>
      <c r="K36" s="2395"/>
      <c r="L36" s="2392"/>
      <c r="M36" s="2392"/>
      <c r="N36" s="2238"/>
      <c r="O36" s="1663"/>
      <c r="P36" s="2238"/>
      <c r="Q36" s="2238"/>
      <c r="R36" s="2238"/>
      <c r="S36" s="2238"/>
      <c r="T36" s="2238"/>
      <c r="U36" s="2238"/>
      <c r="V36" s="2238"/>
    </row>
    <row r="37" spans="1:30">
      <c r="A37" s="2408" t="s">
        <v>2226</v>
      </c>
      <c r="B37" s="2230" t="s">
        <v>304</v>
      </c>
      <c r="C37" s="2230" t="s">
        <v>304</v>
      </c>
      <c r="D37" s="2230"/>
      <c r="E37" s="2230"/>
      <c r="F37" s="2230"/>
      <c r="G37" s="2435"/>
      <c r="H37" s="2435"/>
      <c r="I37" s="2435"/>
      <c r="J37" s="2238"/>
      <c r="K37" s="2395"/>
      <c r="L37" s="2392"/>
      <c r="M37" s="2392"/>
      <c r="N37" s="2238"/>
      <c r="O37" s="1663"/>
      <c r="P37" s="2238"/>
      <c r="Q37" s="2238"/>
      <c r="R37" s="2238"/>
      <c r="S37" s="2238"/>
      <c r="T37" s="2238"/>
      <c r="U37" s="2238"/>
      <c r="V37" s="2238"/>
    </row>
    <row r="38" spans="1:30" ht="13.5" thickBot="1">
      <c r="A38" s="2409" t="s">
        <v>2227</v>
      </c>
      <c r="B38" s="2231" t="s">
        <v>288</v>
      </c>
      <c r="C38" s="2231" t="s">
        <v>288</v>
      </c>
      <c r="D38" s="2231"/>
      <c r="E38" s="2231"/>
      <c r="F38" s="2231"/>
      <c r="G38" s="2436"/>
      <c r="H38" s="2436"/>
      <c r="I38" s="2436"/>
      <c r="J38" s="2238"/>
      <c r="K38" s="2395"/>
      <c r="L38" s="2392"/>
      <c r="M38" s="2392"/>
      <c r="N38" s="2238"/>
      <c r="O38" s="1663"/>
      <c r="P38" s="2238"/>
      <c r="Q38" s="2238"/>
      <c r="R38" s="2238"/>
      <c r="S38" s="2238"/>
      <c r="T38" s="2238"/>
      <c r="U38" s="2238"/>
      <c r="V38" s="2238"/>
    </row>
    <row r="39" spans="1:30" s="2234" customFormat="1" ht="14.25" thickTop="1" thickBot="1">
      <c r="A39" s="2232" t="s">
        <v>2228</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59"/>
      <c r="J40" s="2238"/>
      <c r="K40" s="2394"/>
      <c r="L40" s="1663"/>
      <c r="M40" s="1663"/>
      <c r="N40" s="2238"/>
      <c r="O40" s="1663"/>
      <c r="P40" s="2238"/>
      <c r="Q40" s="2238"/>
      <c r="R40" s="2238"/>
      <c r="S40" s="2238"/>
      <c r="T40" s="2238"/>
      <c r="U40" s="2238"/>
      <c r="V40" s="2238"/>
    </row>
    <row r="41" spans="1:30">
      <c r="A41" s="2235" t="s">
        <v>2229</v>
      </c>
      <c r="B41" s="1620"/>
      <c r="C41" s="1274"/>
      <c r="D41" s="2175"/>
      <c r="E41" s="2175"/>
      <c r="F41" s="2175"/>
      <c r="G41" s="2175"/>
      <c r="H41" s="2175"/>
      <c r="I41" s="1459"/>
      <c r="J41" s="2238"/>
      <c r="K41" s="2395"/>
      <c r="L41" s="2392"/>
      <c r="M41" s="2392"/>
      <c r="N41" s="2238"/>
      <c r="O41" s="1663"/>
      <c r="P41" s="2238"/>
      <c r="Q41" s="2238"/>
      <c r="R41" s="2238"/>
      <c r="S41" s="2238"/>
      <c r="T41" s="2238"/>
      <c r="U41" s="2238"/>
      <c r="V41" s="2238"/>
    </row>
    <row r="42" spans="1:30" ht="25.5">
      <c r="A42" s="314"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8"/>
      <c r="T42" s="2238"/>
      <c r="U42" s="2238"/>
      <c r="V42" s="2238"/>
    </row>
    <row r="43" spans="1:30" s="1609" customFormat="1">
      <c r="A43" s="1455"/>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09" customFormat="1">
      <c r="A44" s="1455"/>
      <c r="B44" s="1455"/>
      <c r="C44" s="626"/>
      <c r="D44" s="626"/>
      <c r="E44" s="626"/>
      <c r="F44" s="626"/>
      <c r="G44" s="626"/>
      <c r="H44" s="626"/>
      <c r="I44" s="626"/>
      <c r="J44" s="2236"/>
      <c r="K44" s="2237"/>
      <c r="L44" s="2237"/>
      <c r="M44" s="626"/>
      <c r="N44" s="626"/>
      <c r="O44" s="626"/>
      <c r="P44" s="626"/>
      <c r="Q44" s="626"/>
      <c r="R44" s="626"/>
      <c r="S44" s="2238"/>
      <c r="T44" s="2238"/>
      <c r="U44" s="2238"/>
      <c r="V44" s="2238"/>
    </row>
    <row r="45" spans="1:30" s="1609" customFormat="1">
      <c r="A45" s="1455"/>
      <c r="B45" s="1455"/>
      <c r="C45" s="626"/>
      <c r="D45" s="626"/>
      <c r="E45" s="626"/>
      <c r="F45" s="626"/>
      <c r="G45" s="626"/>
      <c r="H45" s="626"/>
      <c r="I45" s="626"/>
      <c r="J45" s="2236"/>
      <c r="K45" s="2237"/>
      <c r="L45" s="2237"/>
      <c r="M45" s="626"/>
      <c r="N45" s="626"/>
      <c r="O45" s="626"/>
      <c r="P45" s="626"/>
      <c r="Q45" s="626"/>
      <c r="R45" s="626"/>
      <c r="S45" s="2238"/>
      <c r="T45" s="2238"/>
      <c r="U45" s="2238"/>
      <c r="V45" s="2238"/>
    </row>
    <row r="46" spans="1:30" s="1609" customFormat="1">
      <c r="A46" s="1455"/>
      <c r="B46" s="1455"/>
      <c r="C46" s="626"/>
      <c r="D46" s="626"/>
      <c r="E46" s="626"/>
      <c r="F46" s="626"/>
      <c r="G46" s="626"/>
      <c r="H46" s="626"/>
      <c r="I46" s="626"/>
      <c r="J46" s="2236"/>
      <c r="K46" s="2237"/>
      <c r="L46" s="2237"/>
      <c r="M46" s="626"/>
      <c r="N46" s="626"/>
      <c r="O46" s="626"/>
      <c r="P46" s="626"/>
      <c r="Q46" s="626"/>
      <c r="R46" s="626"/>
      <c r="S46" s="2238"/>
      <c r="T46" s="2238"/>
      <c r="U46" s="2238"/>
      <c r="V46" s="2238"/>
    </row>
    <row r="47" spans="1:30" s="1609" customFormat="1">
      <c r="A47" s="1455"/>
      <c r="B47" s="1455"/>
      <c r="C47" s="626"/>
      <c r="D47" s="626"/>
      <c r="E47" s="626"/>
      <c r="F47" s="626"/>
      <c r="G47" s="626"/>
      <c r="H47" s="626"/>
      <c r="I47" s="626"/>
      <c r="J47" s="2236"/>
      <c r="K47" s="2237"/>
      <c r="L47" s="2237"/>
      <c r="M47" s="626"/>
      <c r="N47" s="626"/>
      <c r="O47" s="626"/>
      <c r="P47" s="626"/>
      <c r="Q47" s="626"/>
      <c r="R47" s="626"/>
      <c r="S47" s="2238"/>
      <c r="T47" s="2238"/>
      <c r="U47" s="2238"/>
      <c r="V47" s="2238"/>
    </row>
    <row r="48" spans="1:30" s="1609" customFormat="1">
      <c r="A48" s="1455"/>
      <c r="B48" s="1455"/>
      <c r="C48" s="626"/>
      <c r="D48" s="626"/>
      <c r="E48" s="626"/>
      <c r="F48" s="626"/>
      <c r="G48" s="626"/>
      <c r="H48" s="626"/>
      <c r="I48" s="626"/>
      <c r="J48" s="2236"/>
      <c r="K48" s="2237"/>
      <c r="L48" s="2237"/>
      <c r="M48" s="626"/>
      <c r="N48" s="626"/>
      <c r="O48" s="626"/>
      <c r="P48" s="626"/>
      <c r="Q48" s="626"/>
      <c r="R48" s="626"/>
      <c r="S48" s="2238"/>
      <c r="T48" s="2238"/>
      <c r="U48" s="2238"/>
      <c r="V48" s="2238"/>
    </row>
    <row r="49" spans="1:22" s="1609" customFormat="1">
      <c r="A49" s="1455"/>
      <c r="B49" s="1455"/>
      <c r="C49" s="626"/>
      <c r="D49" s="626"/>
      <c r="E49" s="626"/>
      <c r="F49" s="626"/>
      <c r="G49" s="626"/>
      <c r="H49" s="626"/>
      <c r="I49" s="626"/>
      <c r="J49" s="2236"/>
      <c r="K49" s="2237"/>
      <c r="L49" s="2237"/>
      <c r="M49" s="626"/>
      <c r="N49" s="626"/>
      <c r="O49" s="626"/>
      <c r="P49" s="626"/>
      <c r="Q49" s="626"/>
      <c r="R49" s="626"/>
      <c r="S49" s="2238"/>
      <c r="T49" s="2238"/>
      <c r="U49" s="2238"/>
      <c r="V49" s="2238"/>
    </row>
    <row r="50" spans="1:22" s="1609" customFormat="1">
      <c r="A50" s="1455"/>
      <c r="B50" s="1455"/>
      <c r="C50" s="626"/>
      <c r="D50" s="626"/>
      <c r="E50" s="626"/>
      <c r="F50" s="626"/>
      <c r="G50" s="626"/>
      <c r="H50" s="626"/>
      <c r="I50" s="626"/>
      <c r="J50" s="2236"/>
      <c r="K50" s="2237"/>
      <c r="L50" s="2237"/>
      <c r="M50" s="626"/>
      <c r="N50" s="626"/>
      <c r="O50" s="626"/>
      <c r="P50" s="626"/>
      <c r="Q50" s="626"/>
      <c r="R50" s="626"/>
      <c r="S50" s="2238"/>
      <c r="T50" s="2238"/>
      <c r="U50" s="2238"/>
      <c r="V50" s="2238"/>
    </row>
    <row r="51" spans="1:22" s="1609" customFormat="1">
      <c r="A51" s="1455"/>
      <c r="B51" s="1455"/>
      <c r="C51" s="626"/>
      <c r="D51" s="626"/>
      <c r="E51" s="626"/>
      <c r="F51" s="626"/>
      <c r="G51" s="626"/>
      <c r="H51" s="626"/>
      <c r="I51" s="626"/>
      <c r="J51" s="2236"/>
      <c r="K51" s="2237"/>
      <c r="L51" s="2237"/>
      <c r="M51" s="626"/>
      <c r="N51" s="626"/>
      <c r="O51" s="626"/>
      <c r="P51" s="626"/>
      <c r="Q51" s="626"/>
      <c r="R51" s="626"/>
    </row>
    <row r="52" spans="1:22" s="1609" customFormat="1">
      <c r="A52" s="1455"/>
      <c r="B52" s="1455"/>
      <c r="C52" s="1455"/>
      <c r="D52" s="1455"/>
      <c r="E52" s="1455"/>
      <c r="F52" s="626"/>
      <c r="G52" s="1455"/>
      <c r="H52" s="1455"/>
      <c r="I52" s="1455"/>
      <c r="J52" s="2239"/>
      <c r="K52" s="2237"/>
      <c r="L52" s="2237"/>
      <c r="M52" s="2237"/>
      <c r="N52" s="1455"/>
      <c r="O52" s="1455"/>
      <c r="P52" s="1455"/>
      <c r="Q52" s="1455"/>
      <c r="R52" s="1455"/>
    </row>
    <row r="53" spans="1:22" s="1609" customFormat="1">
      <c r="A53" s="1455"/>
      <c r="B53" s="1455"/>
      <c r="C53" s="1455"/>
      <c r="D53" s="1455"/>
      <c r="E53" s="1455"/>
      <c r="F53" s="626"/>
      <c r="G53" s="1455"/>
      <c r="H53" s="1455"/>
      <c r="I53" s="1455"/>
      <c r="J53" s="2239"/>
      <c r="K53" s="2237"/>
      <c r="L53" s="2237"/>
      <c r="M53" s="2237"/>
      <c r="N53" s="1455"/>
      <c r="O53" s="1455"/>
      <c r="P53" s="1455"/>
      <c r="Q53" s="1455"/>
      <c r="R53" s="1455"/>
    </row>
    <row r="54" spans="1:22" s="1609" customFormat="1">
      <c r="A54" s="1455"/>
      <c r="B54" s="1455"/>
      <c r="C54" s="1455"/>
      <c r="D54" s="1455"/>
      <c r="E54" s="1455"/>
      <c r="F54" s="626"/>
      <c r="G54" s="1455"/>
      <c r="H54" s="1455"/>
      <c r="I54" s="1455"/>
      <c r="J54" s="2239"/>
      <c r="K54" s="2237"/>
      <c r="L54" s="2237"/>
      <c r="M54" s="2237"/>
      <c r="N54" s="1455"/>
      <c r="O54" s="1455"/>
      <c r="P54" s="1455"/>
      <c r="Q54" s="1455"/>
      <c r="R54" s="1455"/>
    </row>
    <row r="55" spans="1:22" s="1609" customFormat="1">
      <c r="A55" s="1455"/>
      <c r="B55" s="1455"/>
      <c r="C55" s="1455"/>
      <c r="D55" s="1455"/>
      <c r="E55" s="1455"/>
      <c r="F55" s="626"/>
      <c r="G55" s="1455"/>
      <c r="H55" s="1455"/>
      <c r="I55" s="1455"/>
      <c r="J55" s="2239"/>
      <c r="K55" s="2237"/>
      <c r="L55" s="2237"/>
      <c r="M55" s="2237"/>
      <c r="N55" s="1455"/>
      <c r="O55" s="1455"/>
      <c r="P55" s="1455"/>
      <c r="Q55" s="1455"/>
      <c r="R55" s="1455"/>
    </row>
    <row r="56" spans="1:22" s="1609" customFormat="1">
      <c r="A56" s="1455"/>
      <c r="B56" s="1455"/>
      <c r="C56" s="1455"/>
      <c r="D56" s="1455"/>
      <c r="E56" s="1455"/>
      <c r="F56" s="626"/>
      <c r="G56" s="1455"/>
      <c r="H56" s="1455"/>
      <c r="I56" s="1455"/>
      <c r="J56" s="2239"/>
      <c r="K56" s="2237"/>
      <c r="L56" s="2237"/>
      <c r="M56" s="2237"/>
      <c r="N56" s="1455"/>
      <c r="O56" s="1455"/>
      <c r="P56" s="1455"/>
      <c r="Q56" s="1455"/>
      <c r="R56" s="14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1400-000000000000}">
      <formula1>"自然人,企业"</formula1>
    </dataValidation>
    <dataValidation type="list" allowBlank="1" showInputMessage="1" showErrorMessage="1" sqref="B10" xr:uid="{00000000-0002-0000-1400-000001000000}">
      <formula1>"北京市,其他："</formula1>
    </dataValidation>
    <dataValidation type="list" allowBlank="1" showInputMessage="1" showErrorMessage="1" sqref="C27" xr:uid="{00000000-0002-0000-1400-000002000000}">
      <formula1>"居住项目,商业项目,办公项目,工业项目,综合项目（居住、综合）,综合项目（商业、办公）"</formula1>
    </dataValidation>
    <dataValidation type="list" allowBlank="1" showInputMessage="1" showErrorMessage="1" sqref="C29" xr:uid="{00000000-0002-0000-1400-000003000000}">
      <formula1>"否,全部为保障性住房,含保障性住房"</formula1>
    </dataValidation>
    <dataValidation type="list" allowBlank="1" showInputMessage="1" showErrorMessage="1" sqref="C28" xr:uid="{00000000-0002-0000-1400-000004000000}">
      <formula1>"无,低密度住宅,商场,酒店,旅游地产,仓储物流,高新技术产业用地,其他特殊："</formula1>
    </dataValidation>
    <dataValidation type="list" showInputMessage="1" showErrorMessage="1" sqref="B31:B33" xr:uid="{00000000-0002-0000-1400-000005000000}">
      <formula1>"现房,在建,土地,-"</formula1>
    </dataValidation>
    <dataValidation type="list" allowBlank="1" showInputMessage="1" showErrorMessage="1" sqref="B37:F37" xr:uid="{00000000-0002-0000-1400-000006000000}">
      <formula1>土地级别</formula1>
    </dataValidation>
    <dataValidation type="list" allowBlank="1" showInputMessage="1" showErrorMessage="1" sqref="E38" xr:uid="{00000000-0002-0000-1400-000007000000}">
      <formula1>INDIRECT($E$37)</formula1>
    </dataValidation>
    <dataValidation type="list" allowBlank="1" showInputMessage="1" showErrorMessage="1" sqref="B38" xr:uid="{00000000-0002-0000-1400-000008000000}">
      <formula1>INDIRECT(B37)</formula1>
    </dataValidation>
    <dataValidation type="list" allowBlank="1" showInputMessage="1" showErrorMessage="1" sqref="C38" xr:uid="{00000000-0002-0000-1400-000009000000}">
      <formula1>INDIRECT($C$37)</formula1>
    </dataValidation>
    <dataValidation type="list" allowBlank="1" showInputMessage="1" showErrorMessage="1" sqref="D38" xr:uid="{00000000-0002-0000-1400-00000A000000}">
      <formula1>INDIRECT($D$37)</formula1>
    </dataValidation>
    <dataValidation type="list" allowBlank="1" showInputMessage="1" showErrorMessage="1" sqref="B9" xr:uid="{00000000-0002-0000-1400-00000B000000}">
      <formula1>"房地产抵押价值,房地产市场价值"</formula1>
    </dataValidation>
    <dataValidation type="list" allowBlank="1" showInputMessage="1" showErrorMessage="1" sqref="B8" xr:uid="{00000000-0002-0000-1400-00000C000000}">
      <formula1>"抵押,核定资产,出让"</formula1>
    </dataValidation>
    <dataValidation type="list" allowBlank="1" showInputMessage="1" showErrorMessage="1" sqref="H4 B4 F4 D4" xr:uid="{00000000-0002-0000-1400-00000D000000}">
      <formula1>注册房地产估价师</formula1>
    </dataValidation>
    <dataValidation type="list" allowBlank="1" showInputMessage="1" showErrorMessage="1" sqref="E8" xr:uid="{00000000-0002-0000-1400-00000E000000}">
      <formula1>价值类型2</formula1>
    </dataValidation>
    <dataValidation type="list" allowBlank="1" showInputMessage="1" showErrorMessage="1" sqref="E9" xr:uid="{00000000-0002-0000-1400-00000F000000}">
      <formula1>"抵押净值,——"</formula1>
    </dataValidation>
    <dataValidation type="list" allowBlank="1" showInputMessage="1" showErrorMessage="1" sqref="B34:H34" xr:uid="{00000000-0002-0000-1400-000010000000}">
      <formula1>七通一平</formula1>
    </dataValidation>
    <dataValidation type="list" allowBlank="1" showInputMessage="1" showErrorMessage="1" sqref="C19 E19 G19" xr:uid="{00000000-0002-0000-1400-000011000000}">
      <formula1>估价范围判定</formula1>
    </dataValidation>
    <dataValidation type="list" allowBlank="1" showInputMessage="1" showErrorMessage="1" sqref="B21:B22" xr:uid="{00000000-0002-0000-1400-000012000000}">
      <formula1>"《房屋所有权证》,《国有土地使用证》,《不动产权证书》,——"</formula1>
    </dataValidation>
    <dataValidation type="list" allowBlank="1" showInputMessage="1" showErrorMessage="1" sqref="C21:C22 E21" xr:uid="{00000000-0002-0000-1400-000013000000}">
      <formula1>"原件,复印件,——"</formula1>
    </dataValidation>
    <dataValidation type="list" allowBlank="1" showInputMessage="1" showErrorMessage="1" sqref="A13" xr:uid="{00000000-0002-0000-1400-000014000000}">
      <formula1>"出让,划拨"</formula1>
    </dataValidation>
    <dataValidation type="list" allowBlank="1" showInputMessage="1" showErrorMessage="1" sqref="C14:I14" xr:uid="{00000000-0002-0000-1400-000015000000}">
      <formula1>法定最高年限</formula1>
    </dataValidation>
    <dataValidation type="list" allowBlank="1" showInputMessage="1" showErrorMessage="1" sqref="A18" xr:uid="{00000000-0002-0000-1400-000016000000}">
      <formula1>"建筑与土地面积依据相同,——"</formula1>
    </dataValidation>
    <dataValidation type="list" allowBlank="1" showInputMessage="1" showErrorMessage="1" sqref="F38" xr:uid="{00000000-0002-0000-14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456" customWidth="1"/>
    <col min="2" max="2" width="11" style="1456" customWidth="1"/>
    <col min="3" max="3" width="10.375" style="1456" customWidth="1"/>
    <col min="4" max="4" width="9.125" style="1456" customWidth="1"/>
    <col min="5" max="8" width="10" style="1456" customWidth="1"/>
    <col min="9" max="9" width="10.625" style="1456" customWidth="1"/>
    <col min="10" max="10" width="9.5" style="1456" customWidth="1"/>
    <col min="11" max="11" width="11" style="1456" customWidth="1"/>
    <col min="12" max="14" width="9.5" style="1456" customWidth="1"/>
    <col min="15" max="15" width="9.875" style="1456" customWidth="1"/>
    <col min="16" max="16" width="9.75" style="1456" customWidth="1"/>
    <col min="17" max="17" width="9.375" style="1456" customWidth="1"/>
    <col min="18" max="18" width="9.25" style="1456" customWidth="1"/>
    <col min="19" max="19" width="10.875" style="1456" customWidth="1"/>
    <col min="20" max="21" width="10.75" style="1456" customWidth="1"/>
    <col min="22" max="22" width="10.875" style="1456" customWidth="1"/>
    <col min="23" max="27" width="10.75" style="1456" customWidth="1"/>
    <col min="28" max="28" width="10.875" style="1456" customWidth="1"/>
    <col min="29" max="29" width="11" style="1456" bestFit="1" customWidth="1"/>
    <col min="30" max="30" width="10" style="1456" bestFit="1" customWidth="1"/>
    <col min="31" max="31" width="9.75" style="1456" customWidth="1"/>
    <col min="32" max="46" width="9.5" style="1456" customWidth="1"/>
    <col min="47" max="47" width="18.125" style="1456" customWidth="1"/>
    <col min="48" max="50" width="9.75" style="1456" customWidth="1"/>
    <col min="51" max="55" width="10.5" style="1456" bestFit="1" customWidth="1"/>
    <col min="56" max="56" width="9.5" style="1456" bestFit="1" customWidth="1"/>
    <col min="57" max="63" width="9.125" style="1456" bestFit="1" customWidth="1"/>
    <col min="64" max="64" width="9.5" style="1456" bestFit="1" customWidth="1"/>
    <col min="65" max="65" width="9.125" style="1456" bestFit="1" customWidth="1"/>
    <col min="66" max="66" width="9.5" style="1456" bestFit="1" customWidth="1"/>
    <col min="67" max="69" width="9.125" style="1456" bestFit="1" customWidth="1"/>
    <col min="70" max="70" width="9.5" style="1456" bestFit="1" customWidth="1"/>
    <col min="71" max="71" width="9" style="1456" customWidth="1"/>
    <col min="72" max="72" width="9.125" style="1456" bestFit="1" customWidth="1"/>
    <col min="73" max="16384" width="8.875" style="1456"/>
  </cols>
  <sheetData>
    <row r="1" spans="1:72" ht="20.25">
      <c r="A1" s="1457" t="s">
        <v>1059</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1060</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1061</v>
      </c>
      <c r="B2" s="8" t="s">
        <v>1062</v>
      </c>
      <c r="C2" s="8" t="s">
        <v>1063</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81" t="s">
        <v>1064</v>
      </c>
      <c r="AZ2" s="982" t="s">
        <v>1065</v>
      </c>
      <c r="BA2" s="8" t="s">
        <v>1066</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2.75">
      <c r="A3" s="10">
        <v>28700</v>
      </c>
      <c r="B3" s="11">
        <f>IF(C3="否",G5-AT5,G5)</f>
        <v>232700.46000000008</v>
      </c>
      <c r="C3" s="1462" t="s">
        <v>1067</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3"/>
      <c r="AZ3" s="626"/>
      <c r="BA3" s="984"/>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ht="13.5"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2.75">
      <c r="A5" s="12" t="s">
        <v>1068</v>
      </c>
      <c r="B5" s="1252"/>
      <c r="C5" s="1252"/>
      <c r="D5" s="1253"/>
      <c r="E5" s="13" t="s">
        <v>0</v>
      </c>
      <c r="F5" s="13">
        <f>SUM(F13:F587)</f>
        <v>0</v>
      </c>
      <c r="G5" s="13">
        <f>SUM(G13:G587)</f>
        <v>232700.46000000008</v>
      </c>
      <c r="H5" s="13">
        <f t="shared" ref="H5:AT5" si="0">SUM(H13:H656)</f>
        <v>232700.46000000008</v>
      </c>
      <c r="I5" s="13">
        <f t="shared" si="0"/>
        <v>174099.34999999995</v>
      </c>
      <c r="J5" s="13">
        <f t="shared" si="0"/>
        <v>0</v>
      </c>
      <c r="K5" s="13">
        <f t="shared" si="0"/>
        <v>58601.110000000117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1"/>
      <c r="AV5" s="12" t="s">
        <v>1068</v>
      </c>
      <c r="AW5" s="1252"/>
      <c r="AX5" s="1252"/>
      <c r="AY5" s="14" t="s">
        <v>2</v>
      </c>
      <c r="AZ5" s="15">
        <f t="shared" ref="AZ5:BT5" si="1">SUM(AZ13:AZ656)</f>
        <v>232700.46000000008</v>
      </c>
      <c r="BA5" s="15">
        <f t="shared" si="1"/>
        <v>232700.46000000008</v>
      </c>
      <c r="BB5" s="15">
        <f t="shared" si="1"/>
        <v>174099.34999999995</v>
      </c>
      <c r="BC5" s="15">
        <f t="shared" si="1"/>
        <v>58601.110000000117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2.75">
      <c r="A6" s="12" t="s">
        <v>1069</v>
      </c>
      <c r="B6" s="1467"/>
      <c r="C6" s="1467"/>
      <c r="D6" s="1468"/>
      <c r="E6" s="13">
        <f>H6+AC6+AT6</f>
        <v>28700</v>
      </c>
      <c r="F6" s="13" t="s">
        <v>0</v>
      </c>
      <c r="G6" s="13" t="s">
        <v>1</v>
      </c>
      <c r="H6" s="17">
        <f>SUMIF(I$12:AB$12,"总值",I6:AB6)</f>
        <v>28700</v>
      </c>
      <c r="I6" s="13">
        <f t="shared" ref="I6:AB6" si="2">ROUND($A$3*I5/$B$3,2)</f>
        <v>21472.46</v>
      </c>
      <c r="J6" s="13">
        <f t="shared" si="2"/>
        <v>0</v>
      </c>
      <c r="K6" s="13">
        <f t="shared" si="2"/>
        <v>7227.54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1069</v>
      </c>
      <c r="AW6" s="1467"/>
      <c r="AX6" s="1467"/>
      <c r="AY6" s="18">
        <f>IF(AY3&gt;0,AY3,ROUND($A$3*AZ5/$B$3,2))</f>
        <v>28700</v>
      </c>
      <c r="AZ6" s="13" t="s">
        <v>2</v>
      </c>
      <c r="BA6" s="13">
        <f>ROUND($AY$6*BA5/$AZ$5,2)</f>
        <v>28700</v>
      </c>
      <c r="BB6" s="13">
        <f>ROUND($AY$6*BB5/$AZ$5,2)</f>
        <v>21472.46</v>
      </c>
      <c r="BC6" s="13">
        <f t="shared" ref="BC6:BH6" si="4">ROUND($AY$6*BC5/$AZ$5,2)</f>
        <v>7227.54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1" customFormat="1" ht="24.75">
      <c r="A7" s="1454" t="s">
        <v>1070</v>
      </c>
      <c r="B7" s="1454" t="s">
        <v>1071</v>
      </c>
      <c r="C7" s="1454" t="s">
        <v>1072</v>
      </c>
      <c r="D7" s="1454" t="s">
        <v>1073</v>
      </c>
      <c r="E7" s="1454" t="s">
        <v>1074</v>
      </c>
      <c r="F7" s="1454" t="s">
        <v>1075</v>
      </c>
      <c r="G7" s="1471" t="s">
        <v>1076</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3"/>
      <c r="AU7" s="1472" t="s">
        <v>1077</v>
      </c>
      <c r="AV7" s="20" t="s">
        <v>1078</v>
      </c>
      <c r="AW7" s="1459" t="s">
        <v>1079</v>
      </c>
      <c r="AX7" s="20" t="s">
        <v>1072</v>
      </c>
      <c r="AY7" s="1252" t="s">
        <v>1080</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1081</v>
      </c>
      <c r="H8" s="1477" t="s">
        <v>1082</v>
      </c>
      <c r="I8" s="1478"/>
      <c r="J8" s="1262"/>
      <c r="K8" s="1262"/>
      <c r="L8" s="1262"/>
      <c r="M8" s="1262"/>
      <c r="N8" s="1262"/>
      <c r="O8" s="1262"/>
      <c r="P8" s="1262"/>
      <c r="Q8" s="1262"/>
      <c r="R8" s="1262"/>
      <c r="S8" s="1262"/>
      <c r="T8" s="1262"/>
      <c r="U8" s="1262"/>
      <c r="V8" s="1479"/>
      <c r="W8" s="1262"/>
      <c r="X8" s="1262"/>
      <c r="Y8" s="1262"/>
      <c r="Z8" s="1262"/>
      <c r="AA8" s="1479"/>
      <c r="AB8" s="1480"/>
      <c r="AC8" s="757" t="s">
        <v>1083</v>
      </c>
      <c r="AD8" s="1481"/>
      <c r="AE8" s="1473"/>
      <c r="AF8" s="1262"/>
      <c r="AG8" s="1262"/>
      <c r="AH8" s="1262"/>
      <c r="AI8" s="1262"/>
      <c r="AJ8" s="1262"/>
      <c r="AK8" s="1262"/>
      <c r="AL8" s="1262"/>
      <c r="AM8" s="1262"/>
      <c r="AN8" s="1262"/>
      <c r="AO8" s="1262"/>
      <c r="AP8" s="1262"/>
      <c r="AQ8" s="1262"/>
      <c r="AR8" s="1262"/>
      <c r="AS8" s="1262"/>
      <c r="AT8" s="1002" t="s">
        <v>1084</v>
      </c>
      <c r="AU8" s="1475" t="s">
        <v>1085</v>
      </c>
      <c r="AV8" s="1002"/>
      <c r="AW8" s="1460"/>
      <c r="AX8" s="1002"/>
      <c r="AY8" s="1459" t="s">
        <v>1086</v>
      </c>
      <c r="AZ8" s="1261" t="s">
        <v>1087</v>
      </c>
      <c r="BA8" s="1262"/>
      <c r="BB8" s="1262"/>
      <c r="BC8" s="1262"/>
      <c r="BD8" s="1262"/>
      <c r="BE8" s="1262"/>
      <c r="BF8" s="1262"/>
      <c r="BG8" s="1262"/>
      <c r="BH8" s="1262"/>
      <c r="BI8" s="1262"/>
      <c r="BJ8" s="1262"/>
      <c r="BK8" s="1262"/>
      <c r="BL8" s="1262"/>
      <c r="BM8" s="1262"/>
      <c r="BN8" s="1262"/>
      <c r="BO8" s="1262"/>
      <c r="BP8" s="1262"/>
      <c r="BQ8" s="1262"/>
      <c r="BR8" s="1262"/>
      <c r="BS8" s="1262"/>
      <c r="BT8" s="23"/>
    </row>
    <row r="9" spans="1:72" s="1482" customFormat="1" ht="12.75">
      <c r="A9" s="1475"/>
      <c r="B9" s="1475"/>
      <c r="C9" s="1475"/>
      <c r="D9" s="1475"/>
      <c r="E9" s="1475"/>
      <c r="F9" s="1475"/>
      <c r="G9" s="1002"/>
      <c r="H9" s="1483" t="s">
        <v>1088</v>
      </c>
      <c r="I9" s="1484" t="s">
        <v>4158</v>
      </c>
      <c r="J9" s="757"/>
      <c r="K9" s="1484" t="s">
        <v>4159</v>
      </c>
      <c r="L9" s="757"/>
      <c r="M9" s="1484"/>
      <c r="N9" s="757"/>
      <c r="O9" s="1484"/>
      <c r="P9" s="757"/>
      <c r="Q9" s="1484"/>
      <c r="R9" s="757"/>
      <c r="S9" s="1484"/>
      <c r="T9" s="757"/>
      <c r="U9" s="1484"/>
      <c r="V9" s="757"/>
      <c r="W9" s="1484"/>
      <c r="X9" s="1485"/>
      <c r="Y9" s="1484"/>
      <c r="Z9" s="757"/>
      <c r="AA9" s="1484"/>
      <c r="AB9" s="757"/>
      <c r="AC9" s="1476" t="s">
        <v>1088</v>
      </c>
      <c r="AD9" s="12" t="s">
        <v>1089</v>
      </c>
      <c r="AE9" s="1008"/>
      <c r="AF9" s="12" t="s">
        <v>1090</v>
      </c>
      <c r="AG9" s="1008"/>
      <c r="AH9" s="12" t="s">
        <v>1089</v>
      </c>
      <c r="AI9" s="1008"/>
      <c r="AJ9" s="12" t="s">
        <v>1090</v>
      </c>
      <c r="AK9" s="1008"/>
      <c r="AL9" s="12" t="s">
        <v>1089</v>
      </c>
      <c r="AM9" s="1008"/>
      <c r="AN9" s="12" t="s">
        <v>1090</v>
      </c>
      <c r="AO9" s="1008"/>
      <c r="AP9" s="12" t="s">
        <v>1089</v>
      </c>
      <c r="AQ9" s="1008"/>
      <c r="AR9" s="12" t="s">
        <v>1090</v>
      </c>
      <c r="AS9" s="1486"/>
      <c r="AT9" s="1475"/>
      <c r="AU9" s="1475" t="s">
        <v>1091</v>
      </c>
      <c r="AV9" s="1002"/>
      <c r="AW9" s="1460"/>
      <c r="AX9" s="1002"/>
      <c r="AY9" s="25"/>
      <c r="AZ9" s="25" t="s">
        <v>1081</v>
      </c>
      <c r="BA9" s="1487" t="s">
        <v>1092</v>
      </c>
      <c r="BB9" s="1488"/>
      <c r="BC9" s="1020"/>
      <c r="BD9" s="1020"/>
      <c r="BE9" s="1020"/>
      <c r="BF9" s="1020"/>
      <c r="BG9" s="1020"/>
      <c r="BH9" s="1020"/>
      <c r="BI9" s="1020"/>
      <c r="BJ9" s="1020"/>
      <c r="BK9" s="1489"/>
      <c r="BL9" s="12" t="s">
        <v>1093</v>
      </c>
      <c r="BM9" s="1262"/>
      <c r="BN9" s="1478"/>
      <c r="BO9" s="1262"/>
      <c r="BP9" s="1262"/>
      <c r="BQ9" s="1262"/>
      <c r="BR9" s="1262"/>
      <c r="BS9" s="1262"/>
      <c r="BT9" s="23"/>
    </row>
    <row r="10" spans="1:72" s="1482" customFormat="1" ht="12.75">
      <c r="A10" s="1475"/>
      <c r="B10" s="1475"/>
      <c r="C10" s="1475"/>
      <c r="D10" s="1475"/>
      <c r="E10" s="1475"/>
      <c r="F10" s="1475"/>
      <c r="G10" s="1002"/>
      <c r="H10" s="25"/>
      <c r="I10" s="1484"/>
      <c r="J10" s="757"/>
      <c r="K10" s="1490"/>
      <c r="L10" s="757"/>
      <c r="M10" s="1490"/>
      <c r="N10" s="757"/>
      <c r="O10" s="1490"/>
      <c r="P10" s="757"/>
      <c r="Q10" s="1490"/>
      <c r="R10" s="757"/>
      <c r="S10" s="1490"/>
      <c r="T10" s="757"/>
      <c r="U10" s="1490"/>
      <c r="V10" s="757"/>
      <c r="W10" s="1490"/>
      <c r="X10" s="757"/>
      <c r="Y10" s="1490"/>
      <c r="Z10" s="757"/>
      <c r="AA10" s="1490"/>
      <c r="AB10" s="757"/>
      <c r="AC10" s="1002"/>
      <c r="AD10" s="12" t="s">
        <v>1094</v>
      </c>
      <c r="AE10" s="1491"/>
      <c r="AF10" s="12" t="s">
        <v>1094</v>
      </c>
      <c r="AG10" s="1491"/>
      <c r="AH10" s="12" t="s">
        <v>1095</v>
      </c>
      <c r="AI10" s="1491"/>
      <c r="AJ10" s="12" t="s">
        <v>1095</v>
      </c>
      <c r="AK10" s="1491"/>
      <c r="AL10" s="12" t="s">
        <v>1096</v>
      </c>
      <c r="AM10" s="1008"/>
      <c r="AN10" s="12" t="s">
        <v>1096</v>
      </c>
      <c r="AO10" s="1008"/>
      <c r="AP10" s="12" t="s">
        <v>1097</v>
      </c>
      <c r="AQ10" s="1008"/>
      <c r="AR10" s="12" t="s">
        <v>1097</v>
      </c>
      <c r="AS10" s="1008"/>
      <c r="AT10" s="1475"/>
      <c r="AU10" s="1475"/>
      <c r="AV10" s="1002"/>
      <c r="AW10" s="1460"/>
      <c r="AX10" s="1002"/>
      <c r="AY10" s="25"/>
      <c r="AZ10" s="25"/>
      <c r="BA10" s="1492" t="s">
        <v>1088</v>
      </c>
      <c r="BB10" s="1493" t="str">
        <f>I9</f>
        <v>地上</v>
      </c>
      <c r="BC10" s="26" t="str">
        <f>K9</f>
        <v>地下</v>
      </c>
      <c r="BD10" s="26">
        <f>M9</f>
        <v>0</v>
      </c>
      <c r="BE10" s="26">
        <f>O9</f>
        <v>0</v>
      </c>
      <c r="BF10" s="26">
        <f>Q9</f>
        <v>0</v>
      </c>
      <c r="BG10" s="26">
        <f>S9</f>
        <v>0</v>
      </c>
      <c r="BH10" s="26">
        <f>U9</f>
        <v>0</v>
      </c>
      <c r="BI10" s="26">
        <f>W9</f>
        <v>0</v>
      </c>
      <c r="BJ10" s="26">
        <f>Y9</f>
        <v>0</v>
      </c>
      <c r="BK10" s="26">
        <f>AA9</f>
        <v>0</v>
      </c>
      <c r="BL10" s="22" t="s">
        <v>1088</v>
      </c>
      <c r="BM10" s="1261" t="str">
        <f>AD9</f>
        <v>地上</v>
      </c>
      <c r="BN10" s="26" t="str">
        <f>AF9</f>
        <v>地下</v>
      </c>
      <c r="BO10" s="1261" t="str">
        <f>AH9</f>
        <v>地上</v>
      </c>
      <c r="BP10" s="26" t="str">
        <f>AJ9</f>
        <v>地下</v>
      </c>
      <c r="BQ10" s="1261" t="str">
        <f>AL9</f>
        <v>地上</v>
      </c>
      <c r="BR10" s="26" t="str">
        <f>AN9</f>
        <v>地下</v>
      </c>
      <c r="BS10" s="1261" t="str">
        <f>AP9</f>
        <v>地上</v>
      </c>
      <c r="BT10" s="1494" t="str">
        <f>AR9</f>
        <v>地下</v>
      </c>
    </row>
    <row r="11" spans="1:72" s="1482" customFormat="1" ht="12.75">
      <c r="A11" s="1475"/>
      <c r="B11" s="1475"/>
      <c r="C11" s="1475"/>
      <c r="D11" s="1475"/>
      <c r="E11" s="1475"/>
      <c r="F11" s="1475"/>
      <c r="G11" s="1002"/>
      <c r="H11" s="1492"/>
      <c r="I11" s="1495"/>
      <c r="J11" s="1496"/>
      <c r="K11" s="1495"/>
      <c r="L11" s="1496"/>
      <c r="M11" s="1495"/>
      <c r="N11" s="1496"/>
      <c r="O11" s="1495"/>
      <c r="P11" s="1496"/>
      <c r="Q11" s="1495"/>
      <c r="R11" s="1496"/>
      <c r="S11" s="1495"/>
      <c r="T11" s="1496"/>
      <c r="U11" s="1495"/>
      <c r="V11" s="1496"/>
      <c r="W11" s="1495"/>
      <c r="X11" s="1496"/>
      <c r="Y11" s="1495"/>
      <c r="Z11" s="1496"/>
      <c r="AA11" s="1495"/>
      <c r="AB11" s="1496"/>
      <c r="AC11" s="1002"/>
      <c r="AD11" s="1497" t="s">
        <v>1098</v>
      </c>
      <c r="AE11" s="1263"/>
      <c r="AF11" s="1497" t="s">
        <v>1098</v>
      </c>
      <c r="AG11" s="1263"/>
      <c r="AH11" s="1497" t="s">
        <v>1099</v>
      </c>
      <c r="AI11" s="1498"/>
      <c r="AJ11" s="1497" t="s">
        <v>1099</v>
      </c>
      <c r="AK11" s="1263"/>
      <c r="AL11" s="1261"/>
      <c r="AM11" s="1263"/>
      <c r="AN11" s="1261"/>
      <c r="AO11" s="1263"/>
      <c r="AP11" s="1261"/>
      <c r="AQ11" s="1263"/>
      <c r="AR11" s="1261"/>
      <c r="AS11" s="1263"/>
      <c r="AT11" s="1460"/>
      <c r="AU11" s="1475"/>
      <c r="AV11" s="1002"/>
      <c r="AW11" s="1460"/>
      <c r="AX11" s="1002"/>
      <c r="AY11" s="25"/>
      <c r="AZ11" s="25"/>
      <c r="BA11" s="25"/>
      <c r="BB11" s="1480">
        <f>I10</f>
        <v>0</v>
      </c>
      <c r="BC11" s="1480">
        <f>K10</f>
        <v>0</v>
      </c>
      <c r="BD11" s="1480">
        <f>M10</f>
        <v>0</v>
      </c>
      <c r="BE11" s="1480">
        <f>O10</f>
        <v>0</v>
      </c>
      <c r="BF11" s="1480">
        <f>Q10</f>
        <v>0</v>
      </c>
      <c r="BG11" s="1480">
        <f>S10</f>
        <v>0</v>
      </c>
      <c r="BH11" s="1480">
        <f>U10</f>
        <v>0</v>
      </c>
      <c r="BI11" s="1480">
        <f>W10</f>
        <v>0</v>
      </c>
      <c r="BJ11" s="1480">
        <f>Y10</f>
        <v>0</v>
      </c>
      <c r="BK11" s="1480">
        <f>AA10</f>
        <v>0</v>
      </c>
      <c r="BL11" s="1002"/>
      <c r="BM11" s="1261" t="str">
        <f>AD10</f>
        <v>公共配套设施</v>
      </c>
      <c r="BN11" s="1261"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2.75">
      <c r="A12" s="1500"/>
      <c r="B12" s="1500"/>
      <c r="C12" s="1500"/>
      <c r="D12" s="1500"/>
      <c r="E12" s="1500"/>
      <c r="F12" s="1500"/>
      <c r="G12" s="27"/>
      <c r="H12" s="1501"/>
      <c r="I12" s="1253"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1" t="s">
        <v>1101</v>
      </c>
      <c r="W12" s="8" t="s">
        <v>1100</v>
      </c>
      <c r="X12" s="8" t="s">
        <v>1101</v>
      </c>
      <c r="Y12" s="8" t="s">
        <v>1100</v>
      </c>
      <c r="Z12" s="8" t="s">
        <v>1101</v>
      </c>
      <c r="AA12" s="8" t="s">
        <v>1100</v>
      </c>
      <c r="AB12" s="8" t="s">
        <v>1101</v>
      </c>
      <c r="AC12" s="1502"/>
      <c r="AD12" s="1253"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0" t="s">
        <v>1101</v>
      </c>
      <c r="AT12" s="1503"/>
      <c r="AU12" s="1500"/>
      <c r="AV12" s="28"/>
      <c r="AW12" s="1459"/>
      <c r="AX12" s="28"/>
      <c r="AY12" s="1504"/>
      <c r="AZ12" s="25"/>
      <c r="BA12" s="1492"/>
      <c r="BB12" s="21">
        <f>I11</f>
        <v>0</v>
      </c>
      <c r="BC12" s="1505">
        <f>K11</f>
        <v>0</v>
      </c>
      <c r="BD12" s="1505">
        <f>M11</f>
        <v>0</v>
      </c>
      <c r="BE12" s="1480">
        <f>O11</f>
        <v>0</v>
      </c>
      <c r="BF12" s="1480">
        <f>Q11</f>
        <v>0</v>
      </c>
      <c r="BG12" s="1480">
        <f>S11</f>
        <v>0</v>
      </c>
      <c r="BH12" s="1480">
        <f>U11</f>
        <v>0</v>
      </c>
      <c r="BI12" s="1480">
        <f>W11</f>
        <v>0</v>
      </c>
      <c r="BJ12" s="1480">
        <f>Y11</f>
        <v>0</v>
      </c>
      <c r="BK12" s="1480">
        <f>AA11</f>
        <v>0</v>
      </c>
      <c r="BL12" s="1002"/>
      <c r="BM12" s="1261" t="str">
        <f>AD11</f>
        <v>（住宅）</v>
      </c>
      <c r="BN12" s="1261" t="str">
        <f>AF11</f>
        <v>（住宅）</v>
      </c>
      <c r="BO12" s="21" t="str">
        <f>AH11</f>
        <v>（住宅、计出让金）</v>
      </c>
      <c r="BP12" s="21" t="str">
        <f>AJ11</f>
        <v>（住宅、计出让金）</v>
      </c>
      <c r="BQ12" s="21">
        <f>AL11</f>
        <v>0</v>
      </c>
      <c r="BR12" s="21">
        <f>AN11</f>
        <v>0</v>
      </c>
      <c r="BS12" s="22">
        <f>AP11</f>
        <v>0</v>
      </c>
      <c r="BT12" s="1499">
        <f>AR11</f>
        <v>0</v>
      </c>
    </row>
    <row r="13" spans="1:72" s="1461" customFormat="1" ht="12.75">
      <c r="A13" s="626"/>
      <c r="B13" s="626"/>
      <c r="C13" s="3138" t="s">
        <v>4147</v>
      </c>
      <c r="D13" s="1506" t="s">
        <v>4155</v>
      </c>
      <c r="E13" s="13">
        <f>IF($C$3="是",ROUND($A$3*G13/$B$3,2),ROUND($A$3*(G13-AT13)/$B$3,2))</f>
        <v>6949.44</v>
      </c>
      <c r="F13" s="29"/>
      <c r="G13" s="30">
        <f>H13+AC13+AT13</f>
        <v>56346.270000000004</v>
      </c>
      <c r="H13" s="17">
        <f>SUMIF(I$12:AB$12,"总值",I13:AB13)</f>
        <v>56346.270000000004</v>
      </c>
      <c r="I13" s="1507">
        <f>ROUND('1号楼'!G9/6*4,2)</f>
        <v>37564.18</v>
      </c>
      <c r="J13" s="1507"/>
      <c r="K13" s="1507">
        <f>ROUND('1号楼'!G9/6*2,2)</f>
        <v>18782.09</v>
      </c>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8"/>
      <c r="AV13" s="8">
        <f t="shared" ref="AV13:AX17" si="6">A13</f>
        <v>0</v>
      </c>
      <c r="AW13" s="8">
        <f t="shared" si="6"/>
        <v>0</v>
      </c>
      <c r="AX13" s="8" t="str">
        <f t="shared" si="6"/>
        <v>商业</v>
      </c>
      <c r="AY13" s="1253">
        <f>ROUND($AY$6*AZ13/$AZ$5,2)</f>
        <v>6949.44</v>
      </c>
      <c r="AZ13" s="13">
        <f>BA13+BL13</f>
        <v>56346.270000000004</v>
      </c>
      <c r="BA13" s="13">
        <f>SUM(BB13:BK13)</f>
        <v>56346.270000000004</v>
      </c>
      <c r="BB13" s="13">
        <f>IF($D13="是",I13-J13,0)</f>
        <v>37564.18</v>
      </c>
      <c r="BC13" s="13">
        <f>IF($D13="是",K13-L13,0)</f>
        <v>18782.09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1" customFormat="1" ht="25.5">
      <c r="A14" s="626"/>
      <c r="B14" s="626"/>
      <c r="C14" s="1455" t="s">
        <v>4151</v>
      </c>
      <c r="D14" s="1506" t="s">
        <v>4155</v>
      </c>
      <c r="E14" s="13">
        <f>IF($C$3="是",ROUND($A$3*G14/$B$3,2),ROUND($A$3*(G14-AT14)/$B$3,2))</f>
        <v>93.1</v>
      </c>
      <c r="F14" s="29"/>
      <c r="G14" s="30">
        <f>H14+AC14+AT14</f>
        <v>754.84</v>
      </c>
      <c r="H14" s="17">
        <f>SUMIF(I$12:AB$12,"总值",I14:AB14)</f>
        <v>754.84</v>
      </c>
      <c r="I14" s="1507">
        <f>'1号楼'!G12</f>
        <v>754.84</v>
      </c>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8"/>
      <c r="AV14" s="8">
        <f t="shared" si="6"/>
        <v>0</v>
      </c>
      <c r="AW14" s="8">
        <f t="shared" si="6"/>
        <v>0</v>
      </c>
      <c r="AX14" s="8" t="str">
        <f t="shared" si="6"/>
        <v>1号楼办公501</v>
      </c>
      <c r="AY14" s="1253">
        <f>ROUND($AY$6*AZ14/$AZ$5,2)</f>
        <v>93.1</v>
      </c>
      <c r="AZ14" s="13">
        <f>BA14+BL14</f>
        <v>754.84</v>
      </c>
      <c r="BA14" s="13">
        <f>SUM(BB14:BK14)</f>
        <v>754.84</v>
      </c>
      <c r="BB14" s="13">
        <f>IF($D14="是",I14-J14,0)</f>
        <v>754.84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25.5">
      <c r="A15" s="626"/>
      <c r="B15" s="626"/>
      <c r="C15" s="1455" t="s">
        <v>4152</v>
      </c>
      <c r="D15" s="1506" t="s">
        <v>4155</v>
      </c>
      <c r="E15" s="13">
        <f>IF($C$3="是",ROUND($A$3*G15/$B$3,2),ROUND($A$3*(G15-AT15)/$B$3,2))</f>
        <v>6.53</v>
      </c>
      <c r="F15" s="29"/>
      <c r="G15" s="30">
        <f>H15+AC15+AT15</f>
        <v>52.93</v>
      </c>
      <c r="H15" s="17">
        <f>SUMIF(I$12:AB$12,"总值",I15:AB15)</f>
        <v>52.93</v>
      </c>
      <c r="I15" s="1507"/>
      <c r="J15" s="1507"/>
      <c r="K15" s="1507">
        <f>'1号楼'!G13</f>
        <v>52.93</v>
      </c>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8"/>
      <c r="AV15" s="8">
        <f t="shared" si="6"/>
        <v>0</v>
      </c>
      <c r="AW15" s="8">
        <f t="shared" si="6"/>
        <v>0</v>
      </c>
      <c r="AX15" s="8" t="str">
        <f t="shared" si="6"/>
        <v>5号楼车位B2001</v>
      </c>
      <c r="AY15" s="1253">
        <f>ROUND($AY$6*AZ15/$AZ$5,2)</f>
        <v>6.53</v>
      </c>
      <c r="AZ15" s="13">
        <f>BA15+BL15</f>
        <v>52.93</v>
      </c>
      <c r="BA15" s="13">
        <f>SUM(BB15:BK15)</f>
        <v>52.93</v>
      </c>
      <c r="BB15" s="13">
        <f>IF($D15="是",I15-J15,0)</f>
        <v>0</v>
      </c>
      <c r="BC15" s="13">
        <f>IF($D15="是",K15-L15,0)</f>
        <v>52.93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12.75">
      <c r="A16" s="626"/>
      <c r="B16" s="626"/>
      <c r="C16" s="3141" t="s">
        <v>4153</v>
      </c>
      <c r="D16" s="1506" t="s">
        <v>4155</v>
      </c>
      <c r="E16" s="13">
        <f>IF($C$3="是",ROUND($A$3*G16/$B$3,2),ROUND($A$3*(G16-AT16)/$B$3,2))</f>
        <v>16746.400000000001</v>
      </c>
      <c r="F16" s="29"/>
      <c r="G16" s="30">
        <f>H16+AC16+AT16</f>
        <v>135780.32999999996</v>
      </c>
      <c r="H16" s="17">
        <f>SUMIF(I$12:AB$12,"总值",I16:AB16)</f>
        <v>135780.32999999996</v>
      </c>
      <c r="I16" s="1507">
        <f>'1号楼'!H9-'1号楼'!G12</f>
        <v>135780.32999999996</v>
      </c>
      <c r="J16" s="1507"/>
      <c r="K16" s="1507"/>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8"/>
      <c r="AV16" s="8">
        <f t="shared" si="6"/>
        <v>0</v>
      </c>
      <c r="AW16" s="8">
        <f t="shared" si="6"/>
        <v>0</v>
      </c>
      <c r="AX16" s="8" t="str">
        <f t="shared" si="6"/>
        <v>其余办公</v>
      </c>
      <c r="AY16" s="1253">
        <f>ROUND($AY$6*AZ16/$AZ$5,2)</f>
        <v>16746.400000000001</v>
      </c>
      <c r="AZ16" s="13">
        <f>BA16+BL16</f>
        <v>135780.32999999996</v>
      </c>
      <c r="BA16" s="13">
        <f>SUM(BB16:BK16)</f>
        <v>135780.32999999996</v>
      </c>
      <c r="BB16" s="13">
        <f>IF($D16="是",I16-J16,0)</f>
        <v>135780.32999999996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ht="12.75">
      <c r="A17" s="626"/>
      <c r="B17" s="626"/>
      <c r="C17" s="3141" t="s">
        <v>4154</v>
      </c>
      <c r="D17" s="1506" t="s">
        <v>4155</v>
      </c>
      <c r="E17" s="13">
        <f>IF($C$3="是",ROUND($A$3*G17/$B$3,2),ROUND($A$3*(G17-AT17)/$B$3,2))</f>
        <v>4904.53</v>
      </c>
      <c r="F17" s="29"/>
      <c r="G17" s="30">
        <f>H17+AC17+AT17</f>
        <v>39766.09000000012</v>
      </c>
      <c r="H17" s="17">
        <f>SUMIF(I$12:AB$12,"总值",I17:AB17)</f>
        <v>39766.09000000012</v>
      </c>
      <c r="I17" s="1507"/>
      <c r="J17" s="1507"/>
      <c r="K17" s="1507">
        <f>'1号楼'!I9-'1号楼'!G13</f>
        <v>39766.09000000012</v>
      </c>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8"/>
      <c r="AV17" s="8">
        <f t="shared" si="6"/>
        <v>0</v>
      </c>
      <c r="AW17" s="8">
        <f t="shared" si="6"/>
        <v>0</v>
      </c>
      <c r="AX17" s="8" t="str">
        <f t="shared" si="6"/>
        <v>其余车位</v>
      </c>
      <c r="AY17" s="1253">
        <f>ROUND($AY$6*AZ17/$AZ$5,2)</f>
        <v>4904.53</v>
      </c>
      <c r="AZ17" s="13">
        <f>BA17+BL17</f>
        <v>39766.09000000012</v>
      </c>
      <c r="BA17" s="13">
        <f>SUM(BB17:BK17)</f>
        <v>39766.09000000012</v>
      </c>
      <c r="BB17" s="13">
        <f>IF($D17="是",I17-J17,0)</f>
        <v>0</v>
      </c>
      <c r="BC17" s="13">
        <f>IF($D17="是",K17-L17,0)</f>
        <v>39766.09000000012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500-000000000000}">
      <formula1>估价范围判定</formula1>
    </dataValidation>
    <dataValidation type="list" errorStyle="warning" allowBlank="1" showInputMessage="1" showErrorMessage="1" sqref="I9 K9 M9 O9 Q9 S9 U9 W9 Y9 AA9" xr:uid="{00000000-0002-0000-1500-000001000000}">
      <formula1>位置</formula1>
    </dataValidation>
    <dataValidation type="list" allowBlank="1" showErrorMessage="1" sqref="AA10 K10 M10 O10 Q10 S10 U10 W10 Y10" xr:uid="{00000000-0002-0000-1500-000002000000}">
      <formula1>主用途</formula1>
    </dataValidation>
    <dataValidation type="list" allowBlank="1" showInputMessage="1" showErrorMessage="1" sqref="I11 K11 M11 O11 Q11 S11 U11 W11 Y11 AA11" xr:uid="{00000000-0002-0000-1500-000003000000}">
      <formula1>用途明细</formula1>
    </dataValidation>
    <dataValidation type="list" allowBlank="1" showInputMessage="1" showErrorMessage="1" sqref="I10" xr:uid="{00000000-0002-0000-1500-000004000000}">
      <formula1>主用途</formula1>
    </dataValidation>
  </dataValidations>
  <pageMargins left="0.7" right="0.7" top="0.75" bottom="0.75" header="0.3" footer="0.3"/>
  <pageSetup paperSize="9" scale="18"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
    <tabColor rgb="FFFFFF00"/>
    <pageSetUpPr fitToPage="1"/>
  </sheetPr>
  <dimension ref="A1:S37"/>
  <sheetViews>
    <sheetView view="pageBreakPreview" zoomScale="70" zoomScaleNormal="100" zoomScaleSheetLayoutView="70" workbookViewId="0">
      <selection activeCell="G21" activeCellId="1" sqref="G23 G21"/>
    </sheetView>
  </sheetViews>
  <sheetFormatPr defaultColWidth="9.25" defaultRowHeight="14.25"/>
  <cols>
    <col min="1" max="1" width="12.125" style="1515" customWidth="1"/>
    <col min="2" max="2" width="10.25" style="1515" customWidth="1"/>
    <col min="3" max="3" width="18.5" style="1515" customWidth="1"/>
    <col min="4" max="4" width="11.625" style="1515" customWidth="1"/>
    <col min="5" max="5" width="13.375" style="1515" customWidth="1"/>
    <col min="6" max="8" width="11.5" style="1515" customWidth="1"/>
    <col min="9" max="9" width="11.125" style="1515" customWidth="1"/>
    <col min="10" max="10" width="3.125" style="1515" customWidth="1"/>
    <col min="11" max="16" width="10" style="1515" customWidth="1"/>
    <col min="17" max="17" width="2.625" style="1515" customWidth="1"/>
    <col min="18" max="18" width="9.375" style="1515" bestFit="1" customWidth="1"/>
    <col min="19" max="19" width="10.5" style="1515" bestFit="1" customWidth="1"/>
    <col min="20" max="16384" width="9.25" style="1515"/>
  </cols>
  <sheetData>
    <row r="1" spans="1:16" ht="19.5" thickBot="1">
      <c r="A1" s="1514" t="s">
        <v>1127</v>
      </c>
      <c r="B1" s="1066"/>
      <c r="C1" s="1066"/>
      <c r="D1" s="1066"/>
      <c r="E1" s="1066"/>
      <c r="F1" s="1066"/>
      <c r="G1" s="1066"/>
      <c r="H1" s="1066"/>
      <c r="I1" s="1066"/>
      <c r="J1" s="1066"/>
      <c r="K1" s="1066"/>
      <c r="L1" s="1066"/>
      <c r="M1" s="1066"/>
      <c r="N1" s="1066"/>
      <c r="O1" s="1066"/>
      <c r="P1" s="1066"/>
    </row>
    <row r="2" spans="1:16" ht="15">
      <c r="A2" s="3283" t="s">
        <v>1128</v>
      </c>
      <c r="B2" s="3283"/>
      <c r="C2" s="3283"/>
      <c r="D2" s="744" t="s">
        <v>1104</v>
      </c>
      <c r="E2" s="1516" t="s">
        <v>1105</v>
      </c>
      <c r="F2" s="2432"/>
      <c r="G2" s="2425"/>
      <c r="H2" s="2426"/>
      <c r="I2" s="2139" t="s">
        <v>1129</v>
      </c>
      <c r="J2" s="2432"/>
      <c r="K2" s="2432"/>
      <c r="L2" s="2432"/>
      <c r="M2" s="2432"/>
      <c r="N2" s="2433"/>
      <c r="O2" s="2432"/>
      <c r="P2" s="2432"/>
    </row>
    <row r="3" spans="1:16" ht="15.75" thickBot="1">
      <c r="A3" s="3284" t="s">
        <v>1102</v>
      </c>
      <c r="B3" s="3284"/>
      <c r="C3" s="3284"/>
      <c r="D3" s="41">
        <f>'数据-基础表'!AY6</f>
        <v>28700</v>
      </c>
      <c r="E3" s="41">
        <f>'数据-基础表'!AZ5</f>
        <v>232700.46000000008</v>
      </c>
      <c r="F3" s="2432"/>
      <c r="G3" s="42"/>
      <c r="H3" s="43" t="s">
        <v>1103</v>
      </c>
      <c r="I3" s="798">
        <f>ROUND('数据-基础表'!B3/'数据-基础表'!A3,2)</f>
        <v>8.11</v>
      </c>
      <c r="J3" s="2432"/>
      <c r="K3" s="2432"/>
      <c r="L3" s="2432"/>
      <c r="M3" s="2432"/>
      <c r="N3" s="2433"/>
      <c r="O3" s="2432"/>
      <c r="P3" s="2432"/>
    </row>
    <row r="4" spans="1:16" ht="15">
      <c r="A4" s="3285"/>
      <c r="B4" s="3286"/>
      <c r="C4" s="3287"/>
      <c r="D4" s="1517" t="s">
        <v>1104</v>
      </c>
      <c r="E4" s="1518" t="s">
        <v>1105</v>
      </c>
      <c r="F4" s="2432"/>
      <c r="G4" s="2427" t="s">
        <v>1130</v>
      </c>
      <c r="H4" s="43" t="s">
        <v>1110</v>
      </c>
      <c r="I4" s="798">
        <f>ROUND(SUMIF('数据-基础表'!I9:AS9,"地上",'数据-基础表'!I5:AS5)/'数据-基础表'!A3,2)</f>
        <v>6.07</v>
      </c>
      <c r="J4" s="2432"/>
      <c r="K4" s="2432"/>
      <c r="L4" s="2432"/>
      <c r="M4" s="2432"/>
      <c r="N4" s="2433"/>
      <c r="O4" s="2432"/>
      <c r="P4" s="2432"/>
    </row>
    <row r="5" spans="1:16">
      <c r="A5" s="42" t="s">
        <v>1106</v>
      </c>
      <c r="B5" s="3288" t="s">
        <v>1107</v>
      </c>
      <c r="C5" s="3288"/>
      <c r="D5" s="43">
        <f>ROUND($D$3*E5/$E$3,2)</f>
        <v>0</v>
      </c>
      <c r="E5" s="44">
        <f>SUMIF('数据-基础表'!$11:$11,"住宅",'数据-基础表'!$5:$5)</f>
        <v>0</v>
      </c>
      <c r="F5" s="2432"/>
      <c r="G5" s="42"/>
      <c r="H5" s="43" t="s">
        <v>1103</v>
      </c>
      <c r="I5" s="798">
        <f>ROUND(E31/D31,2)</f>
        <v>8.11</v>
      </c>
      <c r="J5" s="2432"/>
      <c r="K5" s="2432"/>
      <c r="L5" s="2432"/>
      <c r="M5" s="2432"/>
      <c r="N5" s="2432"/>
      <c r="O5" s="2432"/>
      <c r="P5" s="2432"/>
    </row>
    <row r="6" spans="1:16" ht="15" thickBot="1">
      <c r="A6" s="1520"/>
      <c r="B6" s="3288" t="s">
        <v>1108</v>
      </c>
      <c r="C6" s="3288"/>
      <c r="D6" s="43">
        <f>ROUND($D$3*E6/$E$3,2)</f>
        <v>28700</v>
      </c>
      <c r="E6" s="44">
        <f>E3-E5</f>
        <v>232700.46000000008</v>
      </c>
      <c r="F6" s="2432"/>
      <c r="G6" s="1522" t="s">
        <v>1109</v>
      </c>
      <c r="H6" s="45" t="s">
        <v>1110</v>
      </c>
      <c r="I6" s="2428">
        <f>ROUND(F31/D31,2)</f>
        <v>6.07</v>
      </c>
      <c r="J6" s="2432"/>
      <c r="K6" s="2432"/>
      <c r="L6" s="2432"/>
      <c r="M6" s="2432"/>
      <c r="N6" s="2432"/>
      <c r="O6" s="2432"/>
      <c r="P6" s="2432"/>
    </row>
    <row r="7" spans="1:16" ht="15.75" thickBot="1">
      <c r="A7" s="3280"/>
      <c r="B7" s="3281"/>
      <c r="C7" s="3282"/>
      <c r="D7" s="1517" t="s">
        <v>1104</v>
      </c>
      <c r="E7" s="1521" t="s">
        <v>1111</v>
      </c>
      <c r="F7" s="2432"/>
      <c r="G7" s="2429" t="s">
        <v>1112</v>
      </c>
      <c r="H7" s="95"/>
      <c r="I7" s="2430">
        <v>6.2</v>
      </c>
      <c r="J7" s="2432"/>
      <c r="K7" s="2432"/>
      <c r="L7" s="2432"/>
      <c r="M7" s="2432"/>
      <c r="N7" s="2432"/>
      <c r="O7" s="2432"/>
      <c r="P7" s="2432"/>
    </row>
    <row r="8" spans="1:16">
      <c r="A8" s="42" t="s">
        <v>1113</v>
      </c>
      <c r="B8" s="45" t="s">
        <v>1114</v>
      </c>
      <c r="C8" s="43" t="s">
        <v>1115</v>
      </c>
      <c r="D8" s="43">
        <f t="shared" ref="D8:D15" si="0">ROUND($D$3*E8/$E$3,2)</f>
        <v>21472.46</v>
      </c>
      <c r="E8" s="46">
        <f>SUMIF('数据-基础表'!BB10:BK10,"地上",'数据-基础表'!BB5:BK5)</f>
        <v>174099.34999999995</v>
      </c>
      <c r="F8" s="2432"/>
      <c r="G8" s="2432"/>
      <c r="H8" s="2432"/>
      <c r="I8" s="2432"/>
      <c r="J8" s="2432"/>
      <c r="K8" s="2432"/>
      <c r="L8" s="2432"/>
      <c r="M8" s="2432"/>
      <c r="N8" s="2432"/>
      <c r="O8" s="2432"/>
      <c r="P8" s="2432"/>
    </row>
    <row r="9" spans="1:16">
      <c r="A9" s="1522"/>
      <c r="B9" s="1523"/>
      <c r="C9" s="43" t="s">
        <v>1116</v>
      </c>
      <c r="D9" s="43">
        <f t="shared" si="0"/>
        <v>0</v>
      </c>
      <c r="E9" s="47">
        <v>0</v>
      </c>
      <c r="F9" s="2432"/>
      <c r="G9" s="2432"/>
      <c r="H9" s="2432"/>
      <c r="I9" s="2432"/>
      <c r="J9" s="2432"/>
      <c r="K9" s="2432"/>
      <c r="L9" s="2432"/>
      <c r="M9" s="2432"/>
      <c r="N9" s="2432"/>
      <c r="O9" s="2432"/>
      <c r="P9" s="2432"/>
    </row>
    <row r="10" spans="1:16">
      <c r="A10" s="1522"/>
      <c r="B10" s="1523"/>
      <c r="C10" s="43" t="s">
        <v>1125</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2"/>
      <c r="B11" s="1523"/>
      <c r="C11" s="43" t="s">
        <v>1117</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2"/>
      <c r="B12" s="1523"/>
      <c r="C12" s="43" t="s">
        <v>1118</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2"/>
      <c r="B13" s="1523"/>
      <c r="C13" s="43" t="s">
        <v>1119</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2"/>
      <c r="B14" s="1523"/>
      <c r="C14" s="43" t="s">
        <v>1131</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2"/>
      <c r="B15" s="1523"/>
      <c r="C15" s="43" t="s">
        <v>1126</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0"/>
      <c r="B16" s="1523"/>
      <c r="C16" s="45" t="s">
        <v>1120</v>
      </c>
      <c r="D16" s="45">
        <f>SUM(D8:D15)</f>
        <v>21472.46</v>
      </c>
      <c r="E16" s="48">
        <f>SUM(E8:E15)</f>
        <v>174099.34999999995</v>
      </c>
      <c r="F16" s="2432"/>
      <c r="G16" s="2432"/>
      <c r="H16" s="1524" t="s">
        <v>1132</v>
      </c>
      <c r="I16" s="1525"/>
      <c r="J16" s="1066"/>
      <c r="K16" s="3277" t="s">
        <v>1132</v>
      </c>
      <c r="L16" s="3278"/>
      <c r="M16" s="3278"/>
      <c r="N16" s="3278"/>
      <c r="O16" s="3278"/>
      <c r="P16" s="3279"/>
    </row>
    <row r="17" spans="1:19" ht="15">
      <c r="A17" s="1526" t="s">
        <v>1133</v>
      </c>
      <c r="B17" s="1527" t="s">
        <v>1134</v>
      </c>
      <c r="C17" s="1528" t="s">
        <v>1135</v>
      </c>
      <c r="D17" s="1529" t="s">
        <v>1123</v>
      </c>
      <c r="E17" s="1530" t="s">
        <v>1124</v>
      </c>
      <c r="F17" s="1531"/>
      <c r="G17" s="1532"/>
      <c r="H17" s="1533" t="s">
        <v>1136</v>
      </c>
      <c r="I17" s="1534" t="s">
        <v>1121</v>
      </c>
      <c r="J17" s="1066"/>
      <c r="K17" s="3274" t="s">
        <v>1137</v>
      </c>
      <c r="L17" s="3275"/>
      <c r="M17" s="3276"/>
      <c r="N17" s="3274" t="s">
        <v>1138</v>
      </c>
      <c r="O17" s="3275"/>
      <c r="P17" s="3276"/>
      <c r="R17" s="765" t="s">
        <v>1139</v>
      </c>
      <c r="S17" s="54"/>
    </row>
    <row r="18" spans="1:19" ht="15">
      <c r="A18" s="1522"/>
      <c r="B18" s="1519"/>
      <c r="C18" s="1535"/>
      <c r="D18" s="1536"/>
      <c r="E18" s="1537" t="s">
        <v>1140</v>
      </c>
      <c r="F18" s="1538" t="s">
        <v>1141</v>
      </c>
      <c r="G18" s="1539" t="s">
        <v>1142</v>
      </c>
      <c r="H18" s="975" t="s">
        <v>1143</v>
      </c>
      <c r="I18" s="1540" t="s">
        <v>1144</v>
      </c>
      <c r="J18" s="1066"/>
      <c r="K18" s="975" t="s">
        <v>1145</v>
      </c>
      <c r="L18" s="1541" t="s">
        <v>1146</v>
      </c>
      <c r="M18" s="798" t="s">
        <v>1147</v>
      </c>
      <c r="N18" s="975" t="s">
        <v>1145</v>
      </c>
      <c r="O18" s="1541" t="s">
        <v>1146</v>
      </c>
      <c r="P18" s="798" t="s">
        <v>1147</v>
      </c>
      <c r="R18" s="43" t="s">
        <v>1148</v>
      </c>
      <c r="S18" s="43" t="s">
        <v>1149</v>
      </c>
    </row>
    <row r="19" spans="1:19">
      <c r="A19" s="1542"/>
      <c r="B19" s="45" t="s">
        <v>1122</v>
      </c>
      <c r="C19" s="3109" t="str">
        <f>'数据-基础表'!C13</f>
        <v>商业</v>
      </c>
      <c r="D19" s="43">
        <f>ROUND($D$3*E19/$E$3,2)</f>
        <v>6949.44</v>
      </c>
      <c r="E19" s="51">
        <f t="shared" ref="E19:E26" si="1">SUM(F19:G19)</f>
        <v>56346.270000000004</v>
      </c>
      <c r="F19" s="2551">
        <f>'数据-基础表'!I13</f>
        <v>37564.18</v>
      </c>
      <c r="G19" s="1236">
        <f>'数据-基础表'!K13</f>
        <v>18782.09</v>
      </c>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3"/>
      <c r="O19" s="1544"/>
      <c r="P19" s="46">
        <f>N19+O19</f>
        <v>0</v>
      </c>
      <c r="R19" s="43">
        <f t="shared" ref="R19:S26" si="5">D19+H19</f>
        <v>6949.44</v>
      </c>
      <c r="S19" s="51">
        <f t="shared" si="5"/>
        <v>56346.270000000004</v>
      </c>
    </row>
    <row r="20" spans="1:19">
      <c r="A20" s="1542"/>
      <c r="B20" s="45" t="s">
        <v>1150</v>
      </c>
      <c r="C20" s="3109" t="str">
        <f>'数据-基础表'!C14</f>
        <v>1号楼办公501</v>
      </c>
      <c r="D20" s="43">
        <f t="shared" ref="D20:D26" si="6">ROUND($D$3*E20/$E$3,2)</f>
        <v>93.1</v>
      </c>
      <c r="E20" s="51">
        <f t="shared" si="1"/>
        <v>754.84</v>
      </c>
      <c r="F20" s="2551">
        <f>'数据-基础表'!I14</f>
        <v>754.84</v>
      </c>
      <c r="G20" s="1236"/>
      <c r="H20" s="635">
        <f t="shared" ref="H20:H26" si="7">ROUND($D$3*I20/$E$3,2)</f>
        <v>0</v>
      </c>
      <c r="I20" s="46">
        <f t="shared" si="2"/>
        <v>0</v>
      </c>
      <c r="J20" s="1066"/>
      <c r="K20" s="635">
        <f t="shared" si="3"/>
        <v>0</v>
      </c>
      <c r="L20" s="43">
        <f t="shared" si="4"/>
        <v>0</v>
      </c>
      <c r="M20" s="46">
        <f t="shared" ref="M20:M26" si="8">K20+L20</f>
        <v>0</v>
      </c>
      <c r="N20" s="1543"/>
      <c r="O20" s="1544"/>
      <c r="P20" s="46">
        <f t="shared" ref="P20:P26" si="9">N20+O20</f>
        <v>0</v>
      </c>
      <c r="R20" s="43">
        <f t="shared" si="5"/>
        <v>93.1</v>
      </c>
      <c r="S20" s="51">
        <f t="shared" si="5"/>
        <v>754.84</v>
      </c>
    </row>
    <row r="21" spans="1:19">
      <c r="A21" s="1542"/>
      <c r="B21" s="45" t="s">
        <v>1150</v>
      </c>
      <c r="C21" s="3109" t="str">
        <f>'数据-基础表'!C15</f>
        <v>5号楼车位B2001</v>
      </c>
      <c r="D21" s="43">
        <f t="shared" si="6"/>
        <v>6.53</v>
      </c>
      <c r="E21" s="51">
        <f t="shared" si="1"/>
        <v>52.93</v>
      </c>
      <c r="F21" s="2551"/>
      <c r="G21" s="1236">
        <f>'数据-基础表'!K15</f>
        <v>52.93</v>
      </c>
      <c r="H21" s="635">
        <f t="shared" si="7"/>
        <v>0</v>
      </c>
      <c r="I21" s="46">
        <f t="shared" si="2"/>
        <v>0</v>
      </c>
      <c r="J21" s="1066"/>
      <c r="K21" s="635">
        <f t="shared" si="3"/>
        <v>0</v>
      </c>
      <c r="L21" s="43">
        <f t="shared" si="4"/>
        <v>0</v>
      </c>
      <c r="M21" s="46">
        <f t="shared" si="8"/>
        <v>0</v>
      </c>
      <c r="N21" s="1543"/>
      <c r="O21" s="1544"/>
      <c r="P21" s="46">
        <f t="shared" si="9"/>
        <v>0</v>
      </c>
      <c r="R21" s="43">
        <f t="shared" si="5"/>
        <v>6.53</v>
      </c>
      <c r="S21" s="51">
        <f t="shared" si="5"/>
        <v>52.93</v>
      </c>
    </row>
    <row r="22" spans="1:19">
      <c r="A22" s="1542"/>
      <c r="B22" s="45" t="s">
        <v>1150</v>
      </c>
      <c r="C22" s="3110" t="s">
        <v>4839</v>
      </c>
      <c r="D22" s="43">
        <f t="shared" si="6"/>
        <v>16746.400000000001</v>
      </c>
      <c r="E22" s="51">
        <f t="shared" si="1"/>
        <v>135780.32999999996</v>
      </c>
      <c r="F22" s="2552">
        <f>'数据-基础表'!I16</f>
        <v>135780.32999999996</v>
      </c>
      <c r="G22" s="2553"/>
      <c r="H22" s="635">
        <f t="shared" si="7"/>
        <v>0</v>
      </c>
      <c r="I22" s="46">
        <f t="shared" si="2"/>
        <v>0</v>
      </c>
      <c r="J22" s="1066"/>
      <c r="K22" s="635">
        <f t="shared" si="3"/>
        <v>0</v>
      </c>
      <c r="L22" s="43">
        <f t="shared" si="4"/>
        <v>0</v>
      </c>
      <c r="M22" s="46">
        <f t="shared" si="8"/>
        <v>0</v>
      </c>
      <c r="N22" s="1543"/>
      <c r="O22" s="1544"/>
      <c r="P22" s="46">
        <f t="shared" si="9"/>
        <v>0</v>
      </c>
      <c r="R22" s="43">
        <f t="shared" si="5"/>
        <v>16746.400000000001</v>
      </c>
      <c r="S22" s="51">
        <f t="shared" si="5"/>
        <v>135780.32999999996</v>
      </c>
    </row>
    <row r="23" spans="1:19">
      <c r="A23" s="1542"/>
      <c r="B23" s="45" t="s">
        <v>1150</v>
      </c>
      <c r="C23" s="3110" t="s">
        <v>4840</v>
      </c>
      <c r="D23" s="43">
        <f>ROUND($D$3*E23/$E$3,2)</f>
        <v>4904.53</v>
      </c>
      <c r="E23" s="51">
        <f>SUM(F23:G23)</f>
        <v>39766.09000000012</v>
      </c>
      <c r="F23" s="2552"/>
      <c r="G23" s="2553">
        <f>'数据-基础表'!K17</f>
        <v>39766.09000000012</v>
      </c>
      <c r="H23" s="635">
        <f>ROUND($D$3*I23/$E$3,2)</f>
        <v>0</v>
      </c>
      <c r="I23" s="46">
        <f t="shared" si="2"/>
        <v>0</v>
      </c>
      <c r="J23" s="1066"/>
      <c r="K23" s="635">
        <f t="shared" si="3"/>
        <v>0</v>
      </c>
      <c r="L23" s="43">
        <f t="shared" si="4"/>
        <v>0</v>
      </c>
      <c r="M23" s="46">
        <f t="shared" si="8"/>
        <v>0</v>
      </c>
      <c r="N23" s="1543"/>
      <c r="O23" s="1544"/>
      <c r="P23" s="46">
        <f t="shared" si="9"/>
        <v>0</v>
      </c>
      <c r="R23" s="43">
        <f t="shared" si="5"/>
        <v>4904.53</v>
      </c>
      <c r="S23" s="51">
        <f t="shared" si="5"/>
        <v>39766.09000000012</v>
      </c>
    </row>
    <row r="24" spans="1:19">
      <c r="A24" s="1542"/>
      <c r="B24" s="45" t="s">
        <v>1150</v>
      </c>
      <c r="C24" s="3110"/>
      <c r="D24" s="43">
        <f>ROUND($D$3*E24/$E$3,2)</f>
        <v>0</v>
      </c>
      <c r="E24" s="51">
        <f>SUM(F24:G24)</f>
        <v>0</v>
      </c>
      <c r="F24" s="2552"/>
      <c r="G24" s="2553"/>
      <c r="H24" s="635">
        <f>ROUND($D$3*I24/$E$3,2)</f>
        <v>0</v>
      </c>
      <c r="I24" s="46">
        <f t="shared" si="2"/>
        <v>0</v>
      </c>
      <c r="J24" s="1066"/>
      <c r="K24" s="635">
        <f t="shared" si="3"/>
        <v>0</v>
      </c>
      <c r="L24" s="43">
        <f t="shared" si="4"/>
        <v>0</v>
      </c>
      <c r="M24" s="46">
        <f t="shared" si="8"/>
        <v>0</v>
      </c>
      <c r="N24" s="1543"/>
      <c r="O24" s="1544"/>
      <c r="P24" s="46">
        <f t="shared" si="9"/>
        <v>0</v>
      </c>
      <c r="R24" s="43">
        <f t="shared" si="5"/>
        <v>0</v>
      </c>
      <c r="S24" s="51">
        <f t="shared" si="5"/>
        <v>0</v>
      </c>
    </row>
    <row r="25" spans="1:19">
      <c r="A25" s="1542"/>
      <c r="B25" s="45" t="s">
        <v>1150</v>
      </c>
      <c r="C25" s="3110"/>
      <c r="D25" s="43">
        <f t="shared" si="6"/>
        <v>0</v>
      </c>
      <c r="E25" s="51">
        <f t="shared" si="1"/>
        <v>0</v>
      </c>
      <c r="F25" s="2552"/>
      <c r="G25" s="2553"/>
      <c r="H25" s="42">
        <f t="shared" si="7"/>
        <v>0</v>
      </c>
      <c r="I25" s="46">
        <f t="shared" si="2"/>
        <v>0</v>
      </c>
      <c r="J25" s="1066"/>
      <c r="K25" s="635">
        <f t="shared" si="3"/>
        <v>0</v>
      </c>
      <c r="L25" s="43">
        <f t="shared" si="4"/>
        <v>0</v>
      </c>
      <c r="M25" s="46">
        <f t="shared" si="8"/>
        <v>0</v>
      </c>
      <c r="N25" s="1543"/>
      <c r="O25" s="1544"/>
      <c r="P25" s="46">
        <f t="shared" si="9"/>
        <v>0</v>
      </c>
      <c r="R25" s="43">
        <f t="shared" si="5"/>
        <v>0</v>
      </c>
      <c r="S25" s="51">
        <f t="shared" si="5"/>
        <v>0</v>
      </c>
    </row>
    <row r="26" spans="1:19">
      <c r="A26" s="1542"/>
      <c r="B26" s="45" t="s">
        <v>1150</v>
      </c>
      <c r="C26" s="53"/>
      <c r="D26" s="43">
        <f t="shared" si="6"/>
        <v>0</v>
      </c>
      <c r="E26" s="51">
        <f t="shared" si="1"/>
        <v>0</v>
      </c>
      <c r="F26" s="2552"/>
      <c r="G26" s="2553"/>
      <c r="H26" s="42">
        <f t="shared" si="7"/>
        <v>0</v>
      </c>
      <c r="I26" s="46">
        <f t="shared" si="2"/>
        <v>0</v>
      </c>
      <c r="J26" s="1066"/>
      <c r="K26" s="42">
        <f t="shared" si="3"/>
        <v>0</v>
      </c>
      <c r="L26" s="45">
        <f t="shared" si="4"/>
        <v>0</v>
      </c>
      <c r="M26" s="48">
        <f t="shared" si="8"/>
        <v>0</v>
      </c>
      <c r="N26" s="1545"/>
      <c r="O26" s="1546"/>
      <c r="P26" s="48">
        <f t="shared" si="9"/>
        <v>0</v>
      </c>
      <c r="R26" s="43">
        <f t="shared" si="5"/>
        <v>0</v>
      </c>
      <c r="S26" s="51">
        <f t="shared" si="5"/>
        <v>0</v>
      </c>
    </row>
    <row r="27" spans="1:19" ht="15.75" thickBot="1">
      <c r="A27" s="1542"/>
      <c r="B27" s="43"/>
      <c r="C27" s="1547" t="s">
        <v>1151</v>
      </c>
      <c r="D27" s="1067">
        <f>SUM(D19:D26)</f>
        <v>28700</v>
      </c>
      <c r="E27" s="1068">
        <f>IF(SUM(E19:E26)='数据-基础表'!BA5,SUM(E19:E26),IF(F27="地上面积有误","面积有误","地下面积有误"))</f>
        <v>232700.46000000008</v>
      </c>
      <c r="F27" s="1067">
        <f>IF(SUM(F19:F26)=E8,SUM(F19:F26),"地上面积有误")</f>
        <v>174099.34999999995</v>
      </c>
      <c r="G27" s="1069">
        <f>SUM(G19:G26)</f>
        <v>58601.110000000117</v>
      </c>
      <c r="H27" s="1070">
        <f>SUM(H19:H26)</f>
        <v>0</v>
      </c>
      <c r="I27" s="1071">
        <f>SUM(I19:I26)</f>
        <v>0</v>
      </c>
      <c r="J27" s="1066"/>
      <c r="K27" s="1072">
        <f>SUM(K19:K26)</f>
        <v>0</v>
      </c>
      <c r="L27" s="781">
        <f>SUM(L19:L26)</f>
        <v>0</v>
      </c>
      <c r="M27" s="1073">
        <f>SUM(M19:M26)</f>
        <v>0</v>
      </c>
      <c r="N27" s="1072">
        <f t="shared" ref="N27:O27" si="10">SUM(N19:N26)</f>
        <v>0</v>
      </c>
      <c r="O27" s="781">
        <f t="shared" si="10"/>
        <v>0</v>
      </c>
      <c r="P27" s="94">
        <f>SUM(P19:P26)</f>
        <v>0</v>
      </c>
      <c r="R27" s="963">
        <f>IF(SUM(R19:R26)=$D$3,SUM(R19:R26),SUM(R19:R26)&amp;"误差"&amp;ROUND(SUM(R19:R26)-$D$3,2))</f>
        <v>28700</v>
      </c>
      <c r="S27" s="43">
        <f>IF(SUM(S19:S26)=$E$3,SUM(S19:S26),SUM(S19:S26)&amp;"误差"&amp;ROUND(SUM(S19:S26)-E3,2))</f>
        <v>232700.46000000008</v>
      </c>
    </row>
    <row r="28" spans="1:19">
      <c r="A28" s="1542"/>
      <c r="B28" s="45" t="s">
        <v>1152</v>
      </c>
      <c r="C28" s="54" t="s">
        <v>1153</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2"/>
      <c r="B29" s="45" t="s">
        <v>1152</v>
      </c>
      <c r="C29" s="1548" t="s">
        <v>1154</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2"/>
      <c r="B30" s="45"/>
      <c r="C30" s="1549" t="s">
        <v>1151</v>
      </c>
      <c r="D30" s="1067">
        <f>SUM(D28:D29)</f>
        <v>0</v>
      </c>
      <c r="E30" s="1067">
        <f>SUM(E28:E29)</f>
        <v>0</v>
      </c>
      <c r="F30" s="1067">
        <f>SUM(F28:F29)</f>
        <v>0</v>
      </c>
      <c r="G30" s="1069">
        <f>SUM(G28:G29)</f>
        <v>0</v>
      </c>
      <c r="H30" s="2432"/>
      <c r="I30" s="2432"/>
      <c r="J30" s="2432"/>
      <c r="K30" s="2432"/>
      <c r="L30" s="2432"/>
      <c r="M30" s="2432"/>
      <c r="N30" s="2432"/>
      <c r="O30" s="2432"/>
      <c r="P30" s="2432"/>
    </row>
    <row r="31" spans="1:19" ht="15.75" thickBot="1">
      <c r="A31" s="1550"/>
      <c r="B31" s="96"/>
      <c r="C31" s="781" t="s">
        <v>1155</v>
      </c>
      <c r="D31" s="641">
        <f>D27+D30</f>
        <v>28700</v>
      </c>
      <c r="E31" s="641">
        <f>E27+E30</f>
        <v>232700.46000000008</v>
      </c>
      <c r="F31" s="642">
        <f>F27+F30</f>
        <v>174099.34999999995</v>
      </c>
      <c r="G31" s="643">
        <f>G27+G30</f>
        <v>58601.110000000117</v>
      </c>
      <c r="H31" s="2432"/>
      <c r="I31" s="2432"/>
      <c r="J31" s="2432"/>
      <c r="K31" s="2432"/>
      <c r="L31" s="2432"/>
      <c r="M31" s="2432"/>
      <c r="N31" s="2432"/>
      <c r="O31" s="2432"/>
      <c r="P31" s="2432"/>
    </row>
    <row r="32" spans="1:19">
      <c r="A32" s="1519"/>
      <c r="B32" s="1519" t="s">
        <v>1156</v>
      </c>
      <c r="C32" s="1519"/>
      <c r="D32" s="1519"/>
      <c r="E32" s="985">
        <f>SUMIF(C19:C26,"*住宅*",E19:E26)</f>
        <v>0</v>
      </c>
      <c r="F32" s="1519"/>
      <c r="G32" s="1519"/>
      <c r="H32" s="2432"/>
      <c r="I32" s="2432"/>
      <c r="J32" s="2432"/>
      <c r="K32" s="2432"/>
      <c r="L32" s="2432"/>
      <c r="M32" s="2432"/>
      <c r="N32" s="2432"/>
      <c r="O32" s="2432"/>
      <c r="P32" s="2432"/>
    </row>
    <row r="33" spans="4:7">
      <c r="D33" s="1551"/>
    </row>
    <row r="36" spans="4:7">
      <c r="F36" s="1515">
        <v>2</v>
      </c>
      <c r="G36" s="1515">
        <f ca="1">G37*10000/G19</f>
        <v>6306.8806506624132</v>
      </c>
    </row>
    <row r="37" spans="4:7">
      <c r="E37" s="1515">
        <f ca="1">结果表!G19</f>
        <v>86974</v>
      </c>
      <c r="F37" s="1515">
        <f>F36*F19</f>
        <v>75128.36</v>
      </c>
      <c r="G37" s="1515">
        <f ca="1">E37-F37</f>
        <v>11845.64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xr:uid="{00000000-0002-0000-1600-000000000000}">
      <formula1>类别</formula1>
    </dataValidation>
    <dataValidation type="list" allowBlank="1" showInputMessage="1" showErrorMessage="1" sqref="I17" xr:uid="{00000000-0002-0000-16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611" customWidth="1"/>
    <col min="2" max="2" width="12" style="1554" customWidth="1"/>
    <col min="3" max="3" width="12.75" style="1554" customWidth="1"/>
    <col min="4" max="4" width="9.125" style="1612" customWidth="1"/>
    <col min="5" max="5" width="15" style="1554" bestFit="1" customWidth="1"/>
    <col min="6" max="10" width="8.875" style="1554" customWidth="1"/>
    <col min="11" max="12" width="12.375" style="1482" customWidth="1"/>
    <col min="13" max="13" width="8.625" style="1554" customWidth="1"/>
    <col min="14" max="14" width="11.875" style="1554" customWidth="1"/>
    <col min="15" max="15" width="8.5" style="1554" customWidth="1"/>
    <col min="16" max="17" width="10.875" style="1554" customWidth="1"/>
    <col min="18" max="18" width="12.5" style="1554" customWidth="1"/>
    <col min="19" max="19" width="9" style="1554" bestFit="1" customWidth="1"/>
    <col min="20" max="20" width="12.125" style="1554" customWidth="1"/>
    <col min="21" max="21" width="7.5" style="1554" customWidth="1"/>
    <col min="22" max="22" width="6.375" style="1554" customWidth="1"/>
    <col min="23" max="30" width="6.75" style="1554" customWidth="1"/>
    <col min="31" max="31" width="8" style="1554" customWidth="1"/>
    <col min="32" max="34" width="7.25" style="1554" customWidth="1"/>
    <col min="35" max="39" width="8" style="1554" customWidth="1"/>
    <col min="40" max="40" width="13.75" style="121"/>
    <col min="41" max="41" width="11.625" style="121" customWidth="1"/>
    <col min="42" max="42" width="9.75" style="121" customWidth="1"/>
    <col min="43" max="67" width="13.75" style="121"/>
    <col min="68" max="16384" width="13.75" style="1554"/>
  </cols>
  <sheetData>
    <row r="1" spans="1:67" ht="19.5" thickBot="1">
      <c r="A1" s="1552" t="s">
        <v>1157</v>
      </c>
      <c r="B1" s="644"/>
      <c r="C1" s="120"/>
      <c r="D1" s="1553"/>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4" customFormat="1" ht="15.75" thickBot="1">
      <c r="A2" s="1555" t="s">
        <v>1158</v>
      </c>
      <c r="B2" s="979">
        <f>项目基本情况!D3</f>
        <v>45492</v>
      </c>
      <c r="C2" s="1066"/>
      <c r="D2" s="1556"/>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2"/>
      <c r="AO2" s="2432"/>
      <c r="AP2" s="2432"/>
      <c r="AQ2" s="2432"/>
      <c r="AR2" s="2432"/>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5" thickBot="1">
      <c r="A3" s="1442"/>
      <c r="B3" s="1535"/>
      <c r="C3" s="1066"/>
      <c r="D3" s="1556"/>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2"/>
      <c r="AO3" s="2432"/>
      <c r="AP3" s="2432"/>
      <c r="AQ3" s="2432"/>
      <c r="AR3" s="2432"/>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1159</v>
      </c>
      <c r="B4" s="1557"/>
      <c r="C4" s="1558"/>
      <c r="D4" s="1559"/>
      <c r="E4" s="1558" t="s">
        <v>1160</v>
      </c>
      <c r="F4" s="1558"/>
      <c r="G4" s="1558"/>
      <c r="H4" s="1558"/>
      <c r="I4" s="1558"/>
      <c r="J4" s="1560"/>
      <c r="K4" s="1561"/>
      <c r="L4" s="1562"/>
      <c r="M4" s="1558"/>
      <c r="N4" s="1558" t="s">
        <v>1161</v>
      </c>
      <c r="O4" s="1558"/>
      <c r="P4" s="1558"/>
      <c r="Q4" s="1558"/>
      <c r="R4" s="1558"/>
      <c r="S4" s="1560"/>
      <c r="T4" s="2431" t="str">
        <f>'数据-汇总表'!I17</f>
        <v>按面积比例</v>
      </c>
      <c r="U4" s="1557" t="s">
        <v>1162</v>
      </c>
      <c r="V4" s="1558"/>
      <c r="W4" s="1558"/>
      <c r="X4" s="1558"/>
      <c r="Y4" s="1560"/>
      <c r="Z4" s="1528" t="s">
        <v>1163</v>
      </c>
      <c r="AA4" s="1528"/>
      <c r="AB4" s="1528"/>
      <c r="AC4" s="1528"/>
      <c r="AD4" s="1528"/>
      <c r="AE4" s="1526" t="s">
        <v>1164</v>
      </c>
      <c r="AF4" s="1528"/>
      <c r="AG4" s="1563"/>
      <c r="AH4" s="1557"/>
      <c r="AI4" s="1558"/>
      <c r="AJ4" s="1558"/>
      <c r="AK4" s="1558"/>
      <c r="AL4" s="1558"/>
      <c r="AM4" s="1560"/>
      <c r="AN4" s="2432"/>
      <c r="AO4" s="2432"/>
      <c r="AP4" s="2432"/>
      <c r="AQ4" s="2432"/>
      <c r="AR4" s="2432"/>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42">
      <c r="A5" s="1564" t="s">
        <v>1165</v>
      </c>
      <c r="B5" s="1565" t="s">
        <v>1166</v>
      </c>
      <c r="C5" s="1566" t="s">
        <v>1167</v>
      </c>
      <c r="D5" s="1567" t="s">
        <v>1168</v>
      </c>
      <c r="E5" s="503" t="s">
        <v>1169</v>
      </c>
      <c r="F5" s="1568" t="s">
        <v>1170</v>
      </c>
      <c r="G5" s="503" t="s">
        <v>1171</v>
      </c>
      <c r="H5" s="503" t="s">
        <v>1172</v>
      </c>
      <c r="I5" s="503" t="s">
        <v>1173</v>
      </c>
      <c r="J5" s="1240" t="s">
        <v>1174</v>
      </c>
      <c r="K5" s="1569" t="s">
        <v>1175</v>
      </c>
      <c r="L5" s="1570" t="s">
        <v>1176</v>
      </c>
      <c r="M5" s="1571" t="s">
        <v>1177</v>
      </c>
      <c r="N5" s="1572" t="s">
        <v>4169</v>
      </c>
      <c r="O5" s="1570" t="s">
        <v>1178</v>
      </c>
      <c r="P5" s="1573" t="s">
        <v>1179</v>
      </c>
      <c r="Q5" s="58" t="s">
        <v>1180</v>
      </c>
      <c r="R5" s="1574" t="s">
        <v>1181</v>
      </c>
      <c r="S5" s="1575" t="s">
        <v>1182</v>
      </c>
      <c r="T5" s="1576" t="s">
        <v>1183</v>
      </c>
      <c r="U5" s="980" t="s">
        <v>1184</v>
      </c>
      <c r="V5" s="503" t="s">
        <v>1185</v>
      </c>
      <c r="W5" s="503" t="s">
        <v>1186</v>
      </c>
      <c r="X5" s="60"/>
      <c r="Y5" s="59" t="s">
        <v>1187</v>
      </c>
      <c r="Z5" s="1096" t="s">
        <v>1184</v>
      </c>
      <c r="AA5" s="503" t="s">
        <v>1185</v>
      </c>
      <c r="AB5" s="503" t="s">
        <v>1186</v>
      </c>
      <c r="AC5" s="60"/>
      <c r="AD5" s="60" t="s">
        <v>1187</v>
      </c>
      <c r="AE5" s="980" t="s">
        <v>1188</v>
      </c>
      <c r="AF5" s="503" t="s">
        <v>1189</v>
      </c>
      <c r="AG5" s="59" t="s">
        <v>1190</v>
      </c>
      <c r="AH5" s="980" t="s">
        <v>1191</v>
      </c>
      <c r="AI5" s="1096" t="s">
        <v>1192</v>
      </c>
      <c r="AJ5" s="1096" t="s">
        <v>1193</v>
      </c>
      <c r="AK5" s="503" t="s">
        <v>1194</v>
      </c>
      <c r="AL5" s="503" t="s">
        <v>1195</v>
      </c>
      <c r="AM5" s="59" t="s">
        <v>1196</v>
      </c>
      <c r="AN5" s="1577" t="s">
        <v>1197</v>
      </c>
      <c r="AO5" s="1447" t="s">
        <v>1198</v>
      </c>
      <c r="AP5" s="963" t="s">
        <v>1199</v>
      </c>
      <c r="AQ5" s="1578" t="s">
        <v>1200</v>
      </c>
      <c r="AR5" s="1578" t="s">
        <v>1201</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4" customFormat="1" ht="14.25">
      <c r="A6" s="1579" t="str">
        <f>'数据-汇总表'!C19</f>
        <v>商业</v>
      </c>
      <c r="B6" s="1580" t="str">
        <f>IF(A6=0,"","经营性")</f>
        <v>经营性</v>
      </c>
      <c r="C6" s="1581" t="s">
        <v>670</v>
      </c>
      <c r="D6" s="801">
        <f>SUMIF(项目基本情况!C$12:I$12,C6,项目基本情况!C$14:I$14)</f>
        <v>40</v>
      </c>
      <c r="E6" s="800">
        <f>IF(B6="","",SUMIF(项目基本情况!C$12:I$12,C6,项目基本情况!C$13:I$13))</f>
        <v>56978</v>
      </c>
      <c r="F6" s="61">
        <f>SUMIF(项目基本情况!C$12:I$12,C6,项目基本情况!C$15:I$15)</f>
        <v>31.46</v>
      </c>
      <c r="G6" s="62">
        <f>IF(ISERROR(ROUND(POWER(1+H6,D6-F6)*(POWER(1+H6,F6)-1)/(POWER(1+H6,D6)-1),3)),0,ROUND(POWER(1+H6,D6-F6)*(POWER(1+H6,F6)-1)/(POWER(1+H6,D6)-1),3))</f>
        <v>0.91400000000000003</v>
      </c>
      <c r="H6" s="689">
        <v>0.05</v>
      </c>
      <c r="I6" s="689">
        <v>5.5E-2</v>
      </c>
      <c r="J6" s="63">
        <v>7.0000000000000007E-2</v>
      </c>
      <c r="K6" s="965">
        <f>SUMIF('数据-汇总表'!C$19:C$33,A6,'数据-汇总表'!E$19:E$33)</f>
        <v>56346.270000000004</v>
      </c>
      <c r="L6" s="690">
        <v>5500</v>
      </c>
      <c r="M6" s="64">
        <f t="shared" ref="M6:M14" si="0">ROUND(K6*L6/10000,0)</f>
        <v>30990</v>
      </c>
      <c r="N6" s="688">
        <f>ROUND(1-(2024-2023)/60,2)</f>
        <v>0.98</v>
      </c>
      <c r="O6" s="64" t="str">
        <f>IF($N$5="成新度","——",ROUND(M6*N6,0))</f>
        <v>——</v>
      </c>
      <c r="P6" s="65" t="str">
        <f>IF($N$5="成新度","——",M6-O6)</f>
        <v>——</v>
      </c>
      <c r="Q6" s="691">
        <v>0.2</v>
      </c>
      <c r="R6" s="66">
        <f ca="1">SUMIF('数据-汇总表'!C$19:C$33,A6,'数据-汇总表'!R$19:R$27)</f>
        <v>6949.44</v>
      </c>
      <c r="S6" s="49">
        <f>IF('数据-汇总表'!$I$17="按面积比例",SUMIF('数据-汇总表'!C$19:C$33,A6,'数据-汇总表'!K$19:K$33),SUMIF('数据-汇总表'!C$19:C$33,A6,'数据-汇总表'!N$19:N$33))</f>
        <v>0</v>
      </c>
      <c r="T6" s="1087">
        <f>ROUND($L$14*S6/10000,0)</f>
        <v>0</v>
      </c>
      <c r="U6" s="3120">
        <f>R27</f>
        <v>2.2999999999999998</v>
      </c>
      <c r="V6" s="67">
        <v>0.02</v>
      </c>
      <c r="W6" s="67">
        <v>0.1</v>
      </c>
      <c r="X6" s="974"/>
      <c r="Y6" s="68">
        <f>N6</f>
        <v>0.98</v>
      </c>
      <c r="Z6" s="69"/>
      <c r="AA6" s="63"/>
      <c r="AB6" s="63"/>
      <c r="AC6" s="974"/>
      <c r="AD6" s="70"/>
      <c r="AE6" s="975">
        <f ca="1">IF(AN6="",0,SUMIF(INDIRECT("'"&amp;AN6&amp;"'"&amp;"!E:E"),$AE$5,INDIRECT("'"&amp;AN6&amp;"'"&amp;"!F:F")))</f>
        <v>31.46</v>
      </c>
      <c r="AF6" s="74"/>
      <c r="AG6" s="129">
        <f>IF(AF6="",0,AE6-AF6)</f>
        <v>0</v>
      </c>
      <c r="AH6" s="71"/>
      <c r="AI6" s="73">
        <v>365</v>
      </c>
      <c r="AJ6" s="74"/>
      <c r="AK6" s="75">
        <v>2E-3</v>
      </c>
      <c r="AL6" s="76">
        <v>1E-3</v>
      </c>
      <c r="AM6" s="77">
        <v>0.01</v>
      </c>
      <c r="AN6" s="1582" t="s">
        <v>4187</v>
      </c>
      <c r="AO6" s="50">
        <f ca="1">SUMIF(INDIRECT("'"&amp;AN6&amp;"'"&amp;"!A:A"),"总价",INDIRECT("'"&amp;AN6&amp;"'"&amp;"!B:B"))</f>
        <v>65148</v>
      </c>
      <c r="AP6" s="1583">
        <f>IF(C6="住宅",K6*L6,0)</f>
        <v>0</v>
      </c>
      <c r="AQ6" s="50">
        <f>ROUND($L$14*$N$14*S6/10000,0)</f>
        <v>0</v>
      </c>
      <c r="AR6" s="50">
        <f>ROUND($L$14*(1-$N$14)*S6/10000,0)</f>
        <v>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4.25">
      <c r="A7" s="1579" t="str">
        <f>'数据-汇总表'!C20</f>
        <v>1号楼办公501</v>
      </c>
      <c r="B7" s="1580" t="str">
        <f t="shared" ref="B7:B13" si="1">IF(A7=0,"","经营性")</f>
        <v>经营性</v>
      </c>
      <c r="C7" s="1581" t="s">
        <v>21</v>
      </c>
      <c r="D7" s="801">
        <f>SUMIF(项目基本情况!C$12:I$12,C7,项目基本情况!C$14:I$14)</f>
        <v>50</v>
      </c>
      <c r="E7" s="800">
        <f>IF(B7="","",SUMIF(项目基本情况!C$12:I$12,C7,项目基本情况!C$13:I$13))</f>
        <v>60631</v>
      </c>
      <c r="F7" s="61">
        <f>SUMIF(项目基本情况!C$12:I$12,C7,项目基本情况!C$15:I$15)</f>
        <v>41.47</v>
      </c>
      <c r="G7" s="62">
        <f t="shared" ref="G7:G11" si="2">IF(ISERROR(ROUND(POWER(1+H7,D7-F7)*(POWER(1+H7,F7)-1)/(POWER(1+H7,D7)-1),3)),0,ROUND(POWER(1+H7,D7-F7)*(POWER(1+H7,F7)-1)/(POWER(1+H7,D7)-1),3))</f>
        <v>0.95099999999999996</v>
      </c>
      <c r="H7" s="689">
        <v>0.05</v>
      </c>
      <c r="I7" s="689">
        <v>5.5E-2</v>
      </c>
      <c r="J7" s="63">
        <v>7.0000000000000007E-2</v>
      </c>
      <c r="K7" s="965">
        <f>SUMIF('数据-汇总表'!C$19:C$33,A7,'数据-汇总表'!E$19:E$33)</f>
        <v>754.84</v>
      </c>
      <c r="L7" s="690">
        <f>L6</f>
        <v>5500</v>
      </c>
      <c r="M7" s="64">
        <f t="shared" si="0"/>
        <v>415</v>
      </c>
      <c r="N7" s="688">
        <f>'1号楼'!N7</f>
        <v>0.97</v>
      </c>
      <c r="O7" s="64" t="str">
        <f t="shared" ref="O7:O14" si="3">IF($N$5="成新度","——",ROUND(M7*N7,0))</f>
        <v>——</v>
      </c>
      <c r="P7" s="65" t="str">
        <f t="shared" ref="P7:P14" si="4">IF($N$5="成新度","——",M7-O7)</f>
        <v>——</v>
      </c>
      <c r="Q7" s="691">
        <v>0.2</v>
      </c>
      <c r="R7" s="66">
        <f ca="1">SUMIF('数据-汇总表'!C$19:C$33,A7,'数据-汇总表'!R$19:R$27)</f>
        <v>93.1</v>
      </c>
      <c r="S7" s="49">
        <f>IF('数据-汇总表'!$I$17="按面积比例",SUMIF('数据-汇总表'!C$19:C$33,A7,'数据-汇总表'!K$19:K$33),SUMIF('数据-汇总表'!C$19:C$33,A7,'数据-汇总表'!N$19:N$33))</f>
        <v>0</v>
      </c>
      <c r="T7" s="1087">
        <f t="shared" ref="T7:T13" si="5">ROUND($L$14*S7/10000,0)</f>
        <v>0</v>
      </c>
      <c r="U7" s="3120">
        <v>2</v>
      </c>
      <c r="V7" s="67">
        <v>0.02</v>
      </c>
      <c r="W7" s="67">
        <v>0.1</v>
      </c>
      <c r="X7" s="974"/>
      <c r="Y7" s="68">
        <f t="shared" ref="Y7:Y8" si="6">N7</f>
        <v>0.97</v>
      </c>
      <c r="Z7" s="69"/>
      <c r="AA7" s="63"/>
      <c r="AB7" s="63"/>
      <c r="AC7" s="974"/>
      <c r="AD7" s="70"/>
      <c r="AE7" s="975">
        <f t="shared" ref="AE7:AE13" ca="1" si="7">IF(AN7="",0,SUMIF(INDIRECT("'"&amp;AN7&amp;"'"&amp;"!E:E"),$AE$5,INDIRECT("'"&amp;AN7&amp;"'"&amp;"!F:F")))</f>
        <v>41.47</v>
      </c>
      <c r="AF7" s="74"/>
      <c r="AG7" s="129">
        <f t="shared" ref="AG7:AG13" si="8">IF(AF7="",0,AE7-AF7)</f>
        <v>0</v>
      </c>
      <c r="AH7" s="71"/>
      <c r="AI7" s="73">
        <v>365</v>
      </c>
      <c r="AJ7" s="74"/>
      <c r="AK7" s="75">
        <f>AK6</f>
        <v>2E-3</v>
      </c>
      <c r="AL7" s="76">
        <v>1E-3</v>
      </c>
      <c r="AM7" s="77">
        <v>0.01</v>
      </c>
      <c r="AN7" s="1582" t="s">
        <v>4189</v>
      </c>
      <c r="AO7" s="50">
        <f t="shared" ref="AO7:AO13" ca="1" si="9">SUMIF(INDIRECT("'"&amp;AN7&amp;"'"&amp;"!A:A"),"总价",INDIRECT("'"&amp;AN7&amp;"'"&amp;"!B:B"))</f>
        <v>852</v>
      </c>
      <c r="AP7" s="1583">
        <f t="shared" ref="AP7:AP13" si="10">IF(C7="住宅",K7*L7,0)</f>
        <v>0</v>
      </c>
      <c r="AQ7" s="50">
        <f t="shared" ref="AQ7:AQ13" si="11">ROUND($L$14*$N$14*S7/10000,0)</f>
        <v>0</v>
      </c>
      <c r="AR7" s="50">
        <f t="shared" ref="AR7:AR13" si="12">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4.25">
      <c r="A8" s="1579" t="str">
        <f>'数据-汇总表'!C21</f>
        <v>5号楼车位B2001</v>
      </c>
      <c r="B8" s="1580" t="str">
        <f t="shared" si="1"/>
        <v>经营性</v>
      </c>
      <c r="C8" s="1581" t="s">
        <v>3321</v>
      </c>
      <c r="D8" s="801">
        <f>SUMIF(项目基本情况!C$12:I$12,C8,项目基本情况!C$14:I$14)</f>
        <v>50</v>
      </c>
      <c r="E8" s="800">
        <f>IF(B8="","",SUMIF(项目基本情况!C$12:I$12,C8,项目基本情况!C$13:I$13))</f>
        <v>60631</v>
      </c>
      <c r="F8" s="61">
        <f>SUMIF(项目基本情况!C$12:I$12,C8,项目基本情况!C$15:I$15)</f>
        <v>41.47</v>
      </c>
      <c r="G8" s="62">
        <f t="shared" si="2"/>
        <v>0.95099999999999996</v>
      </c>
      <c r="H8" s="689">
        <v>0.05</v>
      </c>
      <c r="I8" s="689">
        <v>5.5E-2</v>
      </c>
      <c r="J8" s="63">
        <v>7.0000000000000007E-2</v>
      </c>
      <c r="K8" s="965">
        <f>SUMIF('数据-汇总表'!C$19:C$33,A8,'数据-汇总表'!E$19:E$33)</f>
        <v>52.93</v>
      </c>
      <c r="L8" s="690">
        <v>4500</v>
      </c>
      <c r="M8" s="64">
        <f>ROUND(K8*L8/10000,0)</f>
        <v>24</v>
      </c>
      <c r="N8" s="688">
        <f>ROUND(1-(2024-2023)/60,2)</f>
        <v>0.98</v>
      </c>
      <c r="O8" s="64" t="str">
        <f t="shared" si="3"/>
        <v>——</v>
      </c>
      <c r="P8" s="65" t="str">
        <f t="shared" si="4"/>
        <v>——</v>
      </c>
      <c r="Q8" s="691">
        <v>0.05</v>
      </c>
      <c r="R8" s="66">
        <f ca="1">SUMIF('数据-汇总表'!C$19:C$33,A8,'数据-汇总表'!R$19:R$27)</f>
        <v>6.53</v>
      </c>
      <c r="S8" s="49">
        <f>IF('数据-汇总表'!$I$17="按面积比例",SUMIF('数据-汇总表'!C$19:C$33,A8,'数据-汇总表'!K$19:K$33),SUMIF('数据-汇总表'!C$19:C$33,A8,'数据-汇总表'!N$19:N$33))</f>
        <v>0</v>
      </c>
      <c r="T8" s="1087">
        <f t="shared" si="5"/>
        <v>0</v>
      </c>
      <c r="U8" s="3121">
        <v>500</v>
      </c>
      <c r="V8" s="692">
        <v>1.4999999999999999E-2</v>
      </c>
      <c r="W8" s="692">
        <v>0.1</v>
      </c>
      <c r="X8" s="974"/>
      <c r="Y8" s="68">
        <f t="shared" si="6"/>
        <v>0.98</v>
      </c>
      <c r="Z8" s="69"/>
      <c r="AA8" s="63"/>
      <c r="AB8" s="63"/>
      <c r="AC8" s="974"/>
      <c r="AD8" s="70"/>
      <c r="AE8" s="975">
        <f t="shared" ca="1" si="7"/>
        <v>41.47</v>
      </c>
      <c r="AF8" s="74"/>
      <c r="AG8" s="129">
        <f t="shared" si="8"/>
        <v>0</v>
      </c>
      <c r="AH8" s="693">
        <v>1</v>
      </c>
      <c r="AI8" s="73">
        <v>12</v>
      </c>
      <c r="AJ8" s="74"/>
      <c r="AK8" s="75">
        <v>2E-3</v>
      </c>
      <c r="AL8" s="76">
        <v>1E-3</v>
      </c>
      <c r="AM8" s="77">
        <v>5.0000000000000001E-3</v>
      </c>
      <c r="AN8" s="1582" t="s">
        <v>4423</v>
      </c>
      <c r="AO8" s="50">
        <f t="shared" ca="1" si="9"/>
        <v>7.5708000000000002</v>
      </c>
      <c r="AP8" s="1583">
        <f t="shared" si="10"/>
        <v>0</v>
      </c>
      <c r="AQ8" s="50">
        <f t="shared" si="11"/>
        <v>0</v>
      </c>
      <c r="AR8" s="50">
        <f t="shared" si="12"/>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4.25" hidden="1">
      <c r="A9" s="1579" t="str">
        <f>'数据-汇总表'!C22</f>
        <v>办公其他</v>
      </c>
      <c r="B9" s="1580" t="str">
        <f t="shared" si="1"/>
        <v>经营性</v>
      </c>
      <c r="C9" s="1581"/>
      <c r="D9" s="801">
        <f>SUMIF(项目基本情况!C$12:I$12,C9,项目基本情况!C$14:I$14)</f>
        <v>0</v>
      </c>
      <c r="E9" s="800">
        <f>IF(B9="","",SUMIF(项目基本情况!C$12:I$12,C9,项目基本情况!C$13:I$13))</f>
        <v>0</v>
      </c>
      <c r="F9" s="61">
        <f>SUMIF(项目基本情况!C$12:I$12,C9,项目基本情况!C$15:I$15)</f>
        <v>0</v>
      </c>
      <c r="G9" s="62">
        <f t="shared" si="2"/>
        <v>0</v>
      </c>
      <c r="H9" s="63"/>
      <c r="I9" s="63"/>
      <c r="J9" s="63"/>
      <c r="K9" s="965">
        <f>SUMIF('数据-汇总表'!C$19:C$33,A9,'数据-汇总表'!E$19:E$33)</f>
        <v>135780.32999999996</v>
      </c>
      <c r="L9" s="690"/>
      <c r="M9" s="64">
        <f t="shared" si="0"/>
        <v>0</v>
      </c>
      <c r="N9" s="688"/>
      <c r="O9" s="64" t="str">
        <f t="shared" si="3"/>
        <v>——</v>
      </c>
      <c r="P9" s="65" t="str">
        <f t="shared" si="4"/>
        <v>——</v>
      </c>
      <c r="Q9" s="78"/>
      <c r="R9" s="66">
        <f ca="1">SUMIF('数据-汇总表'!C$19:C$33,A9,'数据-汇总表'!R$19:R$27)</f>
        <v>16746.400000000001</v>
      </c>
      <c r="S9" s="49">
        <f>IF('数据-汇总表'!$I$17="按面积比例",SUMIF('数据-汇总表'!C$19:C$33,A9,'数据-汇总表'!K$19:K$33),SUMIF('数据-汇总表'!C$19:C$33,A9,'数据-汇总表'!N$19:N$33))</f>
        <v>0</v>
      </c>
      <c r="T9" s="1087">
        <f t="shared" si="5"/>
        <v>0</v>
      </c>
      <c r="U9" s="3120"/>
      <c r="V9" s="67"/>
      <c r="W9" s="67"/>
      <c r="X9" s="974"/>
      <c r="Y9" s="68"/>
      <c r="Z9" s="69"/>
      <c r="AA9" s="63"/>
      <c r="AB9" s="63"/>
      <c r="AC9" s="974"/>
      <c r="AD9" s="70"/>
      <c r="AE9" s="975">
        <f t="shared" ca="1" si="7"/>
        <v>0</v>
      </c>
      <c r="AF9" s="74"/>
      <c r="AG9" s="129">
        <f t="shared" si="8"/>
        <v>0</v>
      </c>
      <c r="AH9" s="71"/>
      <c r="AI9" s="73"/>
      <c r="AJ9" s="74"/>
      <c r="AK9" s="75"/>
      <c r="AL9" s="76"/>
      <c r="AM9" s="77"/>
      <c r="AN9" s="1582"/>
      <c r="AO9" s="50" t="e">
        <f t="shared" ca="1" si="9"/>
        <v>#REF!</v>
      </c>
      <c r="AP9" s="1583">
        <f t="shared" si="10"/>
        <v>0</v>
      </c>
      <c r="AQ9" s="50">
        <f t="shared" si="11"/>
        <v>0</v>
      </c>
      <c r="AR9" s="50">
        <f t="shared" si="12"/>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4.25" hidden="1">
      <c r="A10" s="1579" t="str">
        <f>'数据-汇总表'!C23</f>
        <v>车位其他</v>
      </c>
      <c r="B10" s="1580" t="str">
        <f t="shared" si="1"/>
        <v>经营性</v>
      </c>
      <c r="C10" s="1581"/>
      <c r="D10" s="801">
        <f>SUMIF(项目基本情况!C$12:I$12,C10,项目基本情况!C$14:I$14)</f>
        <v>0</v>
      </c>
      <c r="E10" s="800">
        <f>IF(B10="","",SUMIF(项目基本情况!C$12:I$12,C10,项目基本情况!C$13:I$13))</f>
        <v>0</v>
      </c>
      <c r="F10" s="61">
        <f>SUMIF(项目基本情况!C$12:I$12,C10,项目基本情况!C$15:I$15)</f>
        <v>0</v>
      </c>
      <c r="G10" s="62">
        <f t="shared" si="2"/>
        <v>0</v>
      </c>
      <c r="H10" s="63"/>
      <c r="I10" s="63"/>
      <c r="J10" s="63"/>
      <c r="K10" s="965">
        <f>SUMIF('数据-汇总表'!C$19:C$33,A10,'数据-汇总表'!E$19:E$33)</f>
        <v>39766.09000000012</v>
      </c>
      <c r="L10" s="690"/>
      <c r="M10" s="64">
        <f t="shared" si="0"/>
        <v>0</v>
      </c>
      <c r="N10" s="688"/>
      <c r="O10" s="64" t="str">
        <f t="shared" si="3"/>
        <v>——</v>
      </c>
      <c r="P10" s="65" t="str">
        <f t="shared" si="4"/>
        <v>——</v>
      </c>
      <c r="Q10" s="78"/>
      <c r="R10" s="66">
        <f ca="1">SUMIF('数据-汇总表'!C$19:C$33,A10,'数据-汇总表'!R$19:R$27)</f>
        <v>4904.53</v>
      </c>
      <c r="S10" s="49">
        <f>IF('数据-汇总表'!$I$17="按面积比例",SUMIF('数据-汇总表'!C$19:C$33,A10,'数据-汇总表'!K$19:K$33),SUMIF('数据-汇总表'!C$19:C$33,A10,'数据-汇总表'!N$19:N$33))</f>
        <v>0</v>
      </c>
      <c r="T10" s="1087">
        <f t="shared" si="5"/>
        <v>0</v>
      </c>
      <c r="U10" s="3120"/>
      <c r="V10" s="67"/>
      <c r="W10" s="67"/>
      <c r="X10" s="974"/>
      <c r="Y10" s="68"/>
      <c r="Z10" s="69"/>
      <c r="AA10" s="63"/>
      <c r="AB10" s="63"/>
      <c r="AC10" s="974"/>
      <c r="AD10" s="70"/>
      <c r="AE10" s="975">
        <f t="shared" ca="1" si="7"/>
        <v>0</v>
      </c>
      <c r="AF10" s="74"/>
      <c r="AG10" s="129">
        <f t="shared" si="8"/>
        <v>0</v>
      </c>
      <c r="AH10" s="71"/>
      <c r="AI10" s="73"/>
      <c r="AJ10" s="74"/>
      <c r="AK10" s="75"/>
      <c r="AL10" s="76"/>
      <c r="AM10" s="77"/>
      <c r="AN10" s="1582"/>
      <c r="AO10" s="50" t="e">
        <f t="shared" ca="1" si="9"/>
        <v>#REF!</v>
      </c>
      <c r="AP10" s="1583">
        <f t="shared" si="10"/>
        <v>0</v>
      </c>
      <c r="AQ10" s="50">
        <f t="shared" si="11"/>
        <v>0</v>
      </c>
      <c r="AR10" s="50">
        <f t="shared" si="12"/>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4.25" hidden="1">
      <c r="A11" s="1579">
        <f>'数据-汇总表'!C24</f>
        <v>0</v>
      </c>
      <c r="B11" s="1580" t="str">
        <f t="shared" si="1"/>
        <v/>
      </c>
      <c r="C11" s="1581"/>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4"/>
      <c r="Y11" s="68"/>
      <c r="Z11" s="81"/>
      <c r="AA11" s="63"/>
      <c r="AB11" s="63"/>
      <c r="AC11" s="974"/>
      <c r="AD11" s="70"/>
      <c r="AE11" s="975">
        <f t="shared" ca="1" si="7"/>
        <v>0</v>
      </c>
      <c r="AF11" s="74"/>
      <c r="AG11" s="129">
        <f t="shared" si="8"/>
        <v>0</v>
      </c>
      <c r="AH11" s="71"/>
      <c r="AI11" s="73"/>
      <c r="AJ11" s="74"/>
      <c r="AK11" s="75"/>
      <c r="AL11" s="76"/>
      <c r="AM11" s="77"/>
      <c r="AN11" s="1582"/>
      <c r="AO11" s="50" t="e">
        <f t="shared" ca="1" si="9"/>
        <v>#REF!</v>
      </c>
      <c r="AP11" s="1583">
        <f t="shared" si="10"/>
        <v>0</v>
      </c>
      <c r="AQ11" s="50">
        <f t="shared" si="11"/>
        <v>0</v>
      </c>
      <c r="AR11" s="50">
        <f t="shared" si="12"/>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4.25" hidden="1">
      <c r="A12" s="1579">
        <f>'数据-汇总表'!C25</f>
        <v>0</v>
      </c>
      <c r="B12" s="1580" t="str">
        <f t="shared" si="1"/>
        <v/>
      </c>
      <c r="C12" s="1581"/>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4"/>
      <c r="Y12" s="68"/>
      <c r="Z12" s="81"/>
      <c r="AA12" s="63"/>
      <c r="AB12" s="63"/>
      <c r="AC12" s="974"/>
      <c r="AD12" s="70"/>
      <c r="AE12" s="975">
        <f t="shared" ca="1" si="7"/>
        <v>0</v>
      </c>
      <c r="AF12" s="74"/>
      <c r="AG12" s="129">
        <f t="shared" si="8"/>
        <v>0</v>
      </c>
      <c r="AH12" s="71"/>
      <c r="AI12" s="73"/>
      <c r="AJ12" s="74"/>
      <c r="AK12" s="75"/>
      <c r="AL12" s="76"/>
      <c r="AM12" s="77"/>
      <c r="AN12" s="1582"/>
      <c r="AO12" s="50" t="e">
        <f t="shared" ca="1" si="9"/>
        <v>#REF!</v>
      </c>
      <c r="AP12" s="1583">
        <f t="shared" si="10"/>
        <v>0</v>
      </c>
      <c r="AQ12" s="50">
        <f t="shared" si="11"/>
        <v>0</v>
      </c>
      <c r="AR12" s="50">
        <f t="shared" si="12"/>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4.25" hidden="1">
      <c r="A13" s="1579">
        <f>'数据-汇总表'!C26</f>
        <v>0</v>
      </c>
      <c r="B13" s="1580" t="str">
        <f t="shared" si="1"/>
        <v/>
      </c>
      <c r="C13" s="1581"/>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4"/>
      <c r="Y13" s="68"/>
      <c r="Z13" s="69"/>
      <c r="AA13" s="63"/>
      <c r="AB13" s="63"/>
      <c r="AC13" s="974"/>
      <c r="AD13" s="70"/>
      <c r="AE13" s="975">
        <f t="shared" ca="1" si="7"/>
        <v>0</v>
      </c>
      <c r="AF13" s="74"/>
      <c r="AG13" s="129">
        <f t="shared" si="8"/>
        <v>0</v>
      </c>
      <c r="AH13" s="71"/>
      <c r="AI13" s="73"/>
      <c r="AJ13" s="74"/>
      <c r="AK13" s="75"/>
      <c r="AL13" s="76"/>
      <c r="AM13" s="77"/>
      <c r="AN13" s="1582"/>
      <c r="AO13" s="50" t="e">
        <f t="shared" ca="1" si="9"/>
        <v>#REF!</v>
      </c>
      <c r="AP13" s="1583">
        <f t="shared" si="10"/>
        <v>0</v>
      </c>
      <c r="AQ13" s="50">
        <f t="shared" si="11"/>
        <v>0</v>
      </c>
      <c r="AR13" s="50">
        <f t="shared" si="12"/>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25" hidden="1">
      <c r="A14" s="1584" t="s">
        <v>1202</v>
      </c>
      <c r="B14" s="1580" t="s">
        <v>1203</v>
      </c>
      <c r="C14" s="1585" t="s">
        <v>1202</v>
      </c>
      <c r="D14" s="801"/>
      <c r="E14" s="800"/>
      <c r="F14" s="61"/>
      <c r="G14" s="62"/>
      <c r="H14" s="964"/>
      <c r="I14" s="964"/>
      <c r="J14" s="964"/>
      <c r="K14" s="965">
        <f>SUMIF('数据-汇总表'!C$19:C$33,A14,'数据-汇总表'!E$19:E$33)</f>
        <v>0</v>
      </c>
      <c r="L14" s="79"/>
      <c r="M14" s="64">
        <f t="shared" si="0"/>
        <v>0</v>
      </c>
      <c r="N14" s="80"/>
      <c r="O14" s="64" t="str">
        <f t="shared" si="3"/>
        <v>——</v>
      </c>
      <c r="P14" s="65" t="str">
        <f t="shared" si="4"/>
        <v>——</v>
      </c>
      <c r="Q14" s="968"/>
      <c r="R14" s="66"/>
      <c r="S14" s="49"/>
      <c r="T14" s="1087"/>
      <c r="U14" s="635"/>
      <c r="V14" s="970"/>
      <c r="W14" s="970"/>
      <c r="X14" s="971"/>
      <c r="Y14" s="972"/>
      <c r="Z14" s="54"/>
      <c r="AA14" s="973"/>
      <c r="AB14" s="973"/>
      <c r="AC14" s="974"/>
      <c r="AD14" s="971"/>
      <c r="AE14" s="975"/>
      <c r="AF14" s="50"/>
      <c r="AG14" s="129"/>
      <c r="AH14" s="975"/>
      <c r="AI14" s="1259"/>
      <c r="AJ14" s="50"/>
      <c r="AK14" s="976"/>
      <c r="AL14" s="977"/>
      <c r="AM14" s="978"/>
      <c r="AN14" s="2442"/>
      <c r="AO14" s="2432"/>
      <c r="AP14" s="2432"/>
      <c r="AQ14" s="2432"/>
      <c r="AR14" s="2432"/>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7">
      <c r="A15" s="1584" t="s">
        <v>1204</v>
      </c>
      <c r="B15" s="1580" t="s">
        <v>1203</v>
      </c>
      <c r="C15" s="1585" t="s">
        <v>1205</v>
      </c>
      <c r="D15" s="801"/>
      <c r="E15" s="800"/>
      <c r="F15" s="61"/>
      <c r="G15" s="62"/>
      <c r="H15" s="964"/>
      <c r="I15" s="964"/>
      <c r="J15" s="964"/>
      <c r="K15" s="965">
        <f>SUMIF('数据-汇总表'!C$19:C$33,A15,'数据-汇总表'!E$19:E$33)</f>
        <v>0</v>
      </c>
      <c r="L15" s="966"/>
      <c r="M15" s="64"/>
      <c r="N15" s="967"/>
      <c r="O15" s="64"/>
      <c r="P15" s="65"/>
      <c r="Q15" s="968"/>
      <c r="R15" s="66"/>
      <c r="S15" s="49"/>
      <c r="T15" s="1087"/>
      <c r="U15" s="635"/>
      <c r="V15" s="970"/>
      <c r="W15" s="970"/>
      <c r="X15" s="971"/>
      <c r="Y15" s="972"/>
      <c r="Z15" s="54"/>
      <c r="AA15" s="973"/>
      <c r="AB15" s="973"/>
      <c r="AC15" s="974"/>
      <c r="AD15" s="971"/>
      <c r="AE15" s="975"/>
      <c r="AF15" s="50"/>
      <c r="AG15" s="129"/>
      <c r="AH15" s="975"/>
      <c r="AI15" s="1259"/>
      <c r="AJ15" s="50"/>
      <c r="AK15" s="976"/>
      <c r="AL15" s="977"/>
      <c r="AM15" s="978"/>
      <c r="AN15" s="2442"/>
      <c r="AO15" s="2432"/>
      <c r="AP15" s="2432"/>
      <c r="AQ15" s="2432"/>
      <c r="AR15" s="2432"/>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75" thickBot="1">
      <c r="A16" s="1586" t="s">
        <v>1206</v>
      </c>
      <c r="B16" s="82"/>
      <c r="C16" s="779"/>
      <c r="D16" s="1587"/>
      <c r="E16" s="82"/>
      <c r="F16" s="82"/>
      <c r="G16" s="83">
        <f>ROUND(SUMPRODUCT(G6:G13,K6:K13)/SUMPRODUCT((G6:G13&gt;0)*(K6:K13)),3)</f>
        <v>0.91500000000000004</v>
      </c>
      <c r="H16" s="84">
        <f>ROUND(SUMPRODUCT(H6:H13,K6:K13)/SUMPRODUCT((H6:H13&gt;0)*(K6:K13)),3)</f>
        <v>0.05</v>
      </c>
      <c r="I16" s="85"/>
      <c r="J16" s="85"/>
      <c r="K16" s="86">
        <f>SUM(K6:K15)</f>
        <v>232700.46000000008</v>
      </c>
      <c r="L16" s="87">
        <f>ROUND(M16*10000/SUM(K6:K14),0)</f>
        <v>1351</v>
      </c>
      <c r="M16" s="87">
        <f>SUM(M6:M14)</f>
        <v>31429</v>
      </c>
      <c r="N16" s="88">
        <f>ROUND(SUMPRODUCT(M6:M14,N6:N14)/M16,3)</f>
        <v>0.98</v>
      </c>
      <c r="O16" s="87">
        <f>SUM(O6:O14)</f>
        <v>0</v>
      </c>
      <c r="P16" s="87">
        <f>SUM(P6:P14)</f>
        <v>0</v>
      </c>
      <c r="Q16" s="89">
        <f>ROUND(SUMPRODUCT(Q6:Q13,K6:K13)/SUMPRODUCT((Q6:Q13&gt;0)*(K6:K13)),2)</f>
        <v>0.2</v>
      </c>
      <c r="R16" s="969">
        <f ca="1">SUM(R6:R13)</f>
        <v>28700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5" thickBot="1">
      <c r="A17" s="1588"/>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1207</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89" t="s">
        <v>1208</v>
      </c>
      <c r="B19" s="97">
        <v>0</v>
      </c>
      <c r="C19" s="2554" t="s">
        <v>2290</v>
      </c>
      <c r="D19" s="2445"/>
      <c r="E19" s="2432"/>
      <c r="F19" s="2432"/>
      <c r="G19" s="2432"/>
      <c r="H19" s="2432"/>
      <c r="I19" s="2432"/>
      <c r="J19" s="2432"/>
      <c r="K19" s="2443"/>
      <c r="L19" s="2443"/>
      <c r="M19" s="2442"/>
      <c r="N19" s="2442"/>
      <c r="O19" s="2442"/>
      <c r="P19" s="3174" t="s">
        <v>4492</v>
      </c>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0" t="s">
        <v>1209</v>
      </c>
      <c r="B20" s="98">
        <v>2.5</v>
      </c>
      <c r="C20" s="2555" t="s">
        <v>2288</v>
      </c>
      <c r="D20" s="2445"/>
      <c r="E20" s="2432"/>
      <c r="F20" s="2432"/>
      <c r="G20" s="2432"/>
      <c r="H20" s="2432"/>
      <c r="I20" s="2432"/>
      <c r="J20" s="2432"/>
      <c r="K20" s="3142" t="str">
        <f>A6</f>
        <v>商业</v>
      </c>
      <c r="L20" s="3143" t="s">
        <v>4170</v>
      </c>
      <c r="M20" s="3143" t="s">
        <v>4171</v>
      </c>
      <c r="N20" s="3143" t="s">
        <v>4172</v>
      </c>
      <c r="O20" s="2442"/>
      <c r="P20" s="3154" t="s">
        <v>4178</v>
      </c>
      <c r="Q20" s="3148" t="s">
        <v>4179</v>
      </c>
      <c r="R20" s="3148" t="s">
        <v>4180</v>
      </c>
      <c r="S20" s="3148" t="s">
        <v>4181</v>
      </c>
      <c r="T20" s="3154" t="s">
        <v>4182</v>
      </c>
      <c r="U20" s="3148"/>
      <c r="V20" s="3148"/>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1" t="s">
        <v>1210</v>
      </c>
      <c r="B21" s="98">
        <v>2.5</v>
      </c>
      <c r="C21" s="2432"/>
      <c r="D21" s="2445"/>
      <c r="E21" s="2432"/>
      <c r="F21" s="2432"/>
      <c r="G21" s="2432"/>
      <c r="H21" s="2432"/>
      <c r="I21" s="2432"/>
      <c r="J21" s="2432"/>
      <c r="K21" s="3143" t="s">
        <v>4173</v>
      </c>
      <c r="L21" s="3144"/>
      <c r="M21" s="3145">
        <f>M22+M25+M26</f>
        <v>5507.322632709881</v>
      </c>
      <c r="N21" s="3144"/>
      <c r="O21" s="2442"/>
      <c r="P21" s="3148">
        <v>1</v>
      </c>
      <c r="Q21" s="3148"/>
      <c r="R21" s="3148">
        <v>3.5</v>
      </c>
      <c r="S21" s="3148">
        <f>ROUND('数据-基础表'!H13/6,3)</f>
        <v>9391.0450000000001</v>
      </c>
      <c r="T21" s="3155">
        <v>23000</v>
      </c>
      <c r="U21" s="3148">
        <f>R21*S21</f>
        <v>32868.657500000001</v>
      </c>
      <c r="V21" s="3148">
        <f>S21*T21</f>
        <v>215994035</v>
      </c>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0" t="s">
        <v>1211</v>
      </c>
      <c r="B22" s="99">
        <f>B19+B20</f>
        <v>2.5</v>
      </c>
      <c r="C22" s="2432"/>
      <c r="D22" s="2445"/>
      <c r="E22" s="2432"/>
      <c r="F22" s="2432"/>
      <c r="G22" s="2432"/>
      <c r="H22" s="2432"/>
      <c r="I22" s="2432"/>
      <c r="J22" s="2432"/>
      <c r="K22" s="3143" t="s">
        <v>4174</v>
      </c>
      <c r="L22" s="3146">
        <f>L23+L24</f>
        <v>232700.46000000008</v>
      </c>
      <c r="M22" s="3147">
        <f>N22/L22</f>
        <v>4007.322632709881</v>
      </c>
      <c r="N22" s="3148">
        <f>N23+N24</f>
        <v>932505820.00000072</v>
      </c>
      <c r="O22" s="2442"/>
      <c r="P22" s="3148">
        <v>2</v>
      </c>
      <c r="Q22" s="3148">
        <v>0.8</v>
      </c>
      <c r="R22" s="3148">
        <f>ROUND($R$21*Q22,2)</f>
        <v>2.8</v>
      </c>
      <c r="S22" s="3148">
        <f>S21</f>
        <v>9391.0450000000001</v>
      </c>
      <c r="T22" s="3148">
        <f>$T$21*Q22</f>
        <v>18400</v>
      </c>
      <c r="U22" s="3148">
        <f t="shared" ref="U22:V26" si="13">R22*S22</f>
        <v>26294.925999999999</v>
      </c>
      <c r="V22" s="3148">
        <f t="shared" si="13"/>
        <v>172795228</v>
      </c>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1" t="s">
        <v>1212</v>
      </c>
      <c r="B23" s="99">
        <f>B19+B21</f>
        <v>2.5</v>
      </c>
      <c r="C23" s="2432"/>
      <c r="D23" s="2445"/>
      <c r="E23" s="2432"/>
      <c r="F23" s="2432"/>
      <c r="G23" s="2432"/>
      <c r="H23" s="2432"/>
      <c r="I23" s="2432"/>
      <c r="J23" s="2432"/>
      <c r="K23" s="3149" t="s">
        <v>4175</v>
      </c>
      <c r="L23" s="3150">
        <f>'数据-基础表'!I5</f>
        <v>174099.34999999995</v>
      </c>
      <c r="M23" s="3151">
        <v>3000</v>
      </c>
      <c r="N23" s="3151">
        <f>L23*M23</f>
        <v>522298049.99999982</v>
      </c>
      <c r="O23" s="2442"/>
      <c r="P23" s="3148">
        <v>3</v>
      </c>
      <c r="Q23" s="3148">
        <v>0.75</v>
      </c>
      <c r="R23" s="3148">
        <f t="shared" ref="R23:R26" si="14">ROUND($R$21*Q23,2)</f>
        <v>2.63</v>
      </c>
      <c r="S23" s="3148">
        <f>S21</f>
        <v>9391.0450000000001</v>
      </c>
      <c r="T23" s="3148">
        <f t="shared" ref="T23:T26" si="15">$T$21*Q23</f>
        <v>17250</v>
      </c>
      <c r="U23" s="3148">
        <f t="shared" si="13"/>
        <v>24698.448349999999</v>
      </c>
      <c r="V23" s="3148">
        <f t="shared" si="13"/>
        <v>161995526.25</v>
      </c>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2" t="s">
        <v>1213</v>
      </c>
      <c r="B24" s="100">
        <f>B20-B21</f>
        <v>0</v>
      </c>
      <c r="C24" s="2432"/>
      <c r="D24" s="2445"/>
      <c r="E24" s="2432"/>
      <c r="F24" s="2432"/>
      <c r="G24" s="2432"/>
      <c r="H24" s="2432"/>
      <c r="I24" s="2432"/>
      <c r="J24" s="2432"/>
      <c r="K24" s="3149" t="s">
        <v>2627</v>
      </c>
      <c r="L24" s="3150">
        <f>'数据-基础表'!K5</f>
        <v>58601.110000000117</v>
      </c>
      <c r="M24" s="3152">
        <v>7000</v>
      </c>
      <c r="N24" s="3151">
        <f t="shared" ref="N24:N26" si="16">L24*M24</f>
        <v>410207770.00000083</v>
      </c>
      <c r="O24" s="2442"/>
      <c r="P24" s="3148">
        <v>4</v>
      </c>
      <c r="Q24" s="3148">
        <v>0.65</v>
      </c>
      <c r="R24" s="3148">
        <f t="shared" si="14"/>
        <v>2.2799999999999998</v>
      </c>
      <c r="S24" s="3148">
        <f>S21</f>
        <v>9391.0450000000001</v>
      </c>
      <c r="T24" s="3148">
        <f t="shared" si="15"/>
        <v>14950</v>
      </c>
      <c r="U24" s="3148">
        <f t="shared" si="13"/>
        <v>21411.582599999998</v>
      </c>
      <c r="V24" s="3148">
        <f t="shared" si="13"/>
        <v>140396122.75</v>
      </c>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2"/>
      <c r="B25" s="1535"/>
      <c r="C25" s="2432"/>
      <c r="D25" s="2445"/>
      <c r="E25" s="2432"/>
      <c r="F25" s="2432"/>
      <c r="G25" s="2432"/>
      <c r="H25" s="2432"/>
      <c r="I25" s="2432"/>
      <c r="J25" s="2432"/>
      <c r="K25" s="3143" t="s">
        <v>4176</v>
      </c>
      <c r="L25" s="3146">
        <f>L22</f>
        <v>232700.46000000008</v>
      </c>
      <c r="M25" s="3153"/>
      <c r="N25" s="3151">
        <f t="shared" si="16"/>
        <v>0</v>
      </c>
      <c r="O25" s="2442"/>
      <c r="P25" s="3148">
        <v>-1</v>
      </c>
      <c r="Q25" s="3148">
        <v>0.4</v>
      </c>
      <c r="R25" s="3148">
        <f t="shared" si="14"/>
        <v>1.4</v>
      </c>
      <c r="S25" s="3148">
        <f>S21</f>
        <v>9391.0450000000001</v>
      </c>
      <c r="T25" s="3148">
        <f t="shared" si="15"/>
        <v>9200</v>
      </c>
      <c r="U25" s="3148">
        <f t="shared" si="13"/>
        <v>13147.463</v>
      </c>
      <c r="V25" s="3148">
        <f t="shared" si="13"/>
        <v>86397614</v>
      </c>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5" t="s">
        <v>1214</v>
      </c>
      <c r="B26" s="1593" t="s">
        <v>1215</v>
      </c>
      <c r="C26" s="2446" t="s">
        <v>1216</v>
      </c>
      <c r="D26" s="2445"/>
      <c r="E26" s="2432"/>
      <c r="F26" s="2432"/>
      <c r="G26" s="2432"/>
      <c r="H26" s="2432"/>
      <c r="I26" s="2432"/>
      <c r="J26" s="2432"/>
      <c r="K26" s="3143" t="s">
        <v>4177</v>
      </c>
      <c r="L26" s="3146">
        <f>L22</f>
        <v>232700.46000000008</v>
      </c>
      <c r="M26" s="3153">
        <v>1500</v>
      </c>
      <c r="N26" s="3151">
        <f t="shared" si="16"/>
        <v>349050690.00000012</v>
      </c>
      <c r="O26" s="2442"/>
      <c r="P26" s="3148">
        <v>-2</v>
      </c>
      <c r="Q26" s="3148">
        <v>0.3</v>
      </c>
      <c r="R26" s="3148">
        <f t="shared" si="14"/>
        <v>1.05</v>
      </c>
      <c r="S26" s="3148">
        <f>S21</f>
        <v>9391.0450000000001</v>
      </c>
      <c r="T26" s="3148">
        <f t="shared" si="15"/>
        <v>6900</v>
      </c>
      <c r="U26" s="3148">
        <f t="shared" si="13"/>
        <v>9860.5972500000007</v>
      </c>
      <c r="V26" s="3148">
        <f t="shared" si="13"/>
        <v>64798210.5</v>
      </c>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4" t="s">
        <v>1217</v>
      </c>
      <c r="B27" s="101">
        <v>150</v>
      </c>
      <c r="C27" s="2556" t="s">
        <v>2292</v>
      </c>
      <c r="D27" s="2448"/>
      <c r="E27" s="2433"/>
      <c r="F27" s="2433"/>
      <c r="G27" s="2432"/>
      <c r="H27" s="2432"/>
      <c r="I27" s="2432"/>
      <c r="J27" s="2432"/>
      <c r="K27" s="2443"/>
      <c r="L27" s="2443"/>
      <c r="M27" s="2442"/>
      <c r="N27" s="2442"/>
      <c r="O27" s="2442"/>
      <c r="P27" s="3154" t="s">
        <v>2799</v>
      </c>
      <c r="Q27" s="3148"/>
      <c r="R27" s="3156">
        <f>ROUND(U27/S27,1)</f>
        <v>2.2999999999999998</v>
      </c>
      <c r="S27" s="3148">
        <f>SUM(S21:S26)</f>
        <v>56346.27</v>
      </c>
      <c r="T27" s="3156">
        <f>ROUND(V27/S27,0)</f>
        <v>14950</v>
      </c>
      <c r="U27" s="3148">
        <f>SUM(U21:U26)</f>
        <v>128281.6747</v>
      </c>
      <c r="V27" s="3148">
        <f>SUM(V21:V26)</f>
        <v>842376736.5</v>
      </c>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5" t="s">
        <v>1218</v>
      </c>
      <c r="B28" s="103">
        <v>190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6" t="s">
        <v>1219</v>
      </c>
      <c r="B29" s="105"/>
      <c r="C29" s="2557" t="s">
        <v>2281</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7" t="s">
        <v>1220</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5" t="s">
        <v>1221</v>
      </c>
      <c r="B31" s="104">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598" t="s">
        <v>1222</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4" t="s">
        <v>1223</v>
      </c>
      <c r="B33" s="638">
        <v>0.1</v>
      </c>
      <c r="C33" s="2558" t="s">
        <v>3368</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5" t="s">
        <v>1224</v>
      </c>
      <c r="B34" s="106">
        <v>0</v>
      </c>
      <c r="C34" s="2558" t="s">
        <v>2282</v>
      </c>
      <c r="D34" s="2453" t="s">
        <v>2289</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5" t="s">
        <v>1225</v>
      </c>
      <c r="B35" s="103">
        <v>200</v>
      </c>
      <c r="C35" s="2558" t="s">
        <v>2283</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6" t="s">
        <v>1226</v>
      </c>
      <c r="B36" s="107">
        <v>2.5000000000000001E-2</v>
      </c>
      <c r="C36" s="2558" t="s">
        <v>3369</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7" t="s">
        <v>1227</v>
      </c>
      <c r="B37" s="108">
        <v>2.5000000000000001E-2</v>
      </c>
      <c r="C37" s="2558" t="s">
        <v>2284</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5" t="s">
        <v>1228</v>
      </c>
      <c r="B38" s="106">
        <v>2.5000000000000001E-2</v>
      </c>
      <c r="C38" s="2558" t="s">
        <v>2284</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598" t="s">
        <v>1229</v>
      </c>
      <c r="B39" s="308">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2299</v>
      </c>
      <c r="B40" s="1010">
        <f ca="1">IF(A40="利息：取LPR",存贷款利率!G1,存贷款利率!G1+C40)</f>
        <v>3.4500000000000003E-2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4" t="s">
        <v>1230</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599" t="s">
        <v>1231</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599" t="s">
        <v>1232</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0" t="s">
        <v>1233</v>
      </c>
      <c r="B44" s="3193">
        <v>0.05</v>
      </c>
      <c r="C44" s="2558" t="s">
        <v>2293</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0" t="s">
        <v>1234</v>
      </c>
      <c r="B45" s="110">
        <v>0.03</v>
      </c>
      <c r="C45" s="2557" t="s">
        <v>2285</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0" t="s">
        <v>1235</v>
      </c>
      <c r="B46" s="110">
        <v>0.02</v>
      </c>
      <c r="C46" s="2557" t="s">
        <v>2286</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1" t="s">
        <v>1236</v>
      </c>
      <c r="B47" s="112"/>
      <c r="C47" s="2560" t="s">
        <v>2294</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2" t="s">
        <v>1237</v>
      </c>
      <c r="B48" s="113">
        <v>0.03</v>
      </c>
      <c r="C48" s="2557" t="s">
        <v>2285</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598" t="s">
        <v>1238</v>
      </c>
      <c r="B49" s="110">
        <v>5.0000000000000001E-4</v>
      </c>
      <c r="C49" s="2557" t="s">
        <v>2287</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3" t="s">
        <v>1239</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6" t="s">
        <v>1240</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3" t="s">
        <v>1241</v>
      </c>
      <c r="B52" s="116">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5" t="s">
        <v>1242</v>
      </c>
      <c r="B53" s="1604" t="s">
        <v>29</v>
      </c>
      <c r="C53" s="2433" t="s">
        <v>1243</v>
      </c>
      <c r="D53" s="2559" t="s">
        <v>2291</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5" t="s">
        <v>1244</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5" t="s">
        <v>1245</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5" t="s">
        <v>1246</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5" t="s">
        <v>1247</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5" t="s">
        <v>1248</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5" t="s">
        <v>1249</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5" t="s">
        <v>1250</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5" t="s">
        <v>1251</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5" t="s">
        <v>1252</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6" t="s">
        <v>1253</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07"/>
      <c r="D69" s="1608"/>
      <c r="K69" s="685"/>
      <c r="L69" s="685"/>
    </row>
    <row r="70" spans="1:44" s="682" customFormat="1">
      <c r="A70" s="1607"/>
      <c r="D70" s="1608"/>
      <c r="K70" s="685"/>
      <c r="L70" s="685"/>
    </row>
    <row r="71" spans="1:44" s="682" customFormat="1">
      <c r="A71" s="1607"/>
      <c r="D71" s="1608"/>
      <c r="K71" s="685"/>
      <c r="L71" s="685"/>
    </row>
    <row r="72" spans="1:44" s="682" customFormat="1">
      <c r="A72" s="1607"/>
      <c r="D72" s="1608"/>
      <c r="K72" s="685"/>
      <c r="L72" s="685"/>
    </row>
    <row r="73" spans="1:44" s="682" customFormat="1">
      <c r="A73" s="1607"/>
      <c r="D73" s="1608"/>
      <c r="K73" s="685"/>
      <c r="L73" s="685"/>
    </row>
    <row r="74" spans="1:44" s="682" customFormat="1">
      <c r="A74" s="1607"/>
      <c r="D74" s="1608"/>
      <c r="K74" s="685"/>
      <c r="L74" s="685"/>
    </row>
    <row r="75" spans="1:44" s="682" customFormat="1">
      <c r="A75" s="1607"/>
      <c r="D75" s="1608"/>
      <c r="K75" s="685"/>
      <c r="L75" s="685"/>
    </row>
    <row r="76" spans="1:44" s="682" customFormat="1">
      <c r="A76" s="1607"/>
      <c r="D76" s="1608"/>
      <c r="K76" s="685"/>
      <c r="L76" s="685"/>
    </row>
    <row r="77" spans="1:44" s="682" customFormat="1">
      <c r="A77" s="1607"/>
      <c r="D77" s="1608"/>
      <c r="K77" s="685"/>
      <c r="L77" s="685"/>
    </row>
    <row r="78" spans="1:44" s="682" customFormat="1">
      <c r="A78" s="1607"/>
      <c r="D78" s="1608"/>
      <c r="K78" s="685"/>
      <c r="L78" s="685"/>
    </row>
    <row r="79" spans="1:44" s="682" customFormat="1">
      <c r="A79" s="1607"/>
      <c r="D79" s="1608"/>
      <c r="K79" s="685"/>
      <c r="L79" s="685"/>
    </row>
    <row r="80" spans="1:44" s="682" customFormat="1">
      <c r="A80" s="1607"/>
      <c r="D80" s="1608"/>
      <c r="K80" s="685"/>
      <c r="L80" s="685"/>
    </row>
    <row r="81" spans="1:12" s="682" customFormat="1">
      <c r="A81" s="1607"/>
      <c r="D81" s="1608"/>
      <c r="K81" s="685"/>
      <c r="L81" s="685"/>
    </row>
    <row r="82" spans="1:12" s="682" customFormat="1">
      <c r="A82" s="1607"/>
      <c r="D82" s="1608"/>
      <c r="K82" s="685"/>
      <c r="L82" s="685"/>
    </row>
    <row r="83" spans="1:12" s="682" customFormat="1">
      <c r="A83" s="1607"/>
      <c r="D83" s="1608"/>
      <c r="K83" s="685"/>
      <c r="L83" s="685"/>
    </row>
    <row r="84" spans="1:12" s="682" customFormat="1">
      <c r="A84" s="1607"/>
      <c r="D84" s="1608"/>
      <c r="K84" s="685"/>
      <c r="L84" s="685"/>
    </row>
    <row r="85" spans="1:12" s="682" customFormat="1">
      <c r="A85" s="1607"/>
      <c r="D85" s="1608"/>
      <c r="K85" s="685"/>
      <c r="L85" s="685"/>
    </row>
    <row r="86" spans="1:12" s="682" customFormat="1">
      <c r="A86" s="1607"/>
      <c r="D86" s="1608"/>
      <c r="K86" s="685"/>
      <c r="L86" s="685"/>
    </row>
    <row r="87" spans="1:12" s="682" customFormat="1">
      <c r="A87" s="1607"/>
      <c r="D87" s="1608"/>
      <c r="K87" s="685"/>
      <c r="L87" s="685"/>
    </row>
    <row r="88" spans="1:12" s="682" customFormat="1">
      <c r="A88" s="1607"/>
      <c r="D88" s="1608"/>
      <c r="K88" s="685"/>
      <c r="L88" s="685"/>
    </row>
    <row r="89" spans="1:12" s="682" customFormat="1">
      <c r="A89" s="1607"/>
      <c r="D89" s="1608"/>
      <c r="K89" s="685"/>
      <c r="L89" s="685"/>
    </row>
    <row r="90" spans="1:12" s="682" customFormat="1">
      <c r="A90" s="1607"/>
      <c r="D90" s="1608"/>
      <c r="K90" s="685"/>
      <c r="L90" s="685"/>
    </row>
    <row r="91" spans="1:12" s="682" customFormat="1">
      <c r="A91" s="1607"/>
      <c r="D91" s="1608"/>
      <c r="K91" s="685"/>
      <c r="L91" s="685"/>
    </row>
    <row r="92" spans="1:12" s="682" customFormat="1">
      <c r="A92" s="1607"/>
      <c r="D92" s="1608"/>
      <c r="K92" s="685"/>
      <c r="L92" s="685"/>
    </row>
    <row r="93" spans="1:12" s="682" customFormat="1">
      <c r="A93" s="1607"/>
      <c r="D93" s="1608"/>
      <c r="K93" s="685"/>
      <c r="L93" s="685"/>
    </row>
    <row r="94" spans="1:12" s="682" customFormat="1">
      <c r="A94" s="1607"/>
      <c r="D94" s="1608"/>
      <c r="K94" s="685"/>
      <c r="L94" s="685"/>
    </row>
    <row r="95" spans="1:12" s="682" customFormat="1">
      <c r="A95" s="1607"/>
      <c r="D95" s="1608"/>
      <c r="K95" s="685"/>
      <c r="L95" s="685"/>
    </row>
    <row r="96" spans="1:12" s="682" customFormat="1">
      <c r="A96" s="1607"/>
      <c r="D96" s="1608"/>
      <c r="K96" s="685"/>
      <c r="L96" s="685"/>
    </row>
    <row r="97" spans="1:12" s="682" customFormat="1">
      <c r="A97" s="1607"/>
      <c r="D97" s="1608"/>
      <c r="K97" s="685"/>
      <c r="L97" s="685"/>
    </row>
    <row r="98" spans="1:12" s="682" customFormat="1">
      <c r="A98" s="1607"/>
      <c r="D98" s="1608"/>
      <c r="K98" s="685"/>
      <c r="L98" s="685"/>
    </row>
    <row r="99" spans="1:12" s="682" customFormat="1">
      <c r="A99" s="1607"/>
      <c r="D99" s="1608"/>
      <c r="K99" s="685"/>
      <c r="L99" s="685"/>
    </row>
    <row r="100" spans="1:12" s="682" customFormat="1">
      <c r="A100" s="1607"/>
      <c r="D100" s="1608"/>
      <c r="K100" s="685"/>
      <c r="L100" s="685"/>
    </row>
    <row r="101" spans="1:12" s="682" customFormat="1">
      <c r="A101" s="1607"/>
      <c r="D101" s="1608"/>
      <c r="K101" s="685"/>
      <c r="L101" s="685"/>
    </row>
    <row r="102" spans="1:12" s="682" customFormat="1">
      <c r="A102" s="1607"/>
      <c r="D102" s="1608"/>
      <c r="K102" s="685"/>
      <c r="L102" s="685"/>
    </row>
    <row r="103" spans="1:12" s="682" customFormat="1">
      <c r="A103" s="1607"/>
      <c r="D103" s="1608"/>
      <c r="K103" s="685"/>
      <c r="L103" s="685"/>
    </row>
    <row r="104" spans="1:12" s="682" customFormat="1">
      <c r="A104" s="1607"/>
      <c r="D104" s="1608"/>
      <c r="K104" s="685"/>
      <c r="L104" s="685"/>
    </row>
    <row r="105" spans="1:12" s="682" customFormat="1">
      <c r="A105" s="1607"/>
      <c r="D105" s="1608"/>
      <c r="K105" s="685"/>
      <c r="L105" s="685"/>
    </row>
    <row r="106" spans="1:12" s="682" customFormat="1">
      <c r="A106" s="1607"/>
      <c r="D106" s="1608"/>
      <c r="K106" s="685"/>
      <c r="L106" s="685"/>
    </row>
    <row r="107" spans="1:12" s="682" customFormat="1">
      <c r="A107" s="1607"/>
      <c r="D107" s="1608"/>
      <c r="K107" s="685"/>
      <c r="L107" s="685"/>
    </row>
    <row r="108" spans="1:12" s="682" customFormat="1">
      <c r="A108" s="1607"/>
      <c r="D108" s="1608"/>
      <c r="K108" s="685"/>
      <c r="L108" s="685"/>
    </row>
    <row r="109" spans="1:12" s="682" customFormat="1">
      <c r="A109" s="1607"/>
      <c r="D109" s="1608"/>
      <c r="K109" s="685"/>
      <c r="L109" s="685"/>
    </row>
    <row r="110" spans="1:12" s="682" customFormat="1">
      <c r="A110" s="1607"/>
      <c r="D110" s="1608"/>
      <c r="K110" s="685"/>
      <c r="L110" s="685"/>
    </row>
    <row r="111" spans="1:12" s="682" customFormat="1">
      <c r="A111" s="1607"/>
      <c r="D111" s="1608"/>
      <c r="K111" s="685"/>
      <c r="L111" s="685"/>
    </row>
    <row r="112" spans="1:12" s="682" customFormat="1">
      <c r="A112" s="1607"/>
      <c r="D112" s="1608"/>
      <c r="K112" s="685"/>
      <c r="L112" s="685"/>
    </row>
    <row r="113" spans="1:12" s="682" customFormat="1">
      <c r="A113" s="1607"/>
      <c r="D113" s="1608"/>
      <c r="K113" s="685"/>
      <c r="L113" s="685"/>
    </row>
    <row r="114" spans="1:12" s="682" customFormat="1">
      <c r="A114" s="1607"/>
      <c r="D114" s="1608"/>
      <c r="K114" s="685"/>
      <c r="L114" s="685"/>
    </row>
    <row r="115" spans="1:12" s="682" customFormat="1">
      <c r="A115" s="1607"/>
      <c r="D115" s="1608"/>
      <c r="K115" s="685"/>
      <c r="L115" s="685"/>
    </row>
    <row r="116" spans="1:12" s="682" customFormat="1">
      <c r="A116" s="1607"/>
      <c r="D116" s="1608"/>
      <c r="K116" s="685"/>
      <c r="L116" s="685"/>
    </row>
    <row r="117" spans="1:12" s="682" customFormat="1">
      <c r="A117" s="1607"/>
      <c r="D117" s="1608"/>
      <c r="K117" s="685"/>
      <c r="L117" s="685"/>
    </row>
    <row r="118" spans="1:12" s="682" customFormat="1">
      <c r="A118" s="1607"/>
      <c r="D118" s="1608"/>
      <c r="K118" s="685"/>
      <c r="L118" s="685"/>
    </row>
    <row r="119" spans="1:12" s="682" customFormat="1">
      <c r="A119" s="1607"/>
      <c r="D119" s="1608"/>
      <c r="K119" s="685"/>
      <c r="L119" s="685"/>
    </row>
    <row r="120" spans="1:12" s="682" customFormat="1">
      <c r="A120" s="1607"/>
      <c r="D120" s="1608"/>
      <c r="K120" s="685"/>
      <c r="L120" s="685"/>
    </row>
    <row r="121" spans="1:12" s="682" customFormat="1">
      <c r="A121" s="1607"/>
      <c r="D121" s="1608"/>
      <c r="K121" s="685"/>
      <c r="L121" s="685"/>
    </row>
    <row r="122" spans="1:12" s="682" customFormat="1">
      <c r="A122" s="1607"/>
      <c r="D122" s="1608"/>
      <c r="K122" s="685"/>
      <c r="L122" s="685"/>
    </row>
    <row r="123" spans="1:12" s="682" customFormat="1">
      <c r="A123" s="1607"/>
      <c r="D123" s="1608"/>
      <c r="K123" s="685"/>
      <c r="L123" s="685"/>
    </row>
    <row r="124" spans="1:12" s="682" customFormat="1">
      <c r="A124" s="1607"/>
      <c r="D124" s="1608"/>
      <c r="K124" s="685"/>
      <c r="L124" s="685"/>
    </row>
    <row r="125" spans="1:12" s="682" customFormat="1">
      <c r="A125" s="1607"/>
      <c r="D125" s="1608"/>
      <c r="K125" s="685"/>
      <c r="L125" s="685"/>
    </row>
    <row r="126" spans="1:12" s="682" customFormat="1">
      <c r="A126" s="1607"/>
      <c r="D126" s="1608"/>
      <c r="K126" s="685"/>
      <c r="L126" s="685"/>
    </row>
    <row r="127" spans="1:12" s="682" customFormat="1">
      <c r="A127" s="1607"/>
      <c r="D127" s="1608"/>
      <c r="K127" s="685"/>
      <c r="L127" s="685"/>
    </row>
    <row r="128" spans="1:12" s="682" customFormat="1">
      <c r="A128" s="1607"/>
      <c r="D128" s="1608"/>
      <c r="K128" s="685"/>
      <c r="L128" s="685"/>
    </row>
    <row r="129" spans="1:12" s="682" customFormat="1">
      <c r="A129" s="1607"/>
      <c r="D129" s="1608"/>
      <c r="K129" s="685"/>
      <c r="L129" s="685"/>
    </row>
    <row r="130" spans="1:12" s="682" customFormat="1">
      <c r="A130" s="1607"/>
      <c r="D130" s="1608"/>
      <c r="K130" s="685"/>
      <c r="L130" s="685"/>
    </row>
    <row r="131" spans="1:12" s="682" customFormat="1">
      <c r="A131" s="1607"/>
      <c r="D131" s="1608"/>
      <c r="K131" s="685"/>
      <c r="L131" s="685"/>
    </row>
    <row r="132" spans="1:12" s="682" customFormat="1">
      <c r="A132" s="1607"/>
      <c r="D132" s="1608"/>
      <c r="K132" s="685"/>
      <c r="L132" s="685"/>
    </row>
    <row r="133" spans="1:12" s="682" customFormat="1">
      <c r="A133" s="1607"/>
      <c r="D133" s="1608"/>
      <c r="K133" s="685"/>
      <c r="L133" s="685"/>
    </row>
    <row r="134" spans="1:12" s="121" customFormat="1">
      <c r="A134" s="1609"/>
      <c r="D134" s="1610"/>
      <c r="K134" s="24"/>
      <c r="L134" s="24"/>
    </row>
    <row r="135" spans="1:12" s="121" customFormat="1">
      <c r="A135" s="1609"/>
      <c r="D135" s="1610"/>
      <c r="K135" s="24"/>
      <c r="L135" s="24"/>
    </row>
    <row r="136" spans="1:12" s="121" customFormat="1">
      <c r="A136" s="1609"/>
      <c r="D136" s="1610"/>
      <c r="K136" s="24"/>
      <c r="L136" s="24"/>
    </row>
    <row r="137" spans="1:12" s="121" customFormat="1">
      <c r="A137" s="1609"/>
      <c r="D137" s="1610"/>
      <c r="K137" s="24"/>
      <c r="L137" s="24"/>
    </row>
    <row r="138" spans="1:12" s="121" customFormat="1">
      <c r="A138" s="1609"/>
      <c r="D138" s="1610"/>
      <c r="K138" s="24"/>
      <c r="L138" s="24"/>
    </row>
    <row r="139" spans="1:12" s="121" customFormat="1">
      <c r="A139" s="1609"/>
      <c r="D139" s="1610"/>
      <c r="K139" s="24"/>
      <c r="L139" s="24"/>
    </row>
    <row r="140" spans="1:12" s="121" customFormat="1">
      <c r="A140" s="1609"/>
      <c r="D140" s="1610"/>
      <c r="K140" s="24"/>
      <c r="L140" s="24"/>
    </row>
    <row r="141" spans="1:12" s="121" customFormat="1">
      <c r="A141" s="1609"/>
      <c r="D141" s="1610"/>
      <c r="K141" s="24"/>
      <c r="L141" s="24"/>
    </row>
    <row r="142" spans="1:12" s="121" customFormat="1">
      <c r="A142" s="1609"/>
      <c r="D142" s="1610"/>
      <c r="K142" s="24"/>
      <c r="L142" s="24"/>
    </row>
    <row r="143" spans="1:12" s="121" customFormat="1">
      <c r="A143" s="1609"/>
      <c r="D143" s="1610"/>
      <c r="K143" s="24"/>
      <c r="L143" s="24"/>
    </row>
    <row r="144" spans="1:12" s="121" customFormat="1">
      <c r="A144" s="1609"/>
      <c r="D144" s="1610"/>
      <c r="K144" s="24"/>
      <c r="L144" s="24"/>
    </row>
    <row r="145" spans="1:12" s="121" customFormat="1">
      <c r="A145" s="1609"/>
      <c r="D145" s="1610"/>
      <c r="K145" s="24"/>
      <c r="L145" s="24"/>
    </row>
    <row r="146" spans="1:12" s="121" customFormat="1">
      <c r="A146" s="1609"/>
      <c r="D146" s="1610"/>
      <c r="K146" s="24"/>
      <c r="L146" s="24"/>
    </row>
    <row r="147" spans="1:12" s="121" customFormat="1">
      <c r="A147" s="1609"/>
      <c r="D147" s="1610"/>
      <c r="K147" s="24"/>
      <c r="L147" s="24"/>
    </row>
    <row r="148" spans="1:12" s="121" customFormat="1">
      <c r="A148" s="1609"/>
      <c r="D148" s="1610"/>
      <c r="K148" s="24"/>
      <c r="L148" s="24"/>
    </row>
    <row r="149" spans="1:12" s="121" customFormat="1">
      <c r="A149" s="1609"/>
      <c r="D149" s="1610"/>
      <c r="K149" s="24"/>
      <c r="L149" s="24"/>
    </row>
    <row r="150" spans="1:12" s="121" customFormat="1">
      <c r="A150" s="1609"/>
      <c r="D150" s="1610"/>
      <c r="K150" s="24"/>
      <c r="L150" s="24"/>
    </row>
    <row r="151" spans="1:12" s="121" customFormat="1">
      <c r="A151" s="1609"/>
      <c r="D151" s="1610"/>
      <c r="K151" s="24"/>
      <c r="L151" s="24"/>
    </row>
    <row r="152" spans="1:12" s="121" customFormat="1">
      <c r="A152" s="1609"/>
      <c r="D152" s="1610"/>
      <c r="K152" s="24"/>
      <c r="L152" s="24"/>
    </row>
    <row r="153" spans="1:12" s="121" customFormat="1">
      <c r="A153" s="1609"/>
      <c r="D153" s="1610"/>
      <c r="K153" s="24"/>
      <c r="L153" s="24"/>
    </row>
    <row r="154" spans="1:12" s="121" customFormat="1">
      <c r="A154" s="1609"/>
      <c r="D154" s="1610"/>
      <c r="K154" s="24"/>
      <c r="L154" s="24"/>
    </row>
    <row r="155" spans="1:12" s="121" customFormat="1">
      <c r="A155" s="1609"/>
      <c r="D155" s="1610"/>
      <c r="K155" s="24"/>
      <c r="L155" s="24"/>
    </row>
    <row r="156" spans="1:12" s="121" customFormat="1">
      <c r="A156" s="1609"/>
      <c r="D156" s="1610"/>
      <c r="K156" s="24"/>
      <c r="L156" s="24"/>
    </row>
    <row r="157" spans="1:12" s="121" customFormat="1">
      <c r="A157" s="1609"/>
      <c r="D157" s="1610"/>
      <c r="K157" s="24"/>
      <c r="L157" s="24"/>
    </row>
    <row r="158" spans="1:12" s="121" customFormat="1">
      <c r="A158" s="1609"/>
      <c r="D158" s="1610"/>
      <c r="K158" s="24"/>
      <c r="L158" s="24"/>
    </row>
    <row r="159" spans="1:12" s="121" customFormat="1">
      <c r="A159" s="1609"/>
      <c r="D159" s="1610"/>
      <c r="K159" s="24"/>
      <c r="L159" s="24"/>
    </row>
    <row r="160" spans="1:12" s="121" customFormat="1">
      <c r="A160" s="1609"/>
      <c r="D160" s="1610"/>
      <c r="K160" s="24"/>
      <c r="L160" s="24"/>
    </row>
    <row r="161" spans="1:12" s="121" customFormat="1">
      <c r="A161" s="1609"/>
      <c r="D161" s="1610"/>
      <c r="K161" s="24"/>
      <c r="L161" s="24"/>
    </row>
    <row r="162" spans="1:12" s="121" customFormat="1">
      <c r="A162" s="1609"/>
      <c r="D162" s="1610"/>
      <c r="K162" s="24"/>
      <c r="L162" s="24"/>
    </row>
    <row r="163" spans="1:12" s="121" customFormat="1">
      <c r="A163" s="1609"/>
      <c r="D163" s="1610"/>
      <c r="K163" s="24"/>
      <c r="L163" s="24"/>
    </row>
    <row r="164" spans="1:12" s="121" customFormat="1">
      <c r="A164" s="1609"/>
      <c r="D164" s="1610"/>
      <c r="K164" s="24"/>
      <c r="L164" s="24"/>
    </row>
    <row r="165" spans="1:12" s="121" customFormat="1">
      <c r="A165" s="1609"/>
      <c r="D165" s="1610"/>
      <c r="K165" s="24"/>
      <c r="L165" s="24"/>
    </row>
    <row r="166" spans="1:12" s="121" customFormat="1">
      <c r="A166" s="1609"/>
      <c r="D166" s="1610"/>
      <c r="K166" s="24"/>
      <c r="L166" s="24"/>
    </row>
    <row r="167" spans="1:12" s="121" customFormat="1">
      <c r="A167" s="1609"/>
      <c r="D167" s="1610"/>
      <c r="K167" s="24"/>
      <c r="L167" s="24"/>
    </row>
    <row r="168" spans="1:12" s="121" customFormat="1">
      <c r="A168" s="1609"/>
      <c r="D168" s="1610"/>
      <c r="K168" s="24"/>
      <c r="L168" s="24"/>
    </row>
    <row r="169" spans="1:12" s="121" customFormat="1">
      <c r="A169" s="1609"/>
      <c r="D169" s="1610"/>
      <c r="K169" s="24"/>
      <c r="L169" s="24"/>
    </row>
    <row r="170" spans="1:12" s="121" customFormat="1">
      <c r="A170" s="1609"/>
      <c r="D170" s="1610"/>
      <c r="K170" s="24"/>
      <c r="L170" s="24"/>
    </row>
    <row r="171" spans="1:12" s="121" customFormat="1">
      <c r="A171" s="1609"/>
      <c r="D171" s="1610"/>
      <c r="K171" s="24"/>
      <c r="L171" s="24"/>
    </row>
    <row r="172" spans="1:12" s="121" customFormat="1">
      <c r="A172" s="1609"/>
      <c r="D172" s="1610"/>
      <c r="K172" s="24"/>
      <c r="L172" s="24"/>
    </row>
    <row r="173" spans="1:12" s="121" customFormat="1">
      <c r="A173" s="1609"/>
      <c r="D173" s="1610"/>
      <c r="K173" s="24"/>
      <c r="L173" s="24"/>
    </row>
    <row r="174" spans="1:12" s="121" customFormat="1">
      <c r="A174" s="1609"/>
      <c r="D174" s="1610"/>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1700-000000000000}">
      <formula1>"7%,5%,1%"</formula1>
    </dataValidation>
    <dataValidation type="list" allowBlank="1" showInputMessage="1" showErrorMessage="1" sqref="B53" xr:uid="{00000000-0002-0000-1700-000001000000}">
      <formula1>城镇土地纳税等级分级范围</formula1>
    </dataValidation>
    <dataValidation type="list" allowBlank="1" showInputMessage="1" showErrorMessage="1" sqref="N5" xr:uid="{00000000-0002-0000-1700-000002000000}">
      <formula1>"工程进度,成新度,工程进度/成新度"</formula1>
    </dataValidation>
    <dataValidation type="list" allowBlank="1" showInputMessage="1" showErrorMessage="1" sqref="C6:C15" xr:uid="{00000000-0002-0000-1700-000003000000}">
      <formula1>地类判定</formula1>
    </dataValidation>
    <dataValidation type="list" showInputMessage="1" showErrorMessage="1" sqref="AI6:AI13" xr:uid="{00000000-0002-0000-1700-000004000000}">
      <formula1>"365,12,1"</formula1>
    </dataValidation>
    <dataValidation type="list" allowBlank="1" showInputMessage="1" showErrorMessage="1" sqref="B14:B15" xr:uid="{00000000-0002-0000-1700-000005000000}">
      <formula1>类别</formula1>
    </dataValidation>
    <dataValidation type="list" allowBlank="1" showInputMessage="1" showErrorMessage="1" sqref="AN6:AN13" xr:uid="{00000000-0002-0000-1700-000006000000}">
      <formula1>估价方法</formula1>
    </dataValidation>
    <dataValidation type="list" allowBlank="1" showInputMessage="1" showErrorMessage="1" sqref="A40" xr:uid="{00000000-0002-0000-17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5" customWidth="1"/>
    <col min="2" max="3" width="24.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7" customWidth="1"/>
    <col min="19" max="29" width="9" style="747"/>
    <col min="30" max="16384" width="9" style="1515"/>
  </cols>
  <sheetData>
    <row r="1" spans="1:29" s="2252" customFormat="1" ht="18.75" thickBot="1">
      <c r="A1" s="3289" t="s">
        <v>2273</v>
      </c>
      <c r="B1" s="3290"/>
      <c r="C1" s="3290"/>
      <c r="D1" s="3290"/>
      <c r="E1" s="3290"/>
      <c r="F1" s="3290"/>
      <c r="G1" s="3290"/>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2270</v>
      </c>
      <c r="D2" s="1588"/>
      <c r="E2" s="2253"/>
      <c r="F2" s="2256"/>
      <c r="G2" s="2255" t="s">
        <v>2271</v>
      </c>
      <c r="H2" s="747"/>
      <c r="I2" s="747"/>
      <c r="J2" s="747"/>
      <c r="K2" s="747"/>
      <c r="L2" s="747"/>
      <c r="M2" s="747"/>
      <c r="N2" s="747"/>
      <c r="O2" s="747"/>
      <c r="P2" s="747"/>
      <c r="Q2" s="747"/>
    </row>
    <row r="3" spans="1:29" ht="24">
      <c r="A3" s="2240" t="s">
        <v>2272</v>
      </c>
      <c r="B3" s="2257" t="s">
        <v>2248</v>
      </c>
      <c r="C3" s="2258"/>
      <c r="D3" s="2259"/>
      <c r="E3" s="2241" t="s">
        <v>2272</v>
      </c>
      <c r="F3" s="2260" t="s">
        <v>2249</v>
      </c>
      <c r="G3" s="2261"/>
      <c r="H3" s="747"/>
      <c r="I3" s="747"/>
      <c r="J3" s="747"/>
      <c r="K3" s="747"/>
      <c r="L3" s="747"/>
      <c r="M3" s="747"/>
      <c r="N3" s="747"/>
      <c r="O3" s="747"/>
      <c r="P3" s="747"/>
      <c r="Q3" s="747"/>
    </row>
    <row r="4" spans="1:29">
      <c r="A4" s="2241"/>
      <c r="B4" s="314" t="s">
        <v>2250</v>
      </c>
      <c r="C4" s="2262"/>
      <c r="D4" s="2259"/>
      <c r="E4" s="2263"/>
      <c r="F4" s="1274" t="s">
        <v>2251</v>
      </c>
      <c r="G4" s="2264"/>
      <c r="H4" s="747"/>
      <c r="I4" s="747"/>
      <c r="J4" s="747"/>
      <c r="K4" s="747"/>
      <c r="L4" s="747"/>
      <c r="M4" s="747"/>
      <c r="N4" s="747"/>
      <c r="O4" s="747"/>
      <c r="P4" s="747"/>
      <c r="Q4" s="747"/>
    </row>
    <row r="5" spans="1:29">
      <c r="A5" s="2241"/>
      <c r="B5" s="314" t="s">
        <v>2252</v>
      </c>
      <c r="C5" s="2262"/>
      <c r="D5" s="2259"/>
      <c r="E5" s="2263"/>
      <c r="F5" s="314" t="s">
        <v>2253</v>
      </c>
      <c r="G5" s="2264"/>
      <c r="H5" s="747"/>
      <c r="I5" s="747"/>
      <c r="J5" s="747"/>
      <c r="K5" s="747"/>
      <c r="L5" s="747"/>
      <c r="M5" s="747"/>
      <c r="N5" s="747"/>
      <c r="O5" s="747"/>
      <c r="P5" s="747"/>
      <c r="Q5" s="747"/>
    </row>
    <row r="6" spans="1:29">
      <c r="A6" s="2241"/>
      <c r="B6" s="314" t="s">
        <v>2254</v>
      </c>
      <c r="C6" s="2264"/>
      <c r="D6" s="2259"/>
      <c r="E6" s="2263"/>
      <c r="F6" s="314" t="s">
        <v>2255</v>
      </c>
      <c r="G6" s="2264"/>
      <c r="H6" s="747"/>
      <c r="I6" s="747"/>
      <c r="J6" s="747"/>
      <c r="K6" s="747"/>
      <c r="L6" s="747"/>
      <c r="M6" s="747"/>
      <c r="N6" s="747"/>
      <c r="O6" s="747"/>
      <c r="P6" s="747"/>
      <c r="Q6" s="747"/>
    </row>
    <row r="7" spans="1:29" ht="15" thickBot="1">
      <c r="A7" s="2241"/>
      <c r="B7" s="314" t="s">
        <v>2253</v>
      </c>
      <c r="C7" s="2264"/>
      <c r="D7" s="2238"/>
      <c r="E7" s="2265"/>
      <c r="F7" s="2266" t="s">
        <v>2256</v>
      </c>
      <c r="G7" s="2267"/>
      <c r="H7" s="747"/>
      <c r="I7" s="747"/>
      <c r="J7" s="747"/>
      <c r="K7" s="747"/>
      <c r="L7" s="747"/>
      <c r="M7" s="747"/>
      <c r="N7" s="747"/>
      <c r="O7" s="747"/>
      <c r="P7" s="747"/>
      <c r="Q7" s="747"/>
    </row>
    <row r="8" spans="1:29">
      <c r="A8" s="2241"/>
      <c r="B8" s="314" t="s">
        <v>2255</v>
      </c>
      <c r="C8" s="2264"/>
      <c r="D8" s="2238"/>
      <c r="E8" s="2238"/>
      <c r="F8" s="120"/>
      <c r="G8" s="120"/>
      <c r="H8" s="747"/>
      <c r="I8" s="747"/>
      <c r="J8" s="747"/>
      <c r="K8" s="747"/>
      <c r="L8" s="747"/>
      <c r="M8" s="747"/>
      <c r="N8" s="747"/>
      <c r="O8" s="747"/>
      <c r="P8" s="747"/>
      <c r="Q8" s="747"/>
    </row>
    <row r="9" spans="1:29">
      <c r="A9" s="2241"/>
      <c r="B9" s="314" t="s">
        <v>2257</v>
      </c>
      <c r="C9" s="2262"/>
      <c r="D9" s="2259"/>
      <c r="E9" s="2238"/>
      <c r="F9" s="120"/>
      <c r="G9" s="120"/>
      <c r="H9" s="747"/>
      <c r="I9" s="747"/>
      <c r="J9" s="747"/>
      <c r="K9" s="747"/>
      <c r="L9" s="747"/>
      <c r="M9" s="747"/>
      <c r="N9" s="747"/>
      <c r="O9" s="747"/>
      <c r="P9" s="747"/>
      <c r="Q9" s="747"/>
    </row>
    <row r="10" spans="1:29" ht="15" thickBot="1">
      <c r="A10" s="2242"/>
      <c r="B10" s="2268" t="s">
        <v>2258</v>
      </c>
      <c r="C10" s="2269"/>
      <c r="D10" s="2259"/>
      <c r="E10" s="2259"/>
      <c r="F10" s="120"/>
      <c r="G10" s="120"/>
      <c r="J10" s="2271"/>
      <c r="M10" s="2271"/>
      <c r="P10" s="2271"/>
      <c r="R10" s="2270"/>
    </row>
    <row r="11" spans="1:29">
      <c r="A11" s="2272"/>
      <c r="B11" s="2238"/>
      <c r="C11" s="2259"/>
      <c r="D11" s="2259"/>
      <c r="E11" s="2259"/>
      <c r="F11" s="2238"/>
      <c r="G11" s="2238"/>
      <c r="J11" s="2271"/>
      <c r="M11" s="2271"/>
      <c r="P11" s="2271"/>
      <c r="R11" s="2270"/>
    </row>
    <row r="12" spans="1:29" s="2252" customFormat="1" ht="18">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75" thickBot="1">
      <c r="A13" s="2277" t="s">
        <v>2274</v>
      </c>
      <c r="B13" s="2273"/>
      <c r="C13" s="2273"/>
      <c r="D13" s="2272"/>
      <c r="E13" s="2273"/>
      <c r="F13" s="2273"/>
      <c r="G13" s="2273"/>
    </row>
    <row r="14" spans="1:29" ht="15" thickBot="1">
      <c r="A14" s="2278"/>
      <c r="B14" s="2278"/>
      <c r="C14" s="2279" t="s">
        <v>2259</v>
      </c>
      <c r="D14" s="2259"/>
      <c r="E14" s="2280"/>
      <c r="F14" s="2280"/>
      <c r="G14" s="2255" t="s">
        <v>2260</v>
      </c>
    </row>
    <row r="15" spans="1:29" ht="24">
      <c r="A15" s="2243" t="s">
        <v>2261</v>
      </c>
      <c r="B15" s="2281" t="s">
        <v>2248</v>
      </c>
      <c r="C15" s="2282">
        <f>C3</f>
        <v>0</v>
      </c>
      <c r="D15" s="2259"/>
      <c r="E15" s="2244" t="s">
        <v>2262</v>
      </c>
      <c r="F15" s="2281" t="s">
        <v>2263</v>
      </c>
      <c r="G15" s="2283">
        <f>G3</f>
        <v>0</v>
      </c>
    </row>
    <row r="16" spans="1:29">
      <c r="A16" s="2245"/>
      <c r="B16" s="2284" t="s">
        <v>2250</v>
      </c>
      <c r="C16" s="2285">
        <f>C4</f>
        <v>0</v>
      </c>
      <c r="D16" s="2259"/>
      <c r="E16" s="2246"/>
      <c r="F16" s="2286" t="s">
        <v>2251</v>
      </c>
      <c r="G16" s="2287">
        <f>G4</f>
        <v>0</v>
      </c>
    </row>
    <row r="17" spans="1:17">
      <c r="A17" s="2245"/>
      <c r="B17" s="2284" t="s">
        <v>2252</v>
      </c>
      <c r="C17" s="2285">
        <f>C5</f>
        <v>0</v>
      </c>
      <c r="D17" s="2238"/>
      <c r="E17" s="2246"/>
      <c r="F17" s="2286" t="s">
        <v>2264</v>
      </c>
      <c r="G17" s="2288"/>
    </row>
    <row r="18" spans="1:17">
      <c r="A18" s="2245"/>
      <c r="B18" s="2286" t="s">
        <v>2254</v>
      </c>
      <c r="C18" s="2287">
        <f>C6</f>
        <v>0</v>
      </c>
      <c r="D18" s="2238"/>
      <c r="E18" s="2246"/>
      <c r="F18" s="2286" t="s">
        <v>2256</v>
      </c>
      <c r="G18" s="2287">
        <f>G7</f>
        <v>0</v>
      </c>
    </row>
    <row r="19" spans="1:17">
      <c r="A19" s="2245"/>
      <c r="B19" s="2286" t="s">
        <v>2265</v>
      </c>
      <c r="C19" s="2288"/>
      <c r="D19" s="2259"/>
      <c r="E19" s="2246"/>
      <c r="F19" s="314" t="s">
        <v>2253</v>
      </c>
      <c r="G19" s="2287">
        <f>G5</f>
        <v>0</v>
      </c>
    </row>
    <row r="20" spans="1:17">
      <c r="A20" s="2245"/>
      <c r="B20" s="2286" t="s">
        <v>2266</v>
      </c>
      <c r="C20" s="2285">
        <f>C9</f>
        <v>0</v>
      </c>
      <c r="D20" s="2238"/>
      <c r="E20" s="2246"/>
      <c r="F20" s="314" t="s">
        <v>2255</v>
      </c>
      <c r="G20" s="2287">
        <f>G6</f>
        <v>0</v>
      </c>
    </row>
    <row r="21" spans="1:17">
      <c r="A21" s="2245"/>
      <c r="B21" s="314" t="s">
        <v>2253</v>
      </c>
      <c r="C21" s="2287">
        <f>C7</f>
        <v>0</v>
      </c>
      <c r="D21" s="2259"/>
      <c r="E21" s="2246"/>
      <c r="F21" s="2286" t="s">
        <v>2267</v>
      </c>
      <c r="G21" s="2289"/>
    </row>
    <row r="22" spans="1:17" ht="13.5" customHeight="1">
      <c r="A22" s="2245"/>
      <c r="B22" s="314" t="s">
        <v>2255</v>
      </c>
      <c r="C22" s="2287">
        <f>C8</f>
        <v>0</v>
      </c>
      <c r="D22" s="2259"/>
      <c r="E22" s="2246"/>
      <c r="F22" s="2286" t="s">
        <v>2258</v>
      </c>
      <c r="G22" s="2288"/>
    </row>
    <row r="23" spans="1:17" s="747" customFormat="1" ht="15" thickBot="1">
      <c r="A23" s="2245"/>
      <c r="B23" s="2286" t="s">
        <v>2267</v>
      </c>
      <c r="C23" s="2289"/>
      <c r="D23" s="1607"/>
      <c r="E23" s="2247"/>
      <c r="F23" s="2290" t="s">
        <v>2268</v>
      </c>
      <c r="G23" s="2291"/>
      <c r="H23" s="2270"/>
      <c r="I23" s="2270"/>
      <c r="J23" s="2270"/>
      <c r="K23" s="2270"/>
      <c r="L23" s="2270"/>
      <c r="M23" s="2270"/>
      <c r="N23" s="2270"/>
      <c r="O23" s="2270"/>
      <c r="P23" s="2270"/>
      <c r="Q23" s="2270"/>
    </row>
    <row r="24" spans="1:17" s="747" customFormat="1" ht="15" thickBot="1">
      <c r="A24" s="2248"/>
      <c r="B24" s="2290" t="s">
        <v>2269</v>
      </c>
      <c r="C24" s="2292">
        <f>C10</f>
        <v>0</v>
      </c>
      <c r="D24" s="1607"/>
      <c r="E24" s="2238"/>
      <c r="F24" s="2238"/>
      <c r="G24" s="2238"/>
      <c r="H24" s="2270"/>
      <c r="I24" s="2270"/>
      <c r="J24" s="2270"/>
      <c r="K24" s="2270"/>
      <c r="L24" s="2270"/>
      <c r="M24" s="2270"/>
      <c r="N24" s="2270"/>
      <c r="O24" s="2270"/>
      <c r="P24" s="2270"/>
      <c r="Q24" s="2270"/>
    </row>
    <row r="25" spans="1:17" s="747" customFormat="1">
      <c r="B25" s="2270"/>
      <c r="C25" s="2270"/>
      <c r="D25" s="2270"/>
      <c r="H25" s="2270"/>
      <c r="I25" s="2270"/>
      <c r="J25" s="2270"/>
      <c r="K25" s="2270"/>
      <c r="L25" s="2270"/>
      <c r="M25" s="2270"/>
      <c r="N25" s="2270"/>
      <c r="O25" s="2270"/>
      <c r="P25" s="2270"/>
      <c r="Q25" s="2270"/>
    </row>
    <row r="26" spans="1:17" s="747" customFormat="1">
      <c r="B26" s="2270"/>
      <c r="C26" s="2270"/>
      <c r="D26" s="2270"/>
      <c r="H26" s="2270"/>
      <c r="I26" s="2270"/>
      <c r="J26" s="2270"/>
      <c r="K26" s="2270"/>
      <c r="L26" s="2270"/>
      <c r="M26" s="2270"/>
      <c r="N26" s="2270"/>
      <c r="O26" s="2270"/>
      <c r="P26" s="2270"/>
      <c r="Q26" s="2270"/>
    </row>
    <row r="27" spans="1:17" s="747" customFormat="1">
      <c r="B27" s="2270"/>
      <c r="C27" s="2270"/>
      <c r="D27" s="2270"/>
      <c r="H27" s="2270"/>
      <c r="I27" s="2270"/>
      <c r="J27" s="2270"/>
      <c r="K27" s="2270"/>
      <c r="L27" s="2270"/>
      <c r="M27" s="2270"/>
      <c r="N27" s="2270"/>
      <c r="O27" s="2270"/>
      <c r="P27" s="2270"/>
      <c r="Q27" s="2270"/>
    </row>
    <row r="28" spans="1:17" s="747" customFormat="1">
      <c r="B28" s="2270"/>
      <c r="C28" s="2270"/>
      <c r="D28" s="2270"/>
      <c r="H28" s="2270"/>
      <c r="I28" s="2270"/>
      <c r="J28" s="2270"/>
      <c r="K28" s="2270"/>
      <c r="L28" s="2270"/>
      <c r="M28" s="2270"/>
      <c r="N28" s="2270"/>
      <c r="O28" s="2270"/>
      <c r="P28" s="2270"/>
      <c r="Q28" s="2270"/>
    </row>
    <row r="29" spans="1:17" s="747" customFormat="1">
      <c r="B29" s="2270"/>
      <c r="C29" s="2270"/>
      <c r="D29" s="2270"/>
      <c r="H29" s="2270"/>
      <c r="I29" s="2270"/>
      <c r="J29" s="2270"/>
      <c r="K29" s="2270"/>
      <c r="L29" s="2270"/>
      <c r="M29" s="2270"/>
      <c r="N29" s="2270"/>
      <c r="O29" s="2270"/>
      <c r="P29" s="2270"/>
      <c r="Q29" s="2270"/>
    </row>
    <row r="30" spans="1:17" s="747" customFormat="1">
      <c r="B30" s="2270"/>
      <c r="C30" s="2270"/>
      <c r="D30" s="2270"/>
      <c r="H30" s="2270"/>
      <c r="I30" s="2270"/>
      <c r="J30" s="2270"/>
      <c r="K30" s="2270"/>
      <c r="L30" s="2270"/>
      <c r="M30" s="2270"/>
      <c r="N30" s="2270"/>
      <c r="O30" s="2270"/>
      <c r="P30" s="2270"/>
      <c r="Q30" s="2270"/>
    </row>
    <row r="31" spans="1:17" s="747" customFormat="1">
      <c r="B31" s="2270"/>
      <c r="C31" s="2270"/>
      <c r="D31" s="2270"/>
      <c r="H31" s="2270"/>
      <c r="I31" s="2270"/>
      <c r="J31" s="2270"/>
      <c r="K31" s="2270"/>
      <c r="L31" s="2270"/>
      <c r="M31" s="2270"/>
      <c r="N31" s="2270"/>
      <c r="O31" s="2270"/>
      <c r="P31" s="2270"/>
      <c r="Q31" s="2270"/>
    </row>
    <row r="32" spans="1:17" s="747" customFormat="1">
      <c r="B32" s="2270"/>
      <c r="C32" s="2270"/>
      <c r="D32" s="2270"/>
      <c r="H32" s="2270"/>
      <c r="I32" s="2270"/>
      <c r="J32" s="2270"/>
      <c r="K32" s="2270"/>
      <c r="L32" s="2270"/>
      <c r="M32" s="2270"/>
      <c r="N32" s="2270"/>
      <c r="O32" s="2270"/>
      <c r="P32" s="2270"/>
      <c r="Q32" s="2270"/>
    </row>
    <row r="33" spans="2:17" s="747" customFormat="1">
      <c r="B33" s="2270"/>
      <c r="C33" s="2270"/>
      <c r="D33" s="2270"/>
      <c r="H33" s="2270"/>
      <c r="I33" s="2270"/>
      <c r="J33" s="2270"/>
      <c r="K33" s="2270"/>
      <c r="L33" s="2270"/>
      <c r="M33" s="2270"/>
      <c r="N33" s="2270"/>
      <c r="O33" s="2270"/>
      <c r="P33" s="2270"/>
      <c r="Q33" s="2270"/>
    </row>
    <row r="34" spans="2:17" s="747" customFormat="1">
      <c r="B34" s="2270"/>
      <c r="C34" s="2270"/>
      <c r="D34" s="2270"/>
      <c r="H34" s="2270"/>
      <c r="I34" s="2270"/>
      <c r="J34" s="2270"/>
      <c r="K34" s="2270"/>
      <c r="L34" s="2270"/>
      <c r="M34" s="2270"/>
      <c r="N34" s="2270"/>
      <c r="O34" s="2270"/>
      <c r="P34" s="2270"/>
      <c r="Q34" s="2270"/>
    </row>
    <row r="35" spans="2:17" s="747" customFormat="1">
      <c r="B35" s="2270"/>
      <c r="C35" s="2270"/>
      <c r="D35" s="2270"/>
      <c r="H35" s="2270"/>
      <c r="I35" s="2270"/>
      <c r="J35" s="2270"/>
      <c r="K35" s="2270"/>
      <c r="L35" s="2270"/>
      <c r="M35" s="2270"/>
      <c r="N35" s="2270"/>
      <c r="O35" s="2270"/>
      <c r="P35" s="2270"/>
      <c r="Q35" s="2270"/>
    </row>
    <row r="36" spans="2:17" s="747" customFormat="1">
      <c r="B36" s="2270"/>
      <c r="C36" s="2270"/>
      <c r="D36" s="2270"/>
      <c r="H36" s="2270"/>
      <c r="I36" s="2270"/>
      <c r="J36" s="2270"/>
      <c r="K36" s="2270"/>
      <c r="L36" s="2270"/>
      <c r="M36" s="2270"/>
      <c r="N36" s="2270"/>
      <c r="O36" s="2270"/>
      <c r="P36" s="2270"/>
      <c r="Q36" s="2270"/>
    </row>
    <row r="37" spans="2:17" s="747" customFormat="1">
      <c r="B37" s="2270"/>
      <c r="C37" s="2270"/>
      <c r="D37" s="2270"/>
      <c r="H37" s="2270"/>
      <c r="I37" s="2270"/>
      <c r="J37" s="2270"/>
      <c r="K37" s="2270"/>
      <c r="L37" s="2270"/>
      <c r="M37" s="2270"/>
      <c r="N37" s="2270"/>
      <c r="O37" s="2270"/>
      <c r="P37" s="2270"/>
      <c r="Q37" s="2270"/>
    </row>
    <row r="38" spans="2:17" s="747" customFormat="1">
      <c r="B38" s="2270"/>
      <c r="C38" s="2270"/>
      <c r="D38" s="2270"/>
      <c r="E38" s="2270"/>
      <c r="F38" s="2270"/>
      <c r="G38" s="2270"/>
      <c r="H38" s="2270"/>
      <c r="I38" s="2270"/>
      <c r="J38" s="2270"/>
      <c r="K38" s="2270"/>
      <c r="L38" s="2270"/>
      <c r="M38" s="2270"/>
      <c r="N38" s="2270"/>
      <c r="O38" s="2270"/>
      <c r="P38" s="2270"/>
      <c r="Q38" s="2270"/>
    </row>
    <row r="39" spans="2:17" s="747" customFormat="1">
      <c r="B39" s="2270"/>
      <c r="C39" s="2270"/>
      <c r="D39" s="2270"/>
      <c r="E39" s="2270"/>
      <c r="F39" s="2270"/>
      <c r="G39" s="2270"/>
      <c r="H39" s="2270"/>
      <c r="I39" s="2270"/>
      <c r="J39" s="2270"/>
      <c r="K39" s="2270"/>
      <c r="L39" s="2270"/>
      <c r="M39" s="2270"/>
      <c r="N39" s="2270"/>
      <c r="O39" s="2270"/>
      <c r="P39" s="2270"/>
      <c r="Q39" s="2270"/>
    </row>
    <row r="40" spans="2:17" s="747" customFormat="1">
      <c r="B40" s="2270"/>
      <c r="C40" s="2270"/>
      <c r="D40" s="2270"/>
      <c r="E40" s="2270"/>
      <c r="F40" s="2270"/>
      <c r="G40" s="2270"/>
      <c r="H40" s="2270"/>
      <c r="I40" s="2270"/>
      <c r="J40" s="2270"/>
      <c r="K40" s="2270"/>
      <c r="L40" s="2270"/>
      <c r="M40" s="2270"/>
      <c r="N40" s="2270"/>
      <c r="O40" s="2270"/>
      <c r="P40" s="2270"/>
      <c r="Q40" s="2270"/>
    </row>
    <row r="41" spans="2:17" s="747" customFormat="1">
      <c r="B41" s="2270"/>
      <c r="C41" s="2270"/>
      <c r="D41" s="2270"/>
      <c r="E41" s="2270"/>
      <c r="F41" s="2270"/>
      <c r="G41" s="2270"/>
      <c r="H41" s="2270"/>
      <c r="I41" s="2270"/>
      <c r="J41" s="2270"/>
      <c r="K41" s="2270"/>
      <c r="L41" s="2270"/>
      <c r="M41" s="2270"/>
      <c r="N41" s="2270"/>
      <c r="O41" s="2270"/>
      <c r="P41" s="2270"/>
      <c r="Q41" s="2270"/>
    </row>
    <row r="42" spans="2:17" s="747" customFormat="1">
      <c r="B42" s="2270"/>
      <c r="C42" s="2270"/>
      <c r="D42" s="2270"/>
      <c r="E42" s="2270"/>
      <c r="F42" s="2270"/>
      <c r="G42" s="2270"/>
      <c r="H42" s="2270"/>
      <c r="I42" s="2270"/>
      <c r="J42" s="2270"/>
      <c r="K42" s="2270"/>
      <c r="L42" s="2270"/>
      <c r="M42" s="2270"/>
      <c r="N42" s="2270"/>
      <c r="O42" s="2270"/>
      <c r="P42" s="2270"/>
      <c r="Q42" s="2270"/>
    </row>
    <row r="43" spans="2:17" s="747" customFormat="1">
      <c r="B43" s="2270"/>
      <c r="C43" s="2270"/>
      <c r="D43" s="2270"/>
      <c r="E43" s="2270"/>
      <c r="F43" s="2270"/>
      <c r="G43" s="2270"/>
      <c r="H43" s="2270"/>
      <c r="I43" s="2270"/>
      <c r="J43" s="2270"/>
      <c r="K43" s="2270"/>
      <c r="L43" s="2270"/>
      <c r="M43" s="2270"/>
      <c r="N43" s="2270"/>
      <c r="O43" s="2270"/>
      <c r="P43" s="2270"/>
      <c r="Q43" s="2270"/>
    </row>
    <row r="44" spans="2:17" s="747" customFormat="1">
      <c r="B44" s="2270"/>
      <c r="C44" s="2270"/>
      <c r="D44" s="2270"/>
      <c r="E44" s="2270"/>
      <c r="F44" s="2270"/>
      <c r="G44" s="2270"/>
      <c r="H44" s="2270"/>
      <c r="I44" s="2270"/>
      <c r="J44" s="2270"/>
      <c r="K44" s="2270"/>
      <c r="L44" s="2270"/>
      <c r="M44" s="2270"/>
      <c r="N44" s="2270"/>
      <c r="O44" s="2270"/>
      <c r="P44" s="2270"/>
      <c r="Q44" s="2270"/>
    </row>
    <row r="45" spans="2:17" s="747" customFormat="1">
      <c r="B45" s="2270"/>
      <c r="C45" s="2270"/>
      <c r="D45" s="2270"/>
      <c r="E45" s="2270"/>
      <c r="F45" s="2270"/>
      <c r="G45" s="2270"/>
      <c r="H45" s="2270"/>
      <c r="I45" s="2270"/>
      <c r="J45" s="2270"/>
      <c r="K45" s="2270"/>
      <c r="L45" s="2270"/>
      <c r="M45" s="2270"/>
      <c r="N45" s="2270"/>
      <c r="O45" s="2270"/>
      <c r="P45" s="2270"/>
      <c r="Q45" s="2270"/>
    </row>
    <row r="46" spans="2:17" s="747" customFormat="1">
      <c r="B46" s="2270"/>
      <c r="C46" s="2270"/>
      <c r="D46" s="2270"/>
      <c r="E46" s="2270"/>
      <c r="F46" s="2270"/>
      <c r="G46" s="2270"/>
      <c r="H46" s="2270"/>
      <c r="I46" s="2270"/>
      <c r="J46" s="2270"/>
      <c r="K46" s="2270"/>
      <c r="L46" s="2270"/>
      <c r="M46" s="2270"/>
      <c r="N46" s="2270"/>
      <c r="O46" s="2270"/>
      <c r="P46" s="2270"/>
      <c r="Q46" s="2270"/>
    </row>
    <row r="47" spans="2:17" s="747" customFormat="1">
      <c r="B47" s="2270"/>
      <c r="C47" s="2270"/>
      <c r="D47" s="2270"/>
      <c r="E47" s="2270"/>
      <c r="F47" s="2270"/>
      <c r="G47" s="2270"/>
      <c r="H47" s="2270"/>
      <c r="I47" s="2270"/>
      <c r="J47" s="2270"/>
      <c r="K47" s="2270"/>
      <c r="L47" s="2270"/>
      <c r="M47" s="2270"/>
      <c r="N47" s="2270"/>
      <c r="O47" s="2270"/>
      <c r="P47" s="2270"/>
      <c r="Q47" s="2270"/>
    </row>
    <row r="48" spans="2:17" s="747" customFormat="1">
      <c r="B48" s="2270"/>
      <c r="C48" s="2270"/>
      <c r="D48" s="2270"/>
      <c r="E48" s="2270"/>
      <c r="F48" s="2270"/>
      <c r="G48" s="2270"/>
      <c r="H48" s="2270"/>
      <c r="I48" s="2270"/>
      <c r="J48" s="2270"/>
      <c r="K48" s="2270"/>
      <c r="L48" s="2270"/>
      <c r="M48" s="2270"/>
      <c r="N48" s="2270"/>
      <c r="O48" s="2270"/>
      <c r="P48" s="2270"/>
      <c r="Q48" s="2270"/>
    </row>
    <row r="49" spans="2:17" s="747" customFormat="1">
      <c r="B49" s="2270"/>
      <c r="C49" s="2270"/>
      <c r="D49" s="2270"/>
      <c r="E49" s="2270"/>
      <c r="F49" s="2270"/>
      <c r="G49" s="2270"/>
      <c r="H49" s="2270"/>
      <c r="I49" s="2270"/>
      <c r="J49" s="2270"/>
      <c r="K49" s="2270"/>
      <c r="L49" s="2270"/>
      <c r="M49" s="2270"/>
      <c r="N49" s="2270"/>
      <c r="O49" s="2270"/>
      <c r="P49" s="2270"/>
      <c r="Q49" s="2270"/>
    </row>
    <row r="50" spans="2:17" s="747" customFormat="1">
      <c r="B50" s="2270"/>
      <c r="C50" s="2270"/>
      <c r="D50" s="2270"/>
      <c r="E50" s="2270"/>
      <c r="F50" s="2270"/>
      <c r="G50" s="2270"/>
      <c r="H50" s="2270"/>
      <c r="I50" s="2270"/>
      <c r="J50" s="2270"/>
      <c r="K50" s="2270"/>
      <c r="L50" s="2270"/>
      <c r="M50" s="2270"/>
      <c r="N50" s="2270"/>
      <c r="O50" s="2270"/>
      <c r="P50" s="2270"/>
      <c r="Q50" s="2270"/>
    </row>
    <row r="51" spans="2:17" s="747" customFormat="1">
      <c r="B51" s="2270"/>
      <c r="C51" s="2270"/>
      <c r="D51" s="2270"/>
      <c r="E51" s="2270"/>
      <c r="F51" s="2270"/>
      <c r="G51" s="2270"/>
      <c r="H51" s="2270"/>
      <c r="I51" s="2270"/>
      <c r="J51" s="2270"/>
      <c r="K51" s="2270"/>
      <c r="L51" s="2270"/>
      <c r="M51" s="2270"/>
      <c r="N51" s="2270"/>
      <c r="O51" s="2270"/>
      <c r="P51" s="2270"/>
      <c r="Q51" s="2270"/>
    </row>
    <row r="52" spans="2:17" s="747" customFormat="1">
      <c r="B52" s="2270"/>
      <c r="C52" s="2270"/>
      <c r="D52" s="2270"/>
      <c r="E52" s="2270"/>
      <c r="F52" s="2270"/>
      <c r="G52" s="2270"/>
      <c r="H52" s="2270"/>
      <c r="I52" s="2270"/>
      <c r="J52" s="2270"/>
      <c r="K52" s="2270"/>
      <c r="L52" s="2270"/>
      <c r="M52" s="2270"/>
      <c r="N52" s="2270"/>
      <c r="O52" s="2270"/>
      <c r="P52" s="2270"/>
      <c r="Q52" s="2270"/>
    </row>
    <row r="53" spans="2:17" s="747" customFormat="1">
      <c r="B53" s="2270"/>
      <c r="C53" s="2270"/>
      <c r="D53" s="2270"/>
      <c r="E53" s="2270"/>
      <c r="F53" s="2270"/>
      <c r="G53" s="2270"/>
      <c r="H53" s="2270"/>
      <c r="I53" s="2270"/>
      <c r="J53" s="2270"/>
      <c r="K53" s="2270"/>
      <c r="L53" s="2270"/>
      <c r="M53" s="2270"/>
      <c r="N53" s="2270"/>
      <c r="O53" s="2270"/>
      <c r="P53" s="2270"/>
      <c r="Q53" s="2270"/>
    </row>
    <row r="54" spans="2:17" s="747" customFormat="1">
      <c r="B54" s="2270"/>
      <c r="C54" s="2270"/>
      <c r="D54" s="2270"/>
      <c r="E54" s="2270"/>
      <c r="F54" s="2270"/>
      <c r="G54" s="2270"/>
      <c r="H54" s="2270"/>
      <c r="I54" s="2270"/>
      <c r="J54" s="2270"/>
      <c r="K54" s="2270"/>
      <c r="L54" s="2270"/>
      <c r="M54" s="2270"/>
      <c r="N54" s="2270"/>
      <c r="O54" s="2270"/>
      <c r="P54" s="2270"/>
      <c r="Q54" s="2270"/>
    </row>
    <row r="55" spans="2:17" s="747" customFormat="1">
      <c r="B55" s="2270"/>
      <c r="C55" s="2270"/>
      <c r="D55" s="2270"/>
      <c r="E55" s="2270"/>
      <c r="F55" s="2270"/>
      <c r="G55" s="2270"/>
      <c r="H55" s="2270"/>
      <c r="I55" s="2270"/>
      <c r="J55" s="2270"/>
      <c r="K55" s="2270"/>
      <c r="L55" s="2270"/>
      <c r="M55" s="2270"/>
      <c r="N55" s="2270"/>
      <c r="O55" s="2270"/>
      <c r="P55" s="2270"/>
      <c r="Q55" s="2270"/>
    </row>
    <row r="56" spans="2:17" s="747" customFormat="1">
      <c r="B56" s="2270"/>
      <c r="C56" s="2270"/>
      <c r="D56" s="2270"/>
      <c r="E56" s="2270"/>
      <c r="F56" s="2270"/>
      <c r="G56" s="2270"/>
      <c r="H56" s="2270"/>
      <c r="I56" s="2270"/>
      <c r="J56" s="2270"/>
      <c r="K56" s="2270"/>
      <c r="L56" s="2270"/>
      <c r="M56" s="2270"/>
      <c r="N56" s="2270"/>
      <c r="O56" s="2270"/>
      <c r="P56" s="2270"/>
      <c r="Q56" s="2270"/>
    </row>
    <row r="57" spans="2:17" s="747" customFormat="1">
      <c r="B57" s="2270"/>
      <c r="C57" s="2270"/>
      <c r="D57" s="2270"/>
      <c r="E57" s="2270"/>
      <c r="F57" s="2270"/>
      <c r="G57" s="2270"/>
      <c r="H57" s="2270"/>
      <c r="I57" s="2270"/>
      <c r="J57" s="2270"/>
      <c r="K57" s="2270"/>
      <c r="L57" s="2270"/>
      <c r="M57" s="2270"/>
      <c r="N57" s="2270"/>
      <c r="O57" s="2270"/>
      <c r="P57" s="2270"/>
      <c r="Q57" s="2270"/>
    </row>
    <row r="58" spans="2:17" s="747" customFormat="1">
      <c r="B58" s="2270"/>
      <c r="C58" s="2270"/>
      <c r="D58" s="2270"/>
      <c r="E58" s="2270"/>
      <c r="F58" s="2270"/>
      <c r="G58" s="2270"/>
      <c r="H58" s="2270"/>
      <c r="I58" s="2270"/>
      <c r="J58" s="2270"/>
      <c r="K58" s="2270"/>
      <c r="L58" s="2270"/>
      <c r="M58" s="2270"/>
      <c r="N58" s="2270"/>
      <c r="O58" s="2270"/>
      <c r="P58" s="2270"/>
      <c r="Q58" s="2270"/>
    </row>
    <row r="59" spans="2:17" s="747" customFormat="1">
      <c r="B59" s="2270"/>
      <c r="C59" s="2270"/>
      <c r="D59" s="2270"/>
      <c r="E59" s="2270"/>
      <c r="F59" s="2270"/>
      <c r="G59" s="2270"/>
      <c r="H59" s="2270"/>
      <c r="I59" s="2270"/>
      <c r="J59" s="2270"/>
      <c r="K59" s="2270"/>
      <c r="L59" s="2270"/>
      <c r="M59" s="2270"/>
      <c r="N59" s="2270"/>
      <c r="O59" s="2270"/>
      <c r="P59" s="2270"/>
      <c r="Q59" s="2270"/>
    </row>
    <row r="60" spans="2:17" s="747" customFormat="1">
      <c r="B60" s="2270"/>
      <c r="C60" s="2270"/>
      <c r="D60" s="2270"/>
      <c r="E60" s="2270"/>
      <c r="F60" s="2270"/>
      <c r="G60" s="2270"/>
      <c r="H60" s="2270"/>
      <c r="I60" s="2270"/>
      <c r="J60" s="2270"/>
      <c r="K60" s="2270"/>
      <c r="L60" s="2270"/>
      <c r="M60" s="2270"/>
      <c r="N60" s="2270"/>
      <c r="O60" s="2270"/>
      <c r="P60" s="2270"/>
      <c r="Q60" s="2270"/>
    </row>
    <row r="61" spans="2:17" s="747" customFormat="1">
      <c r="B61" s="2270"/>
      <c r="C61" s="2270"/>
      <c r="D61" s="2270"/>
      <c r="E61" s="2270"/>
      <c r="F61" s="2270"/>
      <c r="G61" s="2270"/>
      <c r="H61" s="2270"/>
      <c r="I61" s="2270"/>
      <c r="J61" s="2270"/>
      <c r="K61" s="2270"/>
      <c r="L61" s="2270"/>
      <c r="M61" s="2270"/>
      <c r="N61" s="2270"/>
      <c r="O61" s="2270"/>
      <c r="P61" s="2270"/>
      <c r="Q61" s="2270"/>
    </row>
    <row r="62" spans="2:17" s="747" customFormat="1">
      <c r="B62" s="2270"/>
      <c r="C62" s="2270"/>
      <c r="D62" s="2270"/>
      <c r="E62" s="2270"/>
      <c r="F62" s="2270"/>
      <c r="G62" s="2270"/>
      <c r="H62" s="2270"/>
      <c r="I62" s="2270"/>
      <c r="J62" s="2270"/>
      <c r="K62" s="2270"/>
      <c r="L62" s="2270"/>
      <c r="M62" s="2270"/>
      <c r="N62" s="2270"/>
      <c r="O62" s="2270"/>
      <c r="P62" s="2270"/>
      <c r="Q62" s="2270"/>
    </row>
    <row r="63" spans="2:17" s="747" customFormat="1">
      <c r="B63" s="2270"/>
      <c r="C63" s="2270"/>
      <c r="D63" s="2270"/>
      <c r="E63" s="2270"/>
      <c r="F63" s="2270"/>
      <c r="G63" s="2270"/>
      <c r="H63" s="2270"/>
      <c r="I63" s="2270"/>
      <c r="J63" s="2270"/>
      <c r="K63" s="2270"/>
      <c r="L63" s="2270"/>
      <c r="M63" s="2270"/>
      <c r="N63" s="2270"/>
      <c r="O63" s="2270"/>
      <c r="P63" s="2270"/>
      <c r="Q63" s="2270"/>
    </row>
    <row r="64" spans="2:17" s="747" customFormat="1">
      <c r="B64" s="2270"/>
      <c r="C64" s="2270"/>
      <c r="D64" s="2270"/>
      <c r="E64" s="2270"/>
      <c r="F64" s="2270"/>
      <c r="G64" s="2270"/>
      <c r="H64" s="2270"/>
      <c r="I64" s="2270"/>
      <c r="J64" s="2270"/>
      <c r="K64" s="2270"/>
      <c r="L64" s="2270"/>
      <c r="M64" s="2270"/>
      <c r="N64" s="2270"/>
      <c r="O64" s="2270"/>
      <c r="P64" s="2270"/>
      <c r="Q64" s="2270"/>
    </row>
    <row r="65" spans="2:17" s="747" customFormat="1">
      <c r="B65" s="2270"/>
      <c r="C65" s="2270"/>
      <c r="D65" s="2270"/>
      <c r="E65" s="2270"/>
      <c r="F65" s="2270"/>
      <c r="G65" s="2270"/>
      <c r="H65" s="2270"/>
      <c r="I65" s="2270"/>
      <c r="J65" s="2270"/>
      <c r="K65" s="2270"/>
      <c r="L65" s="2270"/>
      <c r="M65" s="2270"/>
      <c r="N65" s="2270"/>
      <c r="O65" s="2270"/>
      <c r="P65" s="2270"/>
      <c r="Q65" s="2270"/>
    </row>
    <row r="66" spans="2:17" s="747" customFormat="1">
      <c r="B66" s="2270"/>
      <c r="C66" s="2270"/>
      <c r="D66" s="2270"/>
      <c r="E66" s="2270"/>
      <c r="F66" s="2270"/>
      <c r="G66" s="2270"/>
      <c r="H66" s="2270"/>
      <c r="I66" s="2270"/>
      <c r="J66" s="2270"/>
      <c r="K66" s="2270"/>
      <c r="L66" s="2270"/>
      <c r="M66" s="2270"/>
      <c r="N66" s="2270"/>
      <c r="O66" s="2270"/>
      <c r="P66" s="2270"/>
      <c r="Q66" s="2270"/>
    </row>
    <row r="67" spans="2:17" s="747" customFormat="1">
      <c r="B67" s="2270"/>
      <c r="C67" s="2270"/>
      <c r="D67" s="2270"/>
      <c r="E67" s="2270"/>
      <c r="F67" s="2270"/>
      <c r="G67" s="2270"/>
      <c r="H67" s="2270"/>
      <c r="I67" s="2270"/>
      <c r="J67" s="2270"/>
      <c r="K67" s="2270"/>
      <c r="L67" s="2270"/>
      <c r="M67" s="2270"/>
      <c r="N67" s="2270"/>
      <c r="O67" s="2270"/>
      <c r="P67" s="2270"/>
      <c r="Q67" s="2270"/>
    </row>
    <row r="68" spans="2:17" s="747" customFormat="1">
      <c r="B68" s="2270"/>
      <c r="C68" s="2270"/>
      <c r="D68" s="2270"/>
      <c r="E68" s="2270"/>
      <c r="F68" s="2270"/>
      <c r="G68" s="2270"/>
      <c r="H68" s="2270"/>
      <c r="I68" s="2270"/>
      <c r="J68" s="2270"/>
      <c r="K68" s="2270"/>
      <c r="L68" s="2270"/>
      <c r="M68" s="2270"/>
      <c r="N68" s="2270"/>
      <c r="O68" s="2270"/>
      <c r="P68" s="2270"/>
      <c r="Q68" s="2270"/>
    </row>
    <row r="69" spans="2:17" s="747" customFormat="1">
      <c r="B69" s="2270"/>
      <c r="C69" s="2270"/>
      <c r="D69" s="2270"/>
      <c r="E69" s="2270"/>
      <c r="F69" s="2270"/>
      <c r="G69" s="2270"/>
      <c r="H69" s="2270"/>
      <c r="I69" s="2270"/>
      <c r="J69" s="2270"/>
      <c r="K69" s="2270"/>
      <c r="L69" s="2270"/>
      <c r="M69" s="2270"/>
      <c r="N69" s="2270"/>
      <c r="O69" s="2270"/>
      <c r="P69" s="2270"/>
      <c r="Q69" s="2270"/>
    </row>
    <row r="70" spans="2:17" s="747" customFormat="1">
      <c r="B70" s="2270"/>
      <c r="C70" s="2270"/>
      <c r="D70" s="2270"/>
      <c r="E70" s="2270"/>
      <c r="F70" s="2270"/>
      <c r="G70" s="2270"/>
      <c r="H70" s="2270"/>
      <c r="I70" s="2270"/>
      <c r="J70" s="2270"/>
      <c r="K70" s="2270"/>
      <c r="L70" s="2270"/>
      <c r="M70" s="2270"/>
      <c r="N70" s="2270"/>
      <c r="O70" s="2270"/>
      <c r="P70" s="2270"/>
      <c r="Q70" s="2270"/>
    </row>
    <row r="71" spans="2:17" s="747" customFormat="1">
      <c r="B71" s="2270"/>
      <c r="C71" s="2270"/>
      <c r="D71" s="2270"/>
      <c r="E71" s="2270"/>
      <c r="F71" s="2270"/>
      <c r="G71" s="2270"/>
      <c r="H71" s="2270"/>
      <c r="I71" s="2270"/>
      <c r="J71" s="2270"/>
      <c r="K71" s="2270"/>
      <c r="L71" s="2270"/>
      <c r="M71" s="2270"/>
      <c r="N71" s="2270"/>
      <c r="O71" s="2270"/>
      <c r="P71" s="2270"/>
      <c r="Q71" s="2270"/>
    </row>
    <row r="72" spans="2:17" s="747" customFormat="1">
      <c r="B72" s="2270"/>
      <c r="C72" s="2270"/>
      <c r="D72" s="2270"/>
      <c r="E72" s="2270"/>
      <c r="F72" s="2270"/>
      <c r="G72" s="2270"/>
      <c r="H72" s="2270"/>
      <c r="I72" s="2270"/>
      <c r="J72" s="2270"/>
      <c r="K72" s="2270"/>
      <c r="L72" s="2270"/>
      <c r="M72" s="2270"/>
      <c r="N72" s="2270"/>
      <c r="O72" s="2270"/>
      <c r="P72" s="2270"/>
      <c r="Q72" s="2270"/>
    </row>
    <row r="73" spans="2:17" s="747" customFormat="1">
      <c r="B73" s="2270"/>
      <c r="C73" s="2270"/>
      <c r="D73" s="2270"/>
      <c r="E73" s="2270"/>
      <c r="F73" s="2270"/>
      <c r="G73" s="2270"/>
      <c r="H73" s="2270"/>
      <c r="I73" s="2270"/>
      <c r="J73" s="2270"/>
      <c r="K73" s="2270"/>
      <c r="L73" s="2270"/>
      <c r="M73" s="2270"/>
      <c r="N73" s="2270"/>
      <c r="O73" s="2270"/>
      <c r="P73" s="2270"/>
      <c r="Q73" s="2270"/>
    </row>
    <row r="74" spans="2:17" s="747" customFormat="1">
      <c r="B74" s="2270"/>
      <c r="C74" s="2270"/>
      <c r="D74" s="2270"/>
      <c r="E74" s="2270"/>
      <c r="F74" s="2270"/>
      <c r="G74" s="2270"/>
      <c r="H74" s="2270"/>
      <c r="I74" s="2270"/>
      <c r="J74" s="2270"/>
      <c r="K74" s="2270"/>
      <c r="L74" s="2270"/>
      <c r="M74" s="2270"/>
      <c r="N74" s="2270"/>
      <c r="O74" s="2270"/>
      <c r="P74" s="2270"/>
      <c r="Q74" s="2270"/>
    </row>
    <row r="75" spans="2:17" s="747" customFormat="1">
      <c r="B75" s="2270"/>
      <c r="C75" s="2270"/>
      <c r="D75" s="2270"/>
      <c r="E75" s="2270"/>
      <c r="F75" s="2270"/>
      <c r="G75" s="2270"/>
      <c r="H75" s="2270"/>
      <c r="I75" s="2270"/>
      <c r="J75" s="2270"/>
      <c r="K75" s="2270"/>
      <c r="L75" s="2270"/>
      <c r="M75" s="2270"/>
      <c r="N75" s="2270"/>
      <c r="O75" s="2270"/>
      <c r="P75" s="2270"/>
      <c r="Q75" s="2270"/>
    </row>
    <row r="76" spans="2:17" s="747" customFormat="1">
      <c r="B76" s="2270"/>
      <c r="C76" s="2270"/>
      <c r="D76" s="2270"/>
      <c r="E76" s="2270"/>
      <c r="F76" s="2270"/>
      <c r="G76" s="2270"/>
      <c r="H76" s="2270"/>
      <c r="I76" s="2270"/>
      <c r="J76" s="2270"/>
      <c r="K76" s="2270"/>
      <c r="L76" s="2270"/>
      <c r="M76" s="2270"/>
      <c r="N76" s="2270"/>
      <c r="O76" s="2270"/>
      <c r="P76" s="2270"/>
      <c r="Q76" s="2270"/>
    </row>
    <row r="77" spans="2:17" s="747" customFormat="1">
      <c r="B77" s="2270"/>
      <c r="C77" s="2270"/>
      <c r="D77" s="2270"/>
      <c r="E77" s="2270"/>
      <c r="F77" s="2270"/>
      <c r="G77" s="2270"/>
      <c r="H77" s="2270"/>
      <c r="I77" s="2270"/>
      <c r="J77" s="2270"/>
      <c r="K77" s="2270"/>
      <c r="L77" s="2270"/>
      <c r="M77" s="2270"/>
      <c r="N77" s="2270"/>
      <c r="O77" s="2270"/>
      <c r="P77" s="2270"/>
      <c r="Q77" s="2270"/>
    </row>
    <row r="78" spans="2:17" s="747" customFormat="1">
      <c r="B78" s="2270"/>
      <c r="C78" s="2270"/>
      <c r="D78" s="2270"/>
      <c r="E78" s="2270"/>
      <c r="F78" s="2270"/>
      <c r="G78" s="2270"/>
      <c r="H78" s="2270"/>
      <c r="I78" s="2270"/>
      <c r="J78" s="2270"/>
      <c r="K78" s="2270"/>
      <c r="L78" s="2270"/>
      <c r="M78" s="2270"/>
      <c r="N78" s="2270"/>
      <c r="O78" s="2270"/>
      <c r="P78" s="2270"/>
      <c r="Q78" s="2270"/>
    </row>
    <row r="79" spans="2:17" s="747" customFormat="1">
      <c r="B79" s="2270"/>
      <c r="C79" s="2270"/>
      <c r="D79" s="2270"/>
      <c r="E79" s="2270"/>
      <c r="F79" s="2270"/>
      <c r="G79" s="2270"/>
      <c r="H79" s="2270"/>
      <c r="I79" s="2270"/>
      <c r="J79" s="2270"/>
      <c r="K79" s="2270"/>
      <c r="L79" s="2270"/>
      <c r="M79" s="2270"/>
      <c r="N79" s="2270"/>
      <c r="O79" s="2270"/>
      <c r="P79" s="2270"/>
      <c r="Q79" s="2270"/>
    </row>
    <row r="80" spans="2:17" s="747" customFormat="1">
      <c r="B80" s="2270"/>
      <c r="C80" s="2270"/>
      <c r="D80" s="2270"/>
      <c r="E80" s="2270"/>
      <c r="F80" s="2270"/>
      <c r="G80" s="2270"/>
      <c r="H80" s="2270"/>
      <c r="I80" s="2270"/>
      <c r="J80" s="2270"/>
      <c r="K80" s="2270"/>
      <c r="L80" s="2270"/>
      <c r="M80" s="2270"/>
      <c r="N80" s="2270"/>
      <c r="O80" s="2270"/>
      <c r="P80" s="2270"/>
      <c r="Q80" s="2270"/>
    </row>
    <row r="81" spans="2:17" s="747" customFormat="1">
      <c r="B81" s="2270"/>
      <c r="C81" s="2270"/>
      <c r="D81" s="2270"/>
      <c r="E81" s="2270"/>
      <c r="F81" s="2270"/>
      <c r="G81" s="2270"/>
      <c r="H81" s="2270"/>
      <c r="I81" s="2270"/>
      <c r="J81" s="2270"/>
      <c r="K81" s="2270"/>
      <c r="L81" s="2270"/>
      <c r="M81" s="2270"/>
      <c r="N81" s="2270"/>
      <c r="O81" s="2270"/>
      <c r="P81" s="2270"/>
      <c r="Q81" s="2270"/>
    </row>
    <row r="82" spans="2:17" s="747" customFormat="1">
      <c r="B82" s="2270"/>
      <c r="C82" s="2270"/>
      <c r="D82" s="2270"/>
      <c r="E82" s="2270"/>
      <c r="F82" s="2270"/>
      <c r="G82" s="2270"/>
      <c r="H82" s="2270"/>
      <c r="I82" s="2270"/>
      <c r="J82" s="2270"/>
      <c r="K82" s="2270"/>
      <c r="L82" s="2270"/>
      <c r="M82" s="2270"/>
      <c r="N82" s="2270"/>
      <c r="O82" s="2270"/>
      <c r="P82" s="2270"/>
      <c r="Q82" s="2270"/>
    </row>
    <row r="83" spans="2:17" s="747" customFormat="1">
      <c r="B83" s="2270"/>
      <c r="C83" s="2270"/>
      <c r="D83" s="2270"/>
      <c r="E83" s="2270"/>
      <c r="F83" s="2270"/>
      <c r="G83" s="2270"/>
      <c r="H83" s="2270"/>
      <c r="I83" s="2270"/>
      <c r="J83" s="2270"/>
      <c r="K83" s="2270"/>
      <c r="L83" s="2270"/>
      <c r="M83" s="2270"/>
      <c r="N83" s="2270"/>
      <c r="O83" s="2270"/>
      <c r="P83" s="2270"/>
      <c r="Q83" s="2270"/>
    </row>
    <row r="84" spans="2:17" s="747" customFormat="1">
      <c r="B84" s="2270"/>
      <c r="C84" s="2270"/>
      <c r="D84" s="2270"/>
      <c r="E84" s="2270"/>
      <c r="F84" s="2270"/>
      <c r="G84" s="2270"/>
      <c r="H84" s="2270"/>
      <c r="I84" s="2270"/>
      <c r="J84" s="2270"/>
      <c r="K84" s="2270"/>
      <c r="L84" s="2270"/>
      <c r="M84" s="2270"/>
      <c r="N84" s="2270"/>
      <c r="O84" s="2270"/>
      <c r="P84" s="2270"/>
      <c r="Q84" s="2270"/>
    </row>
    <row r="85" spans="2:17" s="747" customFormat="1">
      <c r="B85" s="2270"/>
      <c r="C85" s="2270"/>
      <c r="D85" s="2270"/>
      <c r="E85" s="2270"/>
      <c r="F85" s="2270"/>
      <c r="G85" s="2270"/>
      <c r="H85" s="2270"/>
      <c r="I85" s="2270"/>
      <c r="J85" s="2270"/>
      <c r="K85" s="2270"/>
      <c r="L85" s="2270"/>
      <c r="M85" s="2270"/>
      <c r="N85" s="2270"/>
      <c r="O85" s="2270"/>
      <c r="P85" s="2270"/>
      <c r="Q85" s="2270"/>
    </row>
    <row r="86" spans="2:17" s="747" customFormat="1">
      <c r="B86" s="2270"/>
      <c r="C86" s="2270"/>
      <c r="D86" s="2270"/>
      <c r="E86" s="2270"/>
      <c r="F86" s="2270"/>
      <c r="G86" s="2270"/>
      <c r="H86" s="2270"/>
      <c r="I86" s="2270"/>
      <c r="J86" s="2270"/>
      <c r="K86" s="2270"/>
      <c r="L86" s="2270"/>
      <c r="M86" s="2270"/>
      <c r="N86" s="2270"/>
      <c r="O86" s="2270"/>
      <c r="P86" s="2270"/>
      <c r="Q86" s="2270"/>
    </row>
    <row r="87" spans="2:17" s="747" customFormat="1">
      <c r="B87" s="2270"/>
      <c r="C87" s="2270"/>
      <c r="D87" s="2270"/>
      <c r="E87" s="2270"/>
      <c r="F87" s="2270"/>
      <c r="G87" s="2270"/>
      <c r="H87" s="2270"/>
      <c r="I87" s="2270"/>
      <c r="J87" s="2270"/>
      <c r="K87" s="2270"/>
      <c r="L87" s="2270"/>
      <c r="M87" s="2270"/>
      <c r="N87" s="2270"/>
      <c r="O87" s="2270"/>
      <c r="P87" s="2270"/>
      <c r="Q87" s="2270"/>
    </row>
    <row r="88" spans="2:17" s="747" customFormat="1">
      <c r="B88" s="2270"/>
      <c r="C88" s="2270"/>
      <c r="D88" s="2270"/>
      <c r="E88" s="2270"/>
      <c r="F88" s="2270"/>
      <c r="G88" s="2270"/>
      <c r="H88" s="2270"/>
      <c r="I88" s="2270"/>
      <c r="J88" s="2270"/>
      <c r="K88" s="2270"/>
      <c r="L88" s="2270"/>
      <c r="M88" s="2270"/>
      <c r="N88" s="2270"/>
      <c r="O88" s="2270"/>
      <c r="P88" s="2270"/>
      <c r="Q88" s="2270"/>
    </row>
    <row r="89" spans="2:17" s="747" customFormat="1">
      <c r="B89" s="2270"/>
      <c r="C89" s="2270"/>
      <c r="D89" s="2270"/>
      <c r="E89" s="2270"/>
      <c r="F89" s="2270"/>
      <c r="G89" s="2270"/>
      <c r="H89" s="2270"/>
      <c r="I89" s="2270"/>
      <c r="J89" s="2270"/>
      <c r="K89" s="2270"/>
      <c r="L89" s="2270"/>
      <c r="M89" s="2270"/>
      <c r="N89" s="2270"/>
      <c r="O89" s="2270"/>
      <c r="P89" s="2270"/>
      <c r="Q89" s="2270"/>
    </row>
    <row r="90" spans="2:17" s="747" customFormat="1">
      <c r="B90" s="2270"/>
      <c r="C90" s="2270"/>
      <c r="D90" s="2270"/>
      <c r="E90" s="2270"/>
      <c r="F90" s="2270"/>
      <c r="G90" s="2270"/>
      <c r="H90" s="2270"/>
      <c r="I90" s="2270"/>
      <c r="J90" s="2270"/>
      <c r="K90" s="2270"/>
      <c r="L90" s="2270"/>
      <c r="M90" s="2270"/>
      <c r="N90" s="2270"/>
      <c r="O90" s="2270"/>
      <c r="P90" s="2270"/>
      <c r="Q90" s="2270"/>
    </row>
    <row r="91" spans="2:17" s="747" customFormat="1">
      <c r="B91" s="2270"/>
      <c r="C91" s="2270"/>
      <c r="D91" s="2270"/>
      <c r="E91" s="2270"/>
      <c r="F91" s="2270"/>
      <c r="G91" s="2270"/>
      <c r="H91" s="2270"/>
      <c r="I91" s="2270"/>
      <c r="J91" s="2270"/>
      <c r="K91" s="2270"/>
      <c r="L91" s="2270"/>
      <c r="M91" s="2270"/>
      <c r="N91" s="2270"/>
      <c r="O91" s="2270"/>
      <c r="P91" s="2270"/>
      <c r="Q91" s="2270"/>
    </row>
    <row r="92" spans="2:17" s="747" customFormat="1">
      <c r="B92" s="2270"/>
      <c r="C92" s="2270"/>
      <c r="D92" s="2270"/>
      <c r="E92" s="2270"/>
      <c r="F92" s="2270"/>
      <c r="G92" s="2270"/>
      <c r="H92" s="2270"/>
      <c r="I92" s="2270"/>
      <c r="J92" s="2270"/>
      <c r="K92" s="2270"/>
      <c r="L92" s="2270"/>
      <c r="M92" s="2270"/>
      <c r="N92" s="2270"/>
      <c r="O92" s="2270"/>
      <c r="P92" s="2270"/>
      <c r="Q92" s="2270"/>
    </row>
    <row r="93" spans="2:17" s="747" customFormat="1">
      <c r="B93" s="2270"/>
      <c r="C93" s="2270"/>
      <c r="D93" s="2270"/>
      <c r="E93" s="2270"/>
      <c r="F93" s="2270"/>
      <c r="G93" s="2270"/>
      <c r="H93" s="2270"/>
      <c r="I93" s="2270"/>
      <c r="J93" s="2270"/>
      <c r="K93" s="2270"/>
      <c r="L93" s="2270"/>
      <c r="M93" s="2270"/>
      <c r="N93" s="2270"/>
      <c r="O93" s="2270"/>
      <c r="P93" s="2270"/>
      <c r="Q93" s="2270"/>
    </row>
    <row r="94" spans="2:17" s="747" customFormat="1">
      <c r="B94" s="2270"/>
      <c r="C94" s="2270"/>
      <c r="D94" s="2270"/>
      <c r="E94" s="2270"/>
      <c r="F94" s="2270"/>
      <c r="G94" s="2270"/>
      <c r="H94" s="2270"/>
      <c r="I94" s="2270"/>
      <c r="J94" s="2270"/>
      <c r="K94" s="2270"/>
      <c r="L94" s="2270"/>
      <c r="M94" s="2270"/>
      <c r="N94" s="2270"/>
      <c r="O94" s="2270"/>
      <c r="P94" s="2270"/>
      <c r="Q94" s="2270"/>
    </row>
    <row r="95" spans="2:17" s="747" customFormat="1">
      <c r="B95" s="2270"/>
      <c r="C95" s="2270"/>
      <c r="D95" s="2270"/>
      <c r="E95" s="2270"/>
      <c r="F95" s="2270"/>
      <c r="G95" s="2270"/>
      <c r="H95" s="2270"/>
      <c r="I95" s="2270"/>
      <c r="J95" s="2270"/>
      <c r="K95" s="2270"/>
      <c r="L95" s="2270"/>
      <c r="M95" s="2270"/>
      <c r="N95" s="2270"/>
      <c r="O95" s="2270"/>
      <c r="P95" s="2270"/>
      <c r="Q95" s="2270"/>
    </row>
    <row r="96" spans="2:17" s="747" customFormat="1">
      <c r="B96" s="2270"/>
      <c r="C96" s="2270"/>
      <c r="D96" s="2270"/>
      <c r="E96" s="2270"/>
      <c r="F96" s="2270"/>
      <c r="G96" s="2270"/>
      <c r="H96" s="2270"/>
      <c r="I96" s="2270"/>
      <c r="J96" s="2270"/>
      <c r="K96" s="2270"/>
      <c r="L96" s="2270"/>
      <c r="M96" s="2270"/>
      <c r="N96" s="2270"/>
      <c r="O96" s="2270"/>
      <c r="P96" s="2270"/>
      <c r="Q96" s="2270"/>
    </row>
    <row r="97" spans="2:17" s="747" customFormat="1">
      <c r="B97" s="2270"/>
      <c r="C97" s="2270"/>
      <c r="D97" s="2270"/>
      <c r="E97" s="2270"/>
      <c r="F97" s="2270"/>
      <c r="G97" s="2270"/>
      <c r="H97" s="2270"/>
      <c r="I97" s="2270"/>
      <c r="J97" s="2270"/>
      <c r="K97" s="2270"/>
      <c r="L97" s="2270"/>
      <c r="M97" s="2270"/>
      <c r="N97" s="2270"/>
      <c r="O97" s="2270"/>
      <c r="P97" s="2270"/>
      <c r="Q97" s="2270"/>
    </row>
    <row r="98" spans="2:17" s="747" customFormat="1">
      <c r="B98" s="2270"/>
      <c r="C98" s="2270"/>
      <c r="D98" s="2270"/>
      <c r="E98" s="2270"/>
      <c r="F98" s="2270"/>
      <c r="G98" s="2270"/>
      <c r="H98" s="2270"/>
      <c r="I98" s="2270"/>
      <c r="J98" s="2270"/>
      <c r="K98" s="2270"/>
      <c r="L98" s="2270"/>
      <c r="M98" s="2270"/>
      <c r="N98" s="2270"/>
      <c r="O98" s="2270"/>
      <c r="P98" s="2270"/>
      <c r="Q98" s="2270"/>
    </row>
    <row r="99" spans="2:17" s="747" customFormat="1">
      <c r="B99" s="2270"/>
      <c r="C99" s="2270"/>
      <c r="D99" s="2270"/>
      <c r="E99" s="2270"/>
      <c r="F99" s="2270"/>
      <c r="G99" s="2270"/>
      <c r="H99" s="2270"/>
      <c r="I99" s="2270"/>
      <c r="J99" s="2270"/>
      <c r="K99" s="2270"/>
      <c r="L99" s="2270"/>
      <c r="M99" s="2270"/>
      <c r="N99" s="2270"/>
      <c r="O99" s="2270"/>
      <c r="P99" s="2270"/>
      <c r="Q99" s="2270"/>
    </row>
    <row r="100" spans="2:17" s="747" customFormat="1">
      <c r="B100" s="2270"/>
      <c r="C100" s="2270"/>
      <c r="D100" s="2270"/>
      <c r="E100" s="2270"/>
      <c r="F100" s="2270"/>
      <c r="G100" s="2270"/>
      <c r="H100" s="2270"/>
      <c r="I100" s="2270"/>
      <c r="J100" s="2270"/>
      <c r="K100" s="2270"/>
      <c r="L100" s="2270"/>
      <c r="M100" s="2270"/>
      <c r="N100" s="2270"/>
      <c r="O100" s="2270"/>
      <c r="P100" s="2270"/>
      <c r="Q100" s="2270"/>
    </row>
    <row r="101" spans="2:17" s="747" customFormat="1">
      <c r="B101" s="2270"/>
      <c r="C101" s="2270"/>
      <c r="D101" s="2270"/>
      <c r="E101" s="2270"/>
      <c r="F101" s="2270"/>
      <c r="G101" s="2270"/>
      <c r="H101" s="2270"/>
      <c r="I101" s="2270"/>
      <c r="J101" s="2270"/>
      <c r="K101" s="2270"/>
      <c r="L101" s="2270"/>
      <c r="M101" s="2270"/>
      <c r="N101" s="2270"/>
      <c r="O101" s="2270"/>
      <c r="P101" s="2270"/>
      <c r="Q101" s="2270"/>
    </row>
    <row r="102" spans="2:17" s="747" customFormat="1">
      <c r="B102" s="2270"/>
      <c r="C102" s="2270"/>
      <c r="D102" s="2270"/>
      <c r="E102" s="2270"/>
      <c r="F102" s="2270"/>
      <c r="G102" s="2270"/>
      <c r="H102" s="2270"/>
      <c r="I102" s="2270"/>
      <c r="J102" s="2270"/>
      <c r="K102" s="2270"/>
      <c r="L102" s="2270"/>
      <c r="M102" s="2270"/>
      <c r="N102" s="2270"/>
      <c r="O102" s="2270"/>
      <c r="P102" s="2270"/>
      <c r="Q102" s="2270"/>
    </row>
    <row r="103" spans="2:17" s="747" customFormat="1">
      <c r="B103" s="2270"/>
      <c r="C103" s="2270"/>
      <c r="D103" s="2270"/>
      <c r="E103" s="2270"/>
      <c r="F103" s="2270"/>
      <c r="G103" s="2270"/>
      <c r="H103" s="2270"/>
      <c r="I103" s="2270"/>
      <c r="J103" s="2270"/>
      <c r="K103" s="2270"/>
      <c r="L103" s="2270"/>
      <c r="M103" s="2270"/>
      <c r="N103" s="2270"/>
      <c r="O103" s="2270"/>
      <c r="P103" s="2270"/>
      <c r="Q103" s="2270"/>
    </row>
    <row r="104" spans="2:17" s="747" customFormat="1">
      <c r="B104" s="2270"/>
      <c r="C104" s="2270"/>
      <c r="D104" s="2270"/>
      <c r="E104" s="2270"/>
      <c r="F104" s="2270"/>
      <c r="G104" s="2270"/>
      <c r="H104" s="2270"/>
      <c r="I104" s="2270"/>
      <c r="J104" s="2270"/>
      <c r="K104" s="2270"/>
      <c r="L104" s="2270"/>
      <c r="M104" s="2270"/>
      <c r="N104" s="2270"/>
      <c r="O104" s="2270"/>
      <c r="P104" s="2270"/>
      <c r="Q104" s="2270"/>
    </row>
    <row r="105" spans="2:17" s="747" customFormat="1">
      <c r="B105" s="2270"/>
      <c r="C105" s="2270"/>
      <c r="D105" s="2270"/>
      <c r="E105" s="2270"/>
      <c r="F105" s="2270"/>
      <c r="G105" s="2270"/>
      <c r="H105" s="2270"/>
      <c r="I105" s="2270"/>
      <c r="J105" s="2270"/>
      <c r="K105" s="2270"/>
      <c r="L105" s="2270"/>
      <c r="M105" s="2270"/>
      <c r="N105" s="2270"/>
      <c r="O105" s="2270"/>
      <c r="P105" s="2270"/>
      <c r="Q105" s="2270"/>
    </row>
    <row r="106" spans="2:17" s="747" customFormat="1">
      <c r="B106" s="2270"/>
      <c r="C106" s="2270"/>
      <c r="D106" s="2270"/>
      <c r="E106" s="2270"/>
      <c r="F106" s="2270"/>
      <c r="G106" s="2270"/>
      <c r="H106" s="2270"/>
      <c r="I106" s="2270"/>
      <c r="J106" s="2270"/>
      <c r="K106" s="2270"/>
      <c r="L106" s="2270"/>
      <c r="M106" s="2270"/>
      <c r="N106" s="2270"/>
      <c r="O106" s="2270"/>
      <c r="P106" s="2270"/>
      <c r="Q106" s="2270"/>
    </row>
    <row r="107" spans="2:17" s="747" customFormat="1">
      <c r="B107" s="2270"/>
      <c r="C107" s="2270"/>
      <c r="D107" s="2270"/>
      <c r="E107" s="2270"/>
      <c r="F107" s="2270"/>
      <c r="G107" s="2270"/>
      <c r="H107" s="2270"/>
      <c r="I107" s="2270"/>
      <c r="J107" s="2270"/>
      <c r="K107" s="2270"/>
      <c r="L107" s="2270"/>
      <c r="M107" s="2270"/>
      <c r="N107" s="2270"/>
      <c r="O107" s="2270"/>
      <c r="P107" s="2270"/>
      <c r="Q107" s="2270"/>
    </row>
    <row r="108" spans="2:17" s="747" customFormat="1">
      <c r="B108" s="2270"/>
      <c r="C108" s="2270"/>
      <c r="D108" s="2270"/>
      <c r="E108" s="2270"/>
      <c r="F108" s="2270"/>
      <c r="G108" s="2270"/>
      <c r="H108" s="2270"/>
      <c r="I108" s="2270"/>
      <c r="J108" s="2270"/>
      <c r="K108" s="2270"/>
      <c r="L108" s="2270"/>
      <c r="M108" s="2270"/>
      <c r="N108" s="2270"/>
      <c r="O108" s="2270"/>
      <c r="P108" s="2270"/>
      <c r="Q108" s="2270"/>
    </row>
    <row r="109" spans="2:17" s="747" customFormat="1">
      <c r="B109" s="2270"/>
      <c r="C109" s="2270"/>
      <c r="D109" s="2270"/>
      <c r="E109" s="2270"/>
      <c r="F109" s="2270"/>
      <c r="G109" s="2270"/>
      <c r="H109" s="2270"/>
      <c r="I109" s="2270"/>
      <c r="J109" s="2270"/>
      <c r="K109" s="2270"/>
      <c r="L109" s="2270"/>
      <c r="M109" s="2270"/>
      <c r="N109" s="2270"/>
      <c r="O109" s="2270"/>
      <c r="P109" s="2270"/>
      <c r="Q109" s="2270"/>
    </row>
    <row r="110" spans="2:17" s="747" customFormat="1">
      <c r="B110" s="2270"/>
      <c r="C110" s="2270"/>
      <c r="D110" s="2270"/>
      <c r="E110" s="2270"/>
      <c r="F110" s="2270"/>
      <c r="G110" s="2270"/>
      <c r="H110" s="2270"/>
      <c r="I110" s="2270"/>
      <c r="J110" s="2270"/>
      <c r="K110" s="2270"/>
      <c r="L110" s="2270"/>
      <c r="M110" s="2270"/>
      <c r="N110" s="2270"/>
      <c r="O110" s="2270"/>
      <c r="P110" s="2270"/>
      <c r="Q110" s="2270"/>
    </row>
    <row r="111" spans="2:17" s="747" customFormat="1">
      <c r="B111" s="2270"/>
      <c r="C111" s="2270"/>
      <c r="D111" s="2270"/>
      <c r="E111" s="2270"/>
      <c r="F111" s="2270"/>
      <c r="G111" s="2270"/>
      <c r="H111" s="2270"/>
      <c r="I111" s="2270"/>
      <c r="J111" s="2270"/>
      <c r="K111" s="2270"/>
      <c r="L111" s="2270"/>
      <c r="M111" s="2270"/>
      <c r="N111" s="2270"/>
      <c r="O111" s="2270"/>
      <c r="P111" s="2270"/>
      <c r="Q111" s="2270"/>
    </row>
    <row r="112" spans="2:17" s="747" customFormat="1">
      <c r="B112" s="2270"/>
      <c r="C112" s="2270"/>
      <c r="D112" s="2270"/>
      <c r="E112" s="2270"/>
      <c r="F112" s="2270"/>
      <c r="G112" s="2270"/>
      <c r="H112" s="2270"/>
      <c r="I112" s="2270"/>
      <c r="J112" s="2270"/>
      <c r="K112" s="2270"/>
      <c r="L112" s="2270"/>
      <c r="M112" s="2270"/>
      <c r="N112" s="2270"/>
      <c r="O112" s="2270"/>
      <c r="P112" s="2270"/>
      <c r="Q112" s="2270"/>
    </row>
    <row r="113" spans="2:17" s="747" customFormat="1">
      <c r="B113" s="2270"/>
      <c r="C113" s="2270"/>
      <c r="D113" s="2270"/>
      <c r="E113" s="2270"/>
      <c r="F113" s="2270"/>
      <c r="G113" s="2270"/>
      <c r="H113" s="2270"/>
      <c r="I113" s="2270"/>
      <c r="J113" s="2270"/>
      <c r="K113" s="2270"/>
      <c r="L113" s="2270"/>
      <c r="M113" s="2270"/>
      <c r="N113" s="2270"/>
      <c r="O113" s="2270"/>
      <c r="P113" s="2270"/>
      <c r="Q113" s="2270"/>
    </row>
    <row r="114" spans="2:17" s="747" customFormat="1">
      <c r="B114" s="2270"/>
      <c r="C114" s="2270"/>
      <c r="D114" s="2270"/>
      <c r="E114" s="2270"/>
      <c r="F114" s="2270"/>
      <c r="G114" s="2270"/>
      <c r="H114" s="2270"/>
      <c r="I114" s="2270"/>
      <c r="J114" s="2270"/>
      <c r="K114" s="2270"/>
      <c r="L114" s="2270"/>
      <c r="M114" s="2270"/>
      <c r="N114" s="2270"/>
      <c r="O114" s="2270"/>
      <c r="P114" s="2270"/>
      <c r="Q114" s="2270"/>
    </row>
    <row r="115" spans="2:17" s="747" customFormat="1">
      <c r="B115" s="2270"/>
      <c r="C115" s="2270"/>
      <c r="D115" s="2270"/>
      <c r="E115" s="2270"/>
      <c r="F115" s="2270"/>
      <c r="G115" s="2270"/>
      <c r="H115" s="2270"/>
      <c r="I115" s="2270"/>
      <c r="J115" s="2270"/>
      <c r="K115" s="2270"/>
      <c r="L115" s="2270"/>
      <c r="M115" s="2270"/>
      <c r="N115" s="2270"/>
      <c r="O115" s="2270"/>
      <c r="P115" s="2270"/>
      <c r="Q115" s="2270"/>
    </row>
    <row r="116" spans="2:17" s="747" customFormat="1">
      <c r="B116" s="2270"/>
      <c r="C116" s="2270"/>
      <c r="D116" s="2270"/>
      <c r="E116" s="2270"/>
      <c r="F116" s="2270"/>
      <c r="G116" s="2270"/>
      <c r="H116" s="2270"/>
      <c r="I116" s="2270"/>
      <c r="J116" s="2270"/>
      <c r="K116" s="2270"/>
      <c r="L116" s="2270"/>
      <c r="M116" s="2270"/>
      <c r="N116" s="2270"/>
      <c r="O116" s="2270"/>
      <c r="P116" s="2270"/>
      <c r="Q116" s="2270"/>
    </row>
    <row r="117" spans="2:17" s="747" customFormat="1">
      <c r="B117" s="2270"/>
      <c r="C117" s="2270"/>
      <c r="D117" s="2270"/>
      <c r="E117" s="2270"/>
      <c r="F117" s="2270"/>
      <c r="G117" s="2270"/>
      <c r="H117" s="2270"/>
      <c r="I117" s="2270"/>
      <c r="J117" s="2270"/>
      <c r="K117" s="2270"/>
      <c r="L117" s="2270"/>
      <c r="M117" s="2270"/>
      <c r="N117" s="2270"/>
      <c r="O117" s="2270"/>
      <c r="P117" s="2270"/>
      <c r="Q117" s="2270"/>
    </row>
    <row r="118" spans="2:17" s="747" customFormat="1">
      <c r="B118" s="2270"/>
      <c r="C118" s="2270"/>
      <c r="D118" s="2270"/>
      <c r="E118" s="2270"/>
      <c r="F118" s="2270"/>
      <c r="G118" s="2270"/>
      <c r="H118" s="2270"/>
      <c r="I118" s="2270"/>
      <c r="J118" s="2270"/>
      <c r="K118" s="2270"/>
      <c r="L118" s="2270"/>
      <c r="M118" s="2270"/>
      <c r="N118" s="2270"/>
      <c r="O118" s="2270"/>
      <c r="P118" s="2270"/>
      <c r="Q118" s="2270"/>
    </row>
    <row r="119" spans="2:17" s="747" customFormat="1">
      <c r="B119" s="2270"/>
      <c r="C119" s="2270"/>
      <c r="D119" s="2270"/>
      <c r="E119" s="2270"/>
      <c r="F119" s="2270"/>
      <c r="G119" s="2270"/>
      <c r="H119" s="2270"/>
      <c r="I119" s="2270"/>
      <c r="J119" s="2270"/>
      <c r="K119" s="2270"/>
      <c r="L119" s="2270"/>
      <c r="M119" s="2270"/>
      <c r="N119" s="2270"/>
      <c r="O119" s="2270"/>
      <c r="P119" s="2270"/>
      <c r="Q119" s="2270"/>
    </row>
    <row r="120" spans="2:17" s="747" customFormat="1">
      <c r="B120" s="2270"/>
      <c r="C120" s="2270"/>
      <c r="D120" s="2270"/>
      <c r="E120" s="2270"/>
      <c r="F120" s="2270"/>
      <c r="G120" s="2270"/>
      <c r="H120" s="2270"/>
      <c r="I120" s="2270"/>
      <c r="J120" s="2270"/>
      <c r="K120" s="2270"/>
      <c r="L120" s="2270"/>
      <c r="M120" s="2270"/>
      <c r="N120" s="2270"/>
      <c r="O120" s="2270"/>
      <c r="P120" s="2270"/>
      <c r="Q120" s="2270"/>
    </row>
    <row r="121" spans="2:17" s="747" customFormat="1">
      <c r="B121" s="2270"/>
      <c r="C121" s="2270"/>
      <c r="D121" s="2270"/>
      <c r="E121" s="2270"/>
      <c r="F121" s="2270"/>
      <c r="G121" s="2270"/>
      <c r="H121" s="2270"/>
      <c r="I121" s="2270"/>
      <c r="J121" s="2270"/>
      <c r="K121" s="2270"/>
      <c r="L121" s="2270"/>
      <c r="M121" s="2270"/>
      <c r="N121" s="2270"/>
      <c r="O121" s="2270"/>
      <c r="P121" s="2270"/>
      <c r="Q121" s="2270"/>
    </row>
    <row r="122" spans="2:17" s="747" customFormat="1">
      <c r="B122" s="2270"/>
      <c r="C122" s="2270"/>
      <c r="D122" s="2270"/>
      <c r="E122" s="2270"/>
      <c r="F122" s="2270"/>
      <c r="G122" s="2270"/>
      <c r="H122" s="2270"/>
      <c r="I122" s="2270"/>
      <c r="J122" s="2270"/>
      <c r="K122" s="2270"/>
      <c r="L122" s="2270"/>
      <c r="M122" s="2270"/>
      <c r="N122" s="2270"/>
      <c r="O122" s="2270"/>
      <c r="P122" s="2270"/>
      <c r="Q122" s="2270"/>
    </row>
    <row r="123" spans="2:17" s="747" customFormat="1">
      <c r="B123" s="2270"/>
      <c r="C123" s="2270"/>
      <c r="D123" s="2270"/>
      <c r="E123" s="2270"/>
      <c r="F123" s="2270"/>
      <c r="G123" s="2270"/>
      <c r="H123" s="2270"/>
      <c r="I123" s="2270"/>
      <c r="J123" s="2270"/>
      <c r="K123" s="2270"/>
      <c r="L123" s="2270"/>
      <c r="M123" s="2270"/>
      <c r="N123" s="2270"/>
      <c r="O123" s="2270"/>
      <c r="P123" s="2270"/>
      <c r="Q123" s="2270"/>
    </row>
    <row r="124" spans="2:17" s="747" customFormat="1">
      <c r="B124" s="2270"/>
      <c r="C124" s="2270"/>
      <c r="D124" s="2270"/>
      <c r="E124" s="2270"/>
      <c r="F124" s="2270"/>
      <c r="G124" s="2270"/>
      <c r="H124" s="2270"/>
      <c r="I124" s="2270"/>
      <c r="J124" s="2270"/>
      <c r="K124" s="2270"/>
      <c r="L124" s="2270"/>
      <c r="M124" s="2270"/>
      <c r="N124" s="2270"/>
      <c r="O124" s="2270"/>
      <c r="P124" s="2270"/>
      <c r="Q124" s="2270"/>
    </row>
    <row r="125" spans="2:17" s="747" customFormat="1">
      <c r="B125" s="2270"/>
      <c r="C125" s="2270"/>
      <c r="D125" s="2270"/>
      <c r="E125" s="2270"/>
      <c r="F125" s="2270"/>
      <c r="G125" s="2270"/>
      <c r="H125" s="2270"/>
      <c r="I125" s="2270"/>
      <c r="J125" s="2270"/>
      <c r="K125" s="2270"/>
      <c r="L125" s="2270"/>
      <c r="M125" s="2270"/>
      <c r="N125" s="2270"/>
      <c r="O125" s="2270"/>
      <c r="P125" s="2270"/>
      <c r="Q125" s="2270"/>
    </row>
    <row r="126" spans="2:17" s="747" customFormat="1">
      <c r="B126" s="2270"/>
      <c r="C126" s="2270"/>
      <c r="D126" s="2270"/>
      <c r="E126" s="2270"/>
      <c r="F126" s="2270"/>
      <c r="G126" s="2270"/>
      <c r="H126" s="2270"/>
      <c r="I126" s="2270"/>
      <c r="J126" s="2270"/>
      <c r="K126" s="2270"/>
      <c r="L126" s="2270"/>
      <c r="M126" s="2270"/>
      <c r="N126" s="2270"/>
      <c r="O126" s="2270"/>
      <c r="P126" s="2270"/>
      <c r="Q126" s="2270"/>
    </row>
    <row r="127" spans="2:17" s="747" customFormat="1">
      <c r="B127" s="2270"/>
      <c r="C127" s="2270"/>
      <c r="D127" s="2270"/>
      <c r="E127" s="2270"/>
      <c r="F127" s="2270"/>
      <c r="G127" s="2270"/>
      <c r="H127" s="2270"/>
      <c r="I127" s="2270"/>
      <c r="J127" s="2270"/>
      <c r="K127" s="2270"/>
      <c r="L127" s="2270"/>
      <c r="M127" s="2270"/>
      <c r="N127" s="2270"/>
      <c r="O127" s="2270"/>
      <c r="P127" s="2270"/>
      <c r="Q127" s="2270"/>
    </row>
    <row r="128" spans="2:17" s="747" customFormat="1">
      <c r="B128" s="2270"/>
      <c r="C128" s="2270"/>
      <c r="D128" s="2270"/>
      <c r="E128" s="2270"/>
      <c r="F128" s="2270"/>
      <c r="G128" s="2270"/>
      <c r="H128" s="2270"/>
      <c r="I128" s="2270"/>
      <c r="J128" s="2270"/>
      <c r="K128" s="2270"/>
      <c r="L128" s="2270"/>
      <c r="M128" s="2270"/>
      <c r="N128" s="2270"/>
      <c r="O128" s="2270"/>
      <c r="P128" s="2270"/>
      <c r="Q128" s="2270"/>
    </row>
    <row r="129" spans="2:17" s="747" customFormat="1">
      <c r="B129" s="2270"/>
      <c r="C129" s="2270"/>
      <c r="D129" s="2270"/>
      <c r="E129" s="2270"/>
      <c r="F129" s="2270"/>
      <c r="G129" s="2270"/>
      <c r="H129" s="2270"/>
      <c r="I129" s="2270"/>
      <c r="J129" s="2270"/>
      <c r="K129" s="2270"/>
      <c r="L129" s="2270"/>
      <c r="M129" s="2270"/>
      <c r="N129" s="2270"/>
      <c r="O129" s="2270"/>
      <c r="P129" s="2270"/>
      <c r="Q129" s="2270"/>
    </row>
    <row r="130" spans="2:17" s="747" customFormat="1">
      <c r="B130" s="2270"/>
      <c r="C130" s="2270"/>
      <c r="D130" s="2270"/>
      <c r="E130" s="2270"/>
      <c r="F130" s="2270"/>
      <c r="G130" s="2270"/>
      <c r="H130" s="2270"/>
      <c r="I130" s="2270"/>
      <c r="J130" s="2270"/>
      <c r="K130" s="2270"/>
      <c r="L130" s="2270"/>
      <c r="M130" s="2270"/>
      <c r="N130" s="2270"/>
      <c r="O130" s="2270"/>
      <c r="P130" s="2270"/>
      <c r="Q130" s="2270"/>
    </row>
    <row r="131" spans="2:17" s="747" customFormat="1">
      <c r="B131" s="2270"/>
      <c r="C131" s="2270"/>
      <c r="D131" s="2270"/>
      <c r="E131" s="2270"/>
      <c r="F131" s="2270"/>
      <c r="G131" s="2270"/>
      <c r="H131" s="2270"/>
      <c r="I131" s="2270"/>
      <c r="J131" s="2270"/>
      <c r="K131" s="2270"/>
      <c r="L131" s="2270"/>
      <c r="M131" s="2270"/>
      <c r="N131" s="2270"/>
      <c r="O131" s="2270"/>
      <c r="P131" s="2270"/>
      <c r="Q131" s="2270"/>
    </row>
    <row r="132" spans="2:17" s="747" customFormat="1">
      <c r="B132" s="2270"/>
      <c r="C132" s="2270"/>
      <c r="D132" s="2270"/>
      <c r="E132" s="2270"/>
      <c r="F132" s="2270"/>
      <c r="G132" s="2270"/>
      <c r="H132" s="2270"/>
      <c r="I132" s="2270"/>
      <c r="J132" s="2270"/>
      <c r="K132" s="2270"/>
      <c r="L132" s="2270"/>
      <c r="M132" s="2270"/>
      <c r="N132" s="2270"/>
      <c r="O132" s="2270"/>
      <c r="P132" s="2270"/>
      <c r="Q132" s="2270"/>
    </row>
    <row r="133" spans="2:17" s="747" customFormat="1">
      <c r="B133" s="2270"/>
      <c r="C133" s="2270"/>
      <c r="D133" s="2270"/>
      <c r="E133" s="2270"/>
      <c r="F133" s="2270"/>
      <c r="G133" s="2270"/>
      <c r="H133" s="2270"/>
      <c r="I133" s="2270"/>
      <c r="J133" s="2270"/>
      <c r="K133" s="2270"/>
      <c r="L133" s="2270"/>
      <c r="M133" s="2270"/>
      <c r="N133" s="2270"/>
      <c r="O133" s="2270"/>
      <c r="P133" s="2270"/>
      <c r="Q133" s="2270"/>
    </row>
    <row r="134" spans="2:17" s="747" customFormat="1">
      <c r="B134" s="2270"/>
      <c r="C134" s="2270"/>
      <c r="D134" s="2270"/>
      <c r="E134" s="2270"/>
      <c r="F134" s="2270"/>
      <c r="G134" s="2270"/>
      <c r="H134" s="2270"/>
      <c r="I134" s="2270"/>
      <c r="J134" s="2270"/>
      <c r="K134" s="2270"/>
      <c r="L134" s="2270"/>
      <c r="M134" s="2270"/>
      <c r="N134" s="2270"/>
      <c r="O134" s="2270"/>
      <c r="P134" s="2270"/>
      <c r="Q134" s="2270"/>
    </row>
    <row r="135" spans="2:17" s="747" customFormat="1">
      <c r="B135" s="2270"/>
      <c r="C135" s="2270"/>
      <c r="D135" s="2270"/>
      <c r="E135" s="2270"/>
      <c r="F135" s="2270"/>
      <c r="G135" s="2270"/>
      <c r="H135" s="2270"/>
      <c r="I135" s="2270"/>
      <c r="J135" s="2270"/>
      <c r="K135" s="2270"/>
      <c r="L135" s="2270"/>
      <c r="M135" s="2270"/>
      <c r="N135" s="2270"/>
      <c r="O135" s="2270"/>
      <c r="P135" s="2270"/>
      <c r="Q135" s="2270"/>
    </row>
    <row r="136" spans="2:17" s="747" customFormat="1">
      <c r="B136" s="2270"/>
      <c r="C136" s="2270"/>
      <c r="D136" s="2270"/>
      <c r="E136" s="2270"/>
      <c r="F136" s="2270"/>
      <c r="G136" s="2270"/>
      <c r="H136" s="2270"/>
      <c r="I136" s="2270"/>
      <c r="J136" s="2270"/>
      <c r="K136" s="2270"/>
      <c r="L136" s="2270"/>
      <c r="M136" s="2270"/>
      <c r="N136" s="2270"/>
      <c r="O136" s="2270"/>
      <c r="P136" s="2270"/>
      <c r="Q136" s="2270"/>
    </row>
    <row r="137" spans="2:17" s="747" customFormat="1">
      <c r="B137" s="2270"/>
      <c r="C137" s="2270"/>
      <c r="D137" s="2270"/>
      <c r="E137" s="2270"/>
      <c r="F137" s="2270"/>
      <c r="G137" s="2270"/>
      <c r="H137" s="2270"/>
      <c r="I137" s="2270"/>
      <c r="J137" s="2270"/>
      <c r="K137" s="2270"/>
      <c r="L137" s="2270"/>
      <c r="M137" s="2270"/>
      <c r="N137" s="2270"/>
      <c r="O137" s="2270"/>
      <c r="P137" s="2270"/>
      <c r="Q137" s="2270"/>
    </row>
    <row r="138" spans="2:17" s="747" customFormat="1">
      <c r="B138" s="2270"/>
      <c r="C138" s="2270"/>
      <c r="D138" s="2270"/>
      <c r="E138" s="2270"/>
      <c r="F138" s="2270"/>
      <c r="G138" s="2270"/>
      <c r="H138" s="2270"/>
      <c r="I138" s="2270"/>
      <c r="J138" s="2270"/>
      <c r="K138" s="2270"/>
      <c r="L138" s="2270"/>
      <c r="M138" s="2270"/>
      <c r="N138" s="2270"/>
      <c r="O138" s="2270"/>
      <c r="P138" s="2270"/>
      <c r="Q138" s="2270"/>
    </row>
    <row r="139" spans="2:17" s="747" customFormat="1">
      <c r="B139" s="2270"/>
      <c r="C139" s="2270"/>
      <c r="D139" s="2270"/>
      <c r="E139" s="2270"/>
      <c r="F139" s="2270"/>
      <c r="G139" s="2270"/>
      <c r="H139" s="2270"/>
      <c r="I139" s="2270"/>
      <c r="J139" s="2270"/>
      <c r="K139" s="2270"/>
      <c r="L139" s="2270"/>
      <c r="M139" s="2270"/>
      <c r="N139" s="2270"/>
      <c r="O139" s="2270"/>
      <c r="P139" s="2270"/>
      <c r="Q139" s="2270"/>
    </row>
    <row r="140" spans="2:17" s="747" customFormat="1">
      <c r="B140" s="2270"/>
      <c r="C140" s="2270"/>
      <c r="D140" s="2270"/>
      <c r="E140" s="2270"/>
      <c r="F140" s="2270"/>
      <c r="G140" s="2270"/>
      <c r="H140" s="2270"/>
      <c r="I140" s="2270"/>
      <c r="J140" s="2270"/>
      <c r="K140" s="2270"/>
      <c r="L140" s="2270"/>
      <c r="M140" s="2270"/>
      <c r="N140" s="2270"/>
      <c r="O140" s="2270"/>
      <c r="P140" s="2270"/>
      <c r="Q140" s="2270"/>
    </row>
    <row r="141" spans="2:17" s="747" customFormat="1">
      <c r="B141" s="2270"/>
      <c r="C141" s="2270"/>
      <c r="D141" s="2270"/>
      <c r="E141" s="2270"/>
      <c r="F141" s="2270"/>
      <c r="G141" s="2270"/>
      <c r="H141" s="2270"/>
      <c r="I141" s="2270"/>
      <c r="J141" s="2270"/>
      <c r="K141" s="2270"/>
      <c r="L141" s="2270"/>
      <c r="M141" s="2270"/>
      <c r="N141" s="2270"/>
      <c r="O141" s="2270"/>
      <c r="P141" s="2270"/>
      <c r="Q141" s="2270"/>
    </row>
    <row r="142" spans="2:17" s="747" customFormat="1">
      <c r="B142" s="2270"/>
      <c r="C142" s="2270"/>
      <c r="D142" s="2270"/>
      <c r="E142" s="2270"/>
      <c r="F142" s="2270"/>
      <c r="G142" s="2270"/>
      <c r="H142" s="2270"/>
      <c r="I142" s="2270"/>
      <c r="J142" s="2270"/>
      <c r="K142" s="2270"/>
      <c r="L142" s="2270"/>
      <c r="M142" s="2270"/>
      <c r="N142" s="2270"/>
      <c r="O142" s="2270"/>
      <c r="P142" s="2270"/>
      <c r="Q142" s="2270"/>
    </row>
    <row r="143" spans="2:17" s="747" customFormat="1">
      <c r="B143" s="2270"/>
      <c r="C143" s="2270"/>
      <c r="D143" s="2270"/>
      <c r="E143" s="2270"/>
      <c r="F143" s="2270"/>
      <c r="G143" s="2270"/>
      <c r="H143" s="2270"/>
      <c r="I143" s="2270"/>
      <c r="J143" s="2270"/>
      <c r="K143" s="2270"/>
      <c r="L143" s="2270"/>
      <c r="M143" s="2270"/>
      <c r="N143" s="2270"/>
      <c r="O143" s="2270"/>
      <c r="P143" s="2270"/>
      <c r="Q143" s="2270"/>
    </row>
    <row r="144" spans="2:17" s="747" customFormat="1">
      <c r="B144" s="2270"/>
      <c r="C144" s="2270"/>
      <c r="D144" s="2270"/>
      <c r="E144" s="2270"/>
      <c r="F144" s="2270"/>
      <c r="G144" s="2270"/>
      <c r="H144" s="2270"/>
      <c r="I144" s="2270"/>
      <c r="J144" s="2270"/>
      <c r="K144" s="2270"/>
      <c r="L144" s="2270"/>
      <c r="M144" s="2270"/>
      <c r="N144" s="2270"/>
      <c r="O144" s="2270"/>
      <c r="P144" s="2270"/>
      <c r="Q144" s="2270"/>
    </row>
    <row r="145" spans="2:17" s="747" customFormat="1">
      <c r="B145" s="2270"/>
      <c r="C145" s="2270"/>
      <c r="D145" s="2270"/>
      <c r="E145" s="2270"/>
      <c r="F145" s="2270"/>
      <c r="G145" s="2270"/>
      <c r="H145" s="2270"/>
      <c r="I145" s="2270"/>
      <c r="J145" s="2270"/>
      <c r="K145" s="2270"/>
      <c r="L145" s="2270"/>
      <c r="M145" s="2270"/>
      <c r="N145" s="2270"/>
      <c r="O145" s="2270"/>
      <c r="P145" s="2270"/>
      <c r="Q145" s="2270"/>
    </row>
    <row r="146" spans="2:17" s="747" customFormat="1">
      <c r="B146" s="2270"/>
      <c r="C146" s="2270"/>
      <c r="D146" s="2270"/>
      <c r="E146" s="2270"/>
      <c r="F146" s="2270"/>
      <c r="G146" s="2270"/>
      <c r="H146" s="2270"/>
      <c r="I146" s="2270"/>
      <c r="J146" s="2270"/>
      <c r="K146" s="2270"/>
      <c r="L146" s="2270"/>
      <c r="M146" s="2270"/>
      <c r="N146" s="2270"/>
      <c r="O146" s="2270"/>
      <c r="P146" s="2270"/>
      <c r="Q146" s="2270"/>
    </row>
    <row r="147" spans="2:17" s="747" customFormat="1">
      <c r="B147" s="2270"/>
      <c r="C147" s="2270"/>
      <c r="D147" s="2270"/>
      <c r="E147" s="2270"/>
      <c r="F147" s="2270"/>
      <c r="G147" s="2270"/>
      <c r="H147" s="2270"/>
      <c r="I147" s="2270"/>
      <c r="J147" s="2270"/>
      <c r="K147" s="2270"/>
      <c r="L147" s="2270"/>
      <c r="M147" s="2270"/>
      <c r="N147" s="2270"/>
      <c r="O147" s="2270"/>
      <c r="P147" s="2270"/>
      <c r="Q147" s="2270"/>
    </row>
    <row r="148" spans="2:17" s="747" customFormat="1">
      <c r="B148" s="2270"/>
      <c r="C148" s="2270"/>
      <c r="D148" s="2270"/>
      <c r="E148" s="2270"/>
      <c r="F148" s="2270"/>
      <c r="G148" s="2270"/>
      <c r="H148" s="2270"/>
      <c r="I148" s="2270"/>
      <c r="J148" s="2270"/>
      <c r="K148" s="2270"/>
      <c r="L148" s="2270"/>
      <c r="M148" s="2270"/>
      <c r="N148" s="2270"/>
      <c r="O148" s="2270"/>
      <c r="P148" s="2270"/>
      <c r="Q148" s="2270"/>
    </row>
    <row r="149" spans="2:17" s="747" customFormat="1">
      <c r="B149" s="2270"/>
      <c r="C149" s="2270"/>
      <c r="D149" s="2270"/>
      <c r="E149" s="2270"/>
      <c r="F149" s="2270"/>
      <c r="G149" s="2270"/>
      <c r="H149" s="2270"/>
      <c r="I149" s="2270"/>
      <c r="J149" s="2270"/>
      <c r="K149" s="2270"/>
      <c r="L149" s="2270"/>
      <c r="M149" s="2270"/>
      <c r="N149" s="2270"/>
      <c r="O149" s="2270"/>
      <c r="P149" s="2270"/>
      <c r="Q149" s="2270"/>
    </row>
    <row r="150" spans="2:17" s="747" customFormat="1">
      <c r="B150" s="2270"/>
      <c r="C150" s="2270"/>
      <c r="D150" s="2270"/>
      <c r="E150" s="2270"/>
      <c r="F150" s="2270"/>
      <c r="G150" s="2270"/>
      <c r="H150" s="2270"/>
      <c r="I150" s="2270"/>
      <c r="J150" s="2270"/>
      <c r="K150" s="2270"/>
      <c r="L150" s="2270"/>
      <c r="M150" s="2270"/>
      <c r="N150" s="2270"/>
      <c r="O150" s="2270"/>
      <c r="P150" s="2270"/>
      <c r="Q150" s="2270"/>
    </row>
    <row r="151" spans="2:17" s="747" customFormat="1">
      <c r="B151" s="2270"/>
      <c r="C151" s="2270"/>
      <c r="D151" s="2270"/>
      <c r="E151" s="2270"/>
      <c r="F151" s="2270"/>
      <c r="G151" s="2270"/>
      <c r="H151" s="2270"/>
      <c r="I151" s="2270"/>
      <c r="J151" s="2270"/>
      <c r="K151" s="2270"/>
      <c r="L151" s="2270"/>
      <c r="M151" s="2270"/>
      <c r="N151" s="2270"/>
      <c r="O151" s="2270"/>
      <c r="P151" s="2270"/>
      <c r="Q151" s="2270"/>
    </row>
    <row r="152" spans="2:17" s="747" customFormat="1">
      <c r="B152" s="2270"/>
      <c r="C152" s="2270"/>
      <c r="D152" s="2270"/>
      <c r="E152" s="2270"/>
      <c r="F152" s="2270"/>
      <c r="G152" s="2270"/>
      <c r="H152" s="2270"/>
      <c r="I152" s="2270"/>
      <c r="J152" s="2270"/>
      <c r="K152" s="2270"/>
      <c r="L152" s="2270"/>
      <c r="M152" s="2270"/>
      <c r="N152" s="2270"/>
      <c r="O152" s="2270"/>
      <c r="P152" s="2270"/>
      <c r="Q152" s="2270"/>
    </row>
    <row r="153" spans="2:17" s="747" customFormat="1">
      <c r="B153" s="2270"/>
      <c r="C153" s="2270"/>
      <c r="D153" s="2270"/>
      <c r="E153" s="2270"/>
      <c r="F153" s="2270"/>
      <c r="G153" s="2270"/>
      <c r="H153" s="2270"/>
      <c r="I153" s="2270"/>
      <c r="J153" s="2270"/>
      <c r="K153" s="2270"/>
      <c r="L153" s="2270"/>
      <c r="M153" s="2270"/>
      <c r="N153" s="2270"/>
      <c r="O153" s="2270"/>
      <c r="P153" s="2270"/>
      <c r="Q153" s="2270"/>
    </row>
    <row r="154" spans="2:17" s="747" customFormat="1">
      <c r="B154" s="2270"/>
      <c r="C154" s="2270"/>
      <c r="D154" s="2270"/>
      <c r="E154" s="2270"/>
      <c r="F154" s="2270"/>
      <c r="G154" s="2270"/>
      <c r="H154" s="2270"/>
      <c r="I154" s="2270"/>
      <c r="J154" s="2270"/>
      <c r="K154" s="2270"/>
      <c r="L154" s="2270"/>
      <c r="M154" s="2270"/>
      <c r="N154" s="2270"/>
      <c r="O154" s="2270"/>
      <c r="P154" s="2270"/>
      <c r="Q154" s="2270"/>
    </row>
    <row r="155" spans="2:17" s="747" customFormat="1">
      <c r="B155" s="2270"/>
      <c r="C155" s="2270"/>
      <c r="D155" s="2270"/>
      <c r="E155" s="2270"/>
      <c r="F155" s="2270"/>
      <c r="G155" s="2270"/>
      <c r="H155" s="2270"/>
      <c r="I155" s="2270"/>
      <c r="J155" s="2270"/>
      <c r="K155" s="2270"/>
      <c r="L155" s="2270"/>
      <c r="M155" s="2270"/>
      <c r="N155" s="2270"/>
      <c r="O155" s="2270"/>
      <c r="P155" s="2270"/>
      <c r="Q155" s="2270"/>
    </row>
    <row r="156" spans="2:17" s="747" customFormat="1">
      <c r="B156" s="2270"/>
      <c r="C156" s="2270"/>
      <c r="D156" s="2270"/>
      <c r="E156" s="2270"/>
      <c r="F156" s="2270"/>
      <c r="G156" s="2270"/>
      <c r="H156" s="2270"/>
      <c r="I156" s="2270"/>
      <c r="J156" s="2270"/>
      <c r="K156" s="2270"/>
      <c r="L156" s="2270"/>
      <c r="M156" s="2270"/>
      <c r="N156" s="2270"/>
      <c r="O156" s="2270"/>
      <c r="P156" s="2270"/>
      <c r="Q156" s="2270"/>
    </row>
    <row r="157" spans="2:17" s="747" customFormat="1">
      <c r="B157" s="2270"/>
      <c r="C157" s="2270"/>
      <c r="D157" s="2270"/>
      <c r="E157" s="2270"/>
      <c r="F157" s="2270"/>
      <c r="G157" s="2270"/>
      <c r="H157" s="2270"/>
      <c r="I157" s="2270"/>
      <c r="J157" s="2270"/>
      <c r="K157" s="2270"/>
      <c r="L157" s="2270"/>
      <c r="M157" s="2270"/>
      <c r="N157" s="2270"/>
      <c r="O157" s="2270"/>
      <c r="P157" s="2270"/>
      <c r="Q157" s="2270"/>
    </row>
    <row r="158" spans="2:17" s="747" customFormat="1">
      <c r="B158" s="2270"/>
      <c r="C158" s="2270"/>
      <c r="D158" s="2270"/>
      <c r="E158" s="2270"/>
      <c r="F158" s="2270"/>
      <c r="G158" s="2270"/>
      <c r="H158" s="2270"/>
      <c r="I158" s="2270"/>
      <c r="J158" s="2270"/>
      <c r="K158" s="2270"/>
      <c r="L158" s="2270"/>
      <c r="M158" s="2270"/>
      <c r="N158" s="2270"/>
      <c r="O158" s="2270"/>
      <c r="P158" s="2270"/>
      <c r="Q158" s="2270"/>
    </row>
    <row r="159" spans="2:17" s="747" customFormat="1">
      <c r="B159" s="2270"/>
      <c r="C159" s="2270"/>
      <c r="D159" s="2270"/>
      <c r="E159" s="2270"/>
      <c r="F159" s="2270"/>
      <c r="G159" s="2270"/>
      <c r="H159" s="2270"/>
      <c r="I159" s="2270"/>
      <c r="J159" s="2270"/>
      <c r="K159" s="2270"/>
      <c r="L159" s="2270"/>
      <c r="M159" s="2270"/>
      <c r="N159" s="2270"/>
      <c r="O159" s="2270"/>
      <c r="P159" s="2270"/>
      <c r="Q159" s="2270"/>
    </row>
    <row r="160" spans="2:17" s="747" customFormat="1">
      <c r="B160" s="2270"/>
      <c r="C160" s="2270"/>
      <c r="D160" s="2270"/>
      <c r="E160" s="2270"/>
      <c r="F160" s="2270"/>
      <c r="G160" s="2270"/>
      <c r="H160" s="2270"/>
      <c r="I160" s="2270"/>
      <c r="J160" s="2270"/>
      <c r="K160" s="2270"/>
      <c r="L160" s="2270"/>
      <c r="M160" s="2270"/>
      <c r="N160" s="2270"/>
      <c r="O160" s="2270"/>
      <c r="P160" s="2270"/>
      <c r="Q160" s="2270"/>
    </row>
    <row r="161" spans="2:17" s="747" customFormat="1">
      <c r="B161" s="2270"/>
      <c r="C161" s="2270"/>
      <c r="D161" s="2270"/>
      <c r="E161" s="2270"/>
      <c r="F161" s="2270"/>
      <c r="G161" s="2270"/>
      <c r="H161" s="2270"/>
      <c r="I161" s="2270"/>
      <c r="J161" s="2270"/>
      <c r="K161" s="2270"/>
      <c r="L161" s="2270"/>
      <c r="M161" s="2270"/>
      <c r="N161" s="2270"/>
      <c r="O161" s="2270"/>
      <c r="P161" s="2270"/>
      <c r="Q161" s="2270"/>
    </row>
    <row r="162" spans="2:17" s="747" customFormat="1">
      <c r="B162" s="2270"/>
      <c r="C162" s="2270"/>
      <c r="D162" s="2270"/>
      <c r="E162" s="2270"/>
      <c r="F162" s="2270"/>
      <c r="G162" s="2270"/>
      <c r="H162" s="2270"/>
      <c r="I162" s="2270"/>
      <c r="J162" s="2270"/>
      <c r="K162" s="2270"/>
      <c r="L162" s="2270"/>
      <c r="M162" s="2270"/>
      <c r="N162" s="2270"/>
      <c r="O162" s="2270"/>
      <c r="P162" s="2270"/>
      <c r="Q162" s="2270"/>
    </row>
    <row r="163" spans="2:17" s="747" customFormat="1">
      <c r="B163" s="2270"/>
      <c r="C163" s="2270"/>
      <c r="D163" s="2270"/>
      <c r="E163" s="2270"/>
      <c r="F163" s="2270"/>
      <c r="G163" s="2270"/>
      <c r="H163" s="2270"/>
      <c r="I163" s="2270"/>
      <c r="J163" s="2270"/>
      <c r="K163" s="2270"/>
      <c r="L163" s="2270"/>
      <c r="M163" s="2270"/>
      <c r="N163" s="2270"/>
      <c r="O163" s="2270"/>
      <c r="P163" s="2270"/>
      <c r="Q163" s="2270"/>
    </row>
    <row r="164" spans="2:17" s="747" customFormat="1">
      <c r="B164" s="2270"/>
      <c r="C164" s="2270"/>
      <c r="D164" s="2270"/>
      <c r="E164" s="2270"/>
      <c r="F164" s="2270"/>
      <c r="G164" s="2270"/>
      <c r="H164" s="2270"/>
      <c r="I164" s="2270"/>
      <c r="J164" s="2270"/>
      <c r="K164" s="2270"/>
      <c r="L164" s="2270"/>
      <c r="M164" s="2270"/>
      <c r="N164" s="2270"/>
      <c r="O164" s="2270"/>
      <c r="P164" s="2270"/>
      <c r="Q164" s="2270"/>
    </row>
    <row r="165" spans="2:17" s="747" customFormat="1">
      <c r="B165" s="2270"/>
      <c r="C165" s="2270"/>
      <c r="D165" s="2270"/>
      <c r="E165" s="2270"/>
      <c r="F165" s="2270"/>
      <c r="G165" s="2270"/>
      <c r="H165" s="2270"/>
      <c r="I165" s="2270"/>
      <c r="J165" s="2270"/>
      <c r="K165" s="2270"/>
      <c r="L165" s="2270"/>
      <c r="M165" s="2270"/>
      <c r="N165" s="2270"/>
      <c r="O165" s="2270"/>
      <c r="P165" s="2270"/>
      <c r="Q165" s="2270"/>
    </row>
    <row r="166" spans="2:17" s="747" customFormat="1">
      <c r="B166" s="2270"/>
      <c r="C166" s="2270"/>
      <c r="D166" s="2270"/>
      <c r="E166" s="2270"/>
      <c r="F166" s="2270"/>
      <c r="G166" s="2270"/>
      <c r="H166" s="2270"/>
      <c r="I166" s="2270"/>
      <c r="J166" s="2270"/>
      <c r="K166" s="2270"/>
      <c r="L166" s="2270"/>
      <c r="M166" s="2270"/>
      <c r="N166" s="2270"/>
      <c r="O166" s="2270"/>
      <c r="P166" s="2270"/>
      <c r="Q166" s="2270"/>
    </row>
    <row r="167" spans="2:17" s="747" customFormat="1">
      <c r="B167" s="2270"/>
      <c r="C167" s="2270"/>
      <c r="D167" s="2270"/>
      <c r="E167" s="2270"/>
      <c r="F167" s="2270"/>
      <c r="G167" s="2270"/>
      <c r="H167" s="2270"/>
      <c r="I167" s="2270"/>
      <c r="J167" s="2270"/>
      <c r="K167" s="2270"/>
      <c r="L167" s="2270"/>
      <c r="M167" s="2270"/>
      <c r="N167" s="2270"/>
      <c r="O167" s="2270"/>
      <c r="P167" s="2270"/>
      <c r="Q167" s="2270"/>
    </row>
    <row r="168" spans="2:17" s="747" customFormat="1">
      <c r="B168" s="2270"/>
      <c r="C168" s="2270"/>
      <c r="D168" s="2270"/>
      <c r="E168" s="2270"/>
      <c r="F168" s="2270"/>
      <c r="G168" s="2270"/>
      <c r="H168" s="2270"/>
      <c r="I168" s="2270"/>
      <c r="J168" s="2270"/>
      <c r="K168" s="2270"/>
      <c r="L168" s="2270"/>
      <c r="M168" s="2270"/>
      <c r="N168" s="2270"/>
      <c r="O168" s="2270"/>
      <c r="P168" s="2270"/>
      <c r="Q168" s="2270"/>
    </row>
    <row r="169" spans="2:17" s="747" customFormat="1">
      <c r="B169" s="2270"/>
      <c r="C169" s="2270"/>
      <c r="D169" s="2270"/>
      <c r="E169" s="2270"/>
      <c r="F169" s="2270"/>
      <c r="G169" s="2270"/>
      <c r="H169" s="2270"/>
      <c r="I169" s="2270"/>
      <c r="J169" s="2270"/>
      <c r="K169" s="2270"/>
      <c r="L169" s="2270"/>
      <c r="M169" s="2270"/>
      <c r="N169" s="2270"/>
      <c r="O169" s="2270"/>
      <c r="P169" s="2270"/>
      <c r="Q169" s="2270"/>
    </row>
    <row r="170" spans="2:17" s="747" customFormat="1">
      <c r="B170" s="2270"/>
      <c r="C170" s="2270"/>
      <c r="D170" s="2270"/>
      <c r="E170" s="2270"/>
      <c r="F170" s="2270"/>
      <c r="G170" s="2270"/>
      <c r="H170" s="2270"/>
      <c r="I170" s="2270"/>
      <c r="J170" s="2270"/>
      <c r="K170" s="2270"/>
      <c r="L170" s="2270"/>
      <c r="M170" s="2270"/>
      <c r="N170" s="2270"/>
      <c r="O170" s="2270"/>
      <c r="P170" s="2270"/>
      <c r="Q170" s="2270"/>
    </row>
    <row r="171" spans="2:17" s="747" customFormat="1">
      <c r="B171" s="2270"/>
      <c r="C171" s="2270"/>
      <c r="D171" s="2270"/>
      <c r="E171" s="2270"/>
      <c r="F171" s="2270"/>
      <c r="G171" s="2270"/>
      <c r="H171" s="2270"/>
      <c r="I171" s="2270"/>
      <c r="J171" s="2270"/>
      <c r="K171" s="2270"/>
      <c r="L171" s="2270"/>
      <c r="M171" s="2270"/>
      <c r="N171" s="2270"/>
      <c r="O171" s="2270"/>
      <c r="P171" s="2270"/>
      <c r="Q171" s="2270"/>
    </row>
    <row r="172" spans="2:17" s="747" customFormat="1">
      <c r="B172" s="2270"/>
      <c r="C172" s="2270"/>
      <c r="D172" s="2270"/>
      <c r="E172" s="2270"/>
      <c r="F172" s="2270"/>
      <c r="G172" s="2270"/>
      <c r="H172" s="2270"/>
      <c r="I172" s="2270"/>
      <c r="J172" s="2270"/>
      <c r="K172" s="2270"/>
      <c r="L172" s="2270"/>
      <c r="M172" s="2270"/>
      <c r="N172" s="2270"/>
      <c r="O172" s="2270"/>
      <c r="P172" s="2270"/>
      <c r="Q172" s="2270"/>
    </row>
    <row r="173" spans="2:17" s="747" customFormat="1">
      <c r="B173" s="2270"/>
      <c r="C173" s="2270"/>
      <c r="D173" s="2270"/>
      <c r="E173" s="2270"/>
      <c r="F173" s="2270"/>
      <c r="G173" s="2270"/>
      <c r="H173" s="2270"/>
      <c r="I173" s="2270"/>
      <c r="J173" s="2270"/>
      <c r="K173" s="2270"/>
      <c r="L173" s="2270"/>
      <c r="M173" s="2270"/>
      <c r="N173" s="2270"/>
      <c r="O173" s="2270"/>
      <c r="P173" s="2270"/>
      <c r="Q173" s="2270"/>
    </row>
    <row r="174" spans="2:17" s="747" customFormat="1">
      <c r="B174" s="2270"/>
      <c r="C174" s="2270"/>
      <c r="D174" s="2270"/>
      <c r="E174" s="2270"/>
      <c r="F174" s="2270"/>
      <c r="G174" s="2270"/>
      <c r="H174" s="2270"/>
      <c r="I174" s="2270"/>
      <c r="J174" s="2270"/>
      <c r="K174" s="2270"/>
      <c r="L174" s="2270"/>
      <c r="M174" s="2270"/>
      <c r="N174" s="2270"/>
      <c r="O174" s="2270"/>
      <c r="P174" s="2270"/>
      <c r="Q174" s="2270"/>
    </row>
    <row r="175" spans="2:17" s="747" customFormat="1">
      <c r="B175" s="2270"/>
      <c r="C175" s="2270"/>
      <c r="D175" s="2270"/>
      <c r="E175" s="2270"/>
      <c r="F175" s="2270"/>
      <c r="G175" s="2270"/>
      <c r="H175" s="2270"/>
      <c r="I175" s="2270"/>
      <c r="J175" s="2270"/>
      <c r="K175" s="2270"/>
      <c r="L175" s="2270"/>
      <c r="M175" s="2270"/>
      <c r="N175" s="2270"/>
      <c r="O175" s="2270"/>
      <c r="P175" s="2270"/>
      <c r="Q175" s="2270"/>
    </row>
    <row r="176" spans="2:17" s="747" customFormat="1">
      <c r="B176" s="2270"/>
      <c r="C176" s="2270"/>
      <c r="D176" s="2270"/>
      <c r="E176" s="2270"/>
      <c r="F176" s="2270"/>
      <c r="G176" s="2270"/>
      <c r="H176" s="2270"/>
      <c r="I176" s="2270"/>
      <c r="J176" s="2270"/>
      <c r="K176" s="2270"/>
      <c r="L176" s="2270"/>
      <c r="M176" s="2270"/>
      <c r="N176" s="2270"/>
      <c r="O176" s="2270"/>
      <c r="P176" s="2270"/>
      <c r="Q176" s="2270"/>
    </row>
    <row r="177" spans="1:17" s="747" customFormat="1">
      <c r="B177" s="2270"/>
      <c r="C177" s="2270"/>
      <c r="D177" s="2270"/>
      <c r="E177" s="2270"/>
      <c r="F177" s="2270"/>
      <c r="G177" s="2270"/>
      <c r="H177" s="2270"/>
      <c r="I177" s="2270"/>
      <c r="J177" s="2270"/>
      <c r="K177" s="2270"/>
      <c r="L177" s="2270"/>
      <c r="M177" s="2270"/>
      <c r="N177" s="2270"/>
      <c r="O177" s="2270"/>
      <c r="P177" s="2270"/>
      <c r="Q177" s="2270"/>
    </row>
    <row r="178" spans="1:17" s="747" customFormat="1">
      <c r="B178" s="2270"/>
      <c r="C178" s="2270"/>
      <c r="D178" s="2270"/>
      <c r="E178" s="2270"/>
      <c r="F178" s="2270"/>
      <c r="G178" s="2270"/>
      <c r="H178" s="2270"/>
      <c r="I178" s="2270"/>
      <c r="J178" s="2270"/>
      <c r="K178" s="2270"/>
      <c r="L178" s="2270"/>
      <c r="M178" s="2270"/>
      <c r="N178" s="2270"/>
      <c r="O178" s="2270"/>
      <c r="P178" s="2270"/>
      <c r="Q178" s="2270"/>
    </row>
    <row r="179" spans="1:17" s="747" customFormat="1">
      <c r="B179" s="2270"/>
      <c r="C179" s="2270"/>
      <c r="D179" s="2270"/>
      <c r="E179" s="2270"/>
      <c r="F179" s="2270"/>
      <c r="G179" s="2270"/>
      <c r="H179" s="2270"/>
      <c r="I179" s="2270"/>
      <c r="J179" s="2270"/>
      <c r="K179" s="2270"/>
      <c r="L179" s="2270"/>
      <c r="M179" s="2270"/>
      <c r="N179" s="2270"/>
      <c r="O179" s="2270"/>
      <c r="P179" s="2270"/>
      <c r="Q179" s="2270"/>
    </row>
    <row r="180" spans="1:17" s="747" customFormat="1">
      <c r="B180" s="2270"/>
      <c r="C180" s="2270"/>
      <c r="D180" s="2270"/>
      <c r="E180" s="2270"/>
      <c r="F180" s="2270"/>
      <c r="G180" s="2270"/>
      <c r="H180" s="2270"/>
      <c r="I180" s="2270"/>
      <c r="J180" s="2270"/>
      <c r="K180" s="2270"/>
      <c r="L180" s="2270"/>
      <c r="M180" s="2270"/>
      <c r="N180" s="2270"/>
      <c r="O180" s="2270"/>
      <c r="P180" s="2270"/>
      <c r="Q180" s="2270"/>
    </row>
    <row r="181" spans="1:17" s="747" customFormat="1">
      <c r="B181" s="2270"/>
      <c r="C181" s="2270"/>
      <c r="D181" s="2270"/>
      <c r="E181" s="2270"/>
      <c r="F181" s="2270"/>
      <c r="G181" s="2270"/>
      <c r="H181" s="2270"/>
      <c r="I181" s="2270"/>
      <c r="J181" s="2270"/>
      <c r="K181" s="2270"/>
      <c r="L181" s="2270"/>
      <c r="M181" s="2270"/>
      <c r="N181" s="2270"/>
      <c r="O181" s="2270"/>
      <c r="P181" s="2270"/>
      <c r="Q181" s="2270"/>
    </row>
    <row r="182" spans="1:17" s="747" customFormat="1">
      <c r="B182" s="2270"/>
      <c r="C182" s="2270"/>
      <c r="D182" s="2270"/>
      <c r="E182" s="2270"/>
      <c r="F182" s="2270"/>
      <c r="G182" s="2270"/>
      <c r="H182" s="2270"/>
      <c r="I182" s="2270"/>
      <c r="J182" s="2270"/>
      <c r="K182" s="2270"/>
      <c r="L182" s="2270"/>
      <c r="M182" s="2270"/>
      <c r="N182" s="2270"/>
      <c r="O182" s="2270"/>
      <c r="P182" s="2270"/>
      <c r="Q182" s="2270"/>
    </row>
    <row r="183" spans="1:17" s="747" customFormat="1">
      <c r="B183" s="2270"/>
      <c r="C183" s="2270"/>
      <c r="D183" s="2270"/>
      <c r="E183" s="2270"/>
      <c r="F183" s="2270"/>
      <c r="G183" s="2270"/>
      <c r="H183" s="2270"/>
      <c r="I183" s="2270"/>
      <c r="J183" s="2270"/>
      <c r="K183" s="2270"/>
      <c r="L183" s="2270"/>
      <c r="M183" s="2270"/>
      <c r="N183" s="2270"/>
      <c r="O183" s="2270"/>
      <c r="P183" s="2270"/>
      <c r="Q183" s="2270"/>
    </row>
    <row r="184" spans="1:17" s="747" customFormat="1">
      <c r="B184" s="2270"/>
      <c r="C184" s="2270"/>
      <c r="D184" s="2270"/>
      <c r="E184" s="2270"/>
      <c r="F184" s="2270"/>
      <c r="G184" s="2270"/>
      <c r="H184" s="2270"/>
      <c r="I184" s="2270"/>
      <c r="J184" s="2270"/>
      <c r="K184" s="2270"/>
      <c r="L184" s="2270"/>
      <c r="M184" s="2270"/>
      <c r="N184" s="2270"/>
      <c r="O184" s="2270"/>
      <c r="P184" s="2270"/>
      <c r="Q184" s="2270"/>
    </row>
    <row r="185" spans="1:17" s="747" customFormat="1">
      <c r="B185" s="2270"/>
      <c r="C185" s="2270"/>
      <c r="D185" s="2270"/>
      <c r="E185" s="2270"/>
      <c r="F185" s="2270"/>
      <c r="G185" s="2270"/>
      <c r="H185" s="2270"/>
      <c r="I185" s="2270"/>
      <c r="J185" s="2270"/>
      <c r="K185" s="2270"/>
      <c r="L185" s="2270"/>
      <c r="M185" s="2270"/>
      <c r="N185" s="2270"/>
      <c r="O185" s="2270"/>
      <c r="P185" s="2270"/>
      <c r="Q185" s="2270"/>
    </row>
    <row r="186" spans="1:17">
      <c r="A186" s="747"/>
      <c r="B186" s="2270"/>
      <c r="C186" s="2270"/>
      <c r="E186" s="2270"/>
      <c r="F186" s="2270"/>
      <c r="G186" s="2270"/>
    </row>
    <row r="187" spans="1:17">
      <c r="A187" s="747"/>
      <c r="B187" s="2270"/>
      <c r="C187" s="2270"/>
      <c r="E187" s="2270"/>
      <c r="F187" s="2270"/>
      <c r="G187" s="22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800-000000000000}">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294" customWidth="1"/>
    <col min="2" max="9" width="15.75" style="2294" customWidth="1"/>
    <col min="10" max="16384" width="9" style="2294"/>
  </cols>
  <sheetData>
    <row r="1" spans="1:11" ht="16.5">
      <c r="A1" s="2293" t="s">
        <v>662</v>
      </c>
      <c r="B1" s="2293">
        <f>SUM(B14:B23)</f>
        <v>232700.46000000008</v>
      </c>
      <c r="C1" s="2455"/>
      <c r="D1" s="2455"/>
      <c r="E1" s="2455"/>
      <c r="F1" s="2455"/>
      <c r="G1" s="2456"/>
      <c r="H1" s="2456"/>
      <c r="I1" s="2456"/>
      <c r="J1" s="2456"/>
      <c r="K1" s="2456"/>
    </row>
    <row r="2" spans="1:11" ht="16.5">
      <c r="A2" s="2293" t="s">
        <v>650</v>
      </c>
      <c r="B2" s="2293">
        <f>SUM(C14:C23)</f>
        <v>0</v>
      </c>
      <c r="C2" s="2455"/>
      <c r="D2" s="2455"/>
      <c r="E2" s="2455"/>
      <c r="F2" s="2455"/>
      <c r="G2" s="2456"/>
      <c r="H2" s="2456"/>
      <c r="I2" s="2456"/>
      <c r="J2" s="2456"/>
      <c r="K2" s="2456"/>
    </row>
    <row r="3" spans="1:11" ht="16.5">
      <c r="A3" s="2293" t="s">
        <v>659</v>
      </c>
      <c r="B3" s="2295">
        <f>项目基本情况!D3</f>
        <v>45492</v>
      </c>
      <c r="C3" s="2455"/>
      <c r="D3" s="2455"/>
      <c r="E3" s="2455"/>
      <c r="F3" s="2455"/>
      <c r="G3" s="2456"/>
      <c r="H3" s="2456"/>
      <c r="I3" s="2456"/>
      <c r="J3" s="2456"/>
      <c r="K3" s="2456"/>
    </row>
    <row r="4" spans="1:11" ht="33">
      <c r="A4" s="2293" t="s">
        <v>658</v>
      </c>
      <c r="B4" s="2293" t="s">
        <v>657</v>
      </c>
      <c r="C4" s="2293" t="s">
        <v>656</v>
      </c>
      <c r="D4" s="2293" t="s">
        <v>655</v>
      </c>
      <c r="E4" s="2455"/>
      <c r="F4" s="2456"/>
      <c r="G4" s="2456"/>
      <c r="H4" s="2456"/>
      <c r="I4" s="2456"/>
      <c r="J4" s="2456"/>
      <c r="K4" s="2456"/>
    </row>
    <row r="5" spans="1:11" ht="16.5">
      <c r="A5" s="3169" t="s">
        <v>654</v>
      </c>
      <c r="B5" s="3169">
        <f ca="1">SUM(D14:D23)</f>
        <v>375263</v>
      </c>
      <c r="C5" s="3169">
        <f ca="1">IF(B5=D14,结果表!H102,ROUND(B5*10000/$B$1,0))</f>
        <v>16126</v>
      </c>
      <c r="D5" s="3169" t="e">
        <f ca="1">ROUND(B5*10000/$B$2,0)</f>
        <v>#DIV/0!</v>
      </c>
      <c r="E5" s="2455"/>
      <c r="F5" s="2456"/>
      <c r="G5" s="2456"/>
      <c r="H5" s="2456"/>
      <c r="I5" s="2456"/>
      <c r="J5" s="2456"/>
      <c r="K5" s="2456"/>
    </row>
    <row r="6" spans="1:11" ht="16.5">
      <c r="A6" s="3169" t="s">
        <v>653</v>
      </c>
      <c r="B6" s="3169">
        <f ca="1">SUM(G14:G23)</f>
        <v>375263</v>
      </c>
      <c r="C6" s="3169">
        <f ca="1">IF(B6=G14,结果表!H108,ROUND(B6*10000/$B$1,0))</f>
        <v>16126</v>
      </c>
      <c r="D6" s="3169" t="e">
        <f ca="1">ROUND(B6*10000/$B$2,0)</f>
        <v>#DIV/0!</v>
      </c>
      <c r="E6" s="2455"/>
      <c r="F6" s="2456"/>
      <c r="G6" s="2456"/>
      <c r="H6" s="2456"/>
      <c r="I6" s="2456"/>
      <c r="J6" s="2456"/>
      <c r="K6" s="2456"/>
    </row>
    <row r="7" spans="1:11" ht="16.5">
      <c r="A7" s="2293" t="s">
        <v>661</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652</v>
      </c>
      <c r="B9" s="1237"/>
      <c r="C9" s="2455"/>
      <c r="D9" s="2455"/>
      <c r="E9" s="2455"/>
      <c r="F9" s="2456"/>
      <c r="G9" s="2456"/>
      <c r="H9" s="2456"/>
      <c r="I9" s="2456"/>
      <c r="J9" s="2456"/>
      <c r="K9" s="2456"/>
    </row>
    <row r="10" spans="1:11" ht="16.5">
      <c r="A10" s="2293" t="s">
        <v>651</v>
      </c>
      <c r="B10" s="2293">
        <f>IF(E10="",0,ROUND(B1*(E10*365/G10)/10000,0))</f>
        <v>0</v>
      </c>
      <c r="C10" s="2293" t="s">
        <v>3344</v>
      </c>
      <c r="D10" s="2293" t="s">
        <v>3345</v>
      </c>
      <c r="E10" s="3130"/>
      <c r="F10" s="3134" t="s">
        <v>3346</v>
      </c>
      <c r="G10" s="3131"/>
      <c r="H10" s="2456"/>
      <c r="I10" s="2456"/>
      <c r="J10" s="2456"/>
      <c r="K10" s="2456"/>
    </row>
    <row r="11" spans="1:11" ht="16.5">
      <c r="A11" s="2293" t="s">
        <v>667</v>
      </c>
      <c r="B11" s="1237"/>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666</v>
      </c>
      <c r="B13" s="2297" t="s">
        <v>663</v>
      </c>
      <c r="C13" s="2297" t="s">
        <v>665</v>
      </c>
      <c r="D13" s="2297" t="s">
        <v>664</v>
      </c>
      <c r="E13" s="2293" t="s">
        <v>656</v>
      </c>
      <c r="F13" s="2293" t="s">
        <v>655</v>
      </c>
      <c r="G13" s="2297" t="s">
        <v>649</v>
      </c>
      <c r="H13" s="2297" t="s">
        <v>660</v>
      </c>
      <c r="I13" s="2297" t="s">
        <v>648</v>
      </c>
      <c r="J13" s="2456"/>
      <c r="K13" s="2456"/>
    </row>
    <row r="14" spans="1:11" ht="18">
      <c r="A14" s="3168" t="s">
        <v>4136</v>
      </c>
      <c r="B14" s="3168">
        <f>'1号楼'!G9</f>
        <v>56346.27</v>
      </c>
      <c r="C14" s="3168"/>
      <c r="D14" s="3168">
        <f ca="1">结果表!G19</f>
        <v>86974</v>
      </c>
      <c r="E14" s="3168">
        <f ca="1">ROUND(D14*10000/B14,0)</f>
        <v>15436</v>
      </c>
      <c r="F14" s="3168">
        <f ca="1">结果表!G21</f>
        <v>125153</v>
      </c>
      <c r="G14" s="3168">
        <f ca="1">D14</f>
        <v>86974</v>
      </c>
      <c r="H14" s="3168"/>
      <c r="I14" s="3168"/>
      <c r="J14" s="2456"/>
      <c r="K14" s="2456"/>
    </row>
    <row r="15" spans="1:11" ht="18">
      <c r="A15" s="3168" t="s">
        <v>2801</v>
      </c>
      <c r="B15" s="3168">
        <f>'1号楼'!H9</f>
        <v>136535.16999999995</v>
      </c>
      <c r="C15" s="3168"/>
      <c r="D15" s="3168">
        <f ca="1">'办公-典型户型修正'!B20</f>
        <v>275090</v>
      </c>
      <c r="E15" s="3168">
        <f t="shared" ref="E15:E23" ca="1" si="0">ROUND(D15*10000/B15,0)</f>
        <v>20148</v>
      </c>
      <c r="F15" s="3168" t="e">
        <f t="shared" ref="F15:F23" ca="1" si="1">ROUND(D15*10000/C15,0)</f>
        <v>#DIV/0!</v>
      </c>
      <c r="G15" s="3168">
        <f t="shared" ref="G15:G16" ca="1" si="2">D15</f>
        <v>275090</v>
      </c>
      <c r="H15" s="3168"/>
      <c r="I15" s="3168"/>
      <c r="J15" s="2456"/>
      <c r="K15" s="2456"/>
    </row>
    <row r="16" spans="1:11" ht="18">
      <c r="A16" s="3168" t="s">
        <v>4425</v>
      </c>
      <c r="B16" s="3168">
        <f>'1号楼'!I9</f>
        <v>39819.02000000012</v>
      </c>
      <c r="C16" s="3168"/>
      <c r="D16" s="3168">
        <f ca="1">'车位-典型户型修正'!R22</f>
        <v>13199</v>
      </c>
      <c r="E16" s="3168">
        <f t="shared" ca="1" si="0"/>
        <v>3315</v>
      </c>
      <c r="F16" s="3168" t="e">
        <f t="shared" ca="1" si="1"/>
        <v>#DIV/0!</v>
      </c>
      <c r="G16" s="3168">
        <f t="shared" ca="1" si="2"/>
        <v>13199</v>
      </c>
      <c r="H16" s="3168"/>
      <c r="I16" s="3168"/>
      <c r="J16" s="2456"/>
      <c r="K16" s="2456"/>
    </row>
    <row r="17" spans="1:11" ht="16.5">
      <c r="A17" s="2298" t="s">
        <v>647</v>
      </c>
      <c r="B17" s="2300"/>
      <c r="C17" s="2300"/>
      <c r="D17" s="2300"/>
      <c r="E17" s="2299" t="e">
        <f t="shared" si="0"/>
        <v>#DIV/0!</v>
      </c>
      <c r="F17" s="2299" t="e">
        <f t="shared" si="1"/>
        <v>#DIV/0!</v>
      </c>
      <c r="G17" s="1237"/>
      <c r="H17" s="1237"/>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37" t="e">
        <f t="shared" si="0"/>
        <v>#DIV/0!</v>
      </c>
      <c r="F23" s="1237"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1259</v>
      </c>
      <c r="B1" s="644"/>
      <c r="C1" s="1613" t="s">
        <v>670</v>
      </c>
      <c r="D1" s="644"/>
      <c r="E1" s="644"/>
      <c r="F1" s="1614" t="s">
        <v>1260</v>
      </c>
      <c r="G1" s="1446" t="s">
        <v>4426</v>
      </c>
      <c r="H1" s="1614" t="str">
        <f>IF(G1="现房","——","估价对象范围")</f>
        <v>——</v>
      </c>
      <c r="I1" s="1615" t="s">
        <v>4427</v>
      </c>
    </row>
    <row r="2" spans="1:12" ht="21.75" customHeight="1" thickBot="1">
      <c r="A2" s="3325" t="str">
        <f>项目基本情况!S2</f>
        <v>北京市房地产</v>
      </c>
      <c r="B2" s="3326"/>
      <c r="C2" s="3326"/>
      <c r="D2" s="3326"/>
      <c r="E2" s="3326"/>
      <c r="F2" s="3326"/>
      <c r="G2" s="3326"/>
      <c r="H2" s="3326"/>
      <c r="I2" s="3327"/>
    </row>
    <row r="3" spans="1:12" ht="12.75">
      <c r="A3" s="3329" t="s">
        <v>1261</v>
      </c>
      <c r="B3" s="3330"/>
      <c r="C3" s="3330"/>
      <c r="D3" s="3330"/>
      <c r="E3" s="3330"/>
      <c r="F3" s="3330"/>
      <c r="G3" s="3330"/>
      <c r="H3" s="3330"/>
      <c r="I3" s="3330"/>
    </row>
    <row r="4" spans="1:12" ht="14.25">
      <c r="A4" s="1617" t="s">
        <v>1262</v>
      </c>
      <c r="B4" s="1618" t="s">
        <v>1263</v>
      </c>
      <c r="C4" s="1619" t="s">
        <v>4186</v>
      </c>
      <c r="D4" s="1619" t="s">
        <v>4187</v>
      </c>
      <c r="E4" s="3331" t="s">
        <v>1264</v>
      </c>
      <c r="F4" s="3332"/>
      <c r="G4" s="3332"/>
      <c r="H4" s="3332"/>
      <c r="I4" s="333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5" t="s">
        <v>1265</v>
      </c>
      <c r="B5" s="3292">
        <v>25</v>
      </c>
      <c r="C5" s="3308"/>
      <c r="D5" s="3328"/>
      <c r="E5" s="122" t="s">
        <v>1266</v>
      </c>
      <c r="F5" s="1620"/>
      <c r="G5" s="1620"/>
      <c r="H5" s="1620"/>
      <c r="I5" s="1274"/>
    </row>
    <row r="6" spans="1:12" ht="12.75">
      <c r="A6" s="3305"/>
      <c r="B6" s="3292"/>
      <c r="C6" s="3309"/>
      <c r="D6" s="3328"/>
      <c r="E6" s="122" t="s">
        <v>1267</v>
      </c>
      <c r="F6" s="1620"/>
      <c r="G6" s="1620"/>
      <c r="H6" s="1620"/>
      <c r="I6" s="1274"/>
    </row>
    <row r="7" spans="1:12" ht="12.75">
      <c r="A7" s="3305"/>
      <c r="B7" s="3292"/>
      <c r="C7" s="3310"/>
      <c r="D7" s="3328"/>
      <c r="E7" s="122" t="s">
        <v>1268</v>
      </c>
      <c r="F7" s="1620"/>
      <c r="G7" s="1620"/>
      <c r="H7" s="1620"/>
      <c r="I7" s="1274"/>
    </row>
    <row r="8" spans="1:12" ht="12.75">
      <c r="A8" s="3305" t="s">
        <v>1269</v>
      </c>
      <c r="B8" s="3292">
        <v>15</v>
      </c>
      <c r="C8" s="3308"/>
      <c r="D8" s="3328"/>
      <c r="E8" s="122" t="s">
        <v>1270</v>
      </c>
      <c r="F8" s="1620"/>
      <c r="G8" s="1620"/>
      <c r="H8" s="1620"/>
      <c r="I8" s="1274"/>
    </row>
    <row r="9" spans="1:12" ht="12.75">
      <c r="A9" s="3305"/>
      <c r="B9" s="3292"/>
      <c r="C9" s="3310"/>
      <c r="D9" s="3328"/>
      <c r="E9" s="122" t="s">
        <v>1271</v>
      </c>
      <c r="F9" s="1620"/>
      <c r="G9" s="1620"/>
      <c r="H9" s="1620"/>
      <c r="I9" s="1274"/>
    </row>
    <row r="10" spans="1:12" ht="12.75">
      <c r="A10" s="3305" t="s">
        <v>1272</v>
      </c>
      <c r="B10" s="3292">
        <v>15</v>
      </c>
      <c r="C10" s="3308"/>
      <c r="D10" s="3328"/>
      <c r="E10" s="122" t="s">
        <v>1273</v>
      </c>
      <c r="F10" s="1620"/>
      <c r="G10" s="1620"/>
      <c r="H10" s="1620"/>
      <c r="I10" s="1274"/>
    </row>
    <row r="11" spans="1:12" ht="12.75">
      <c r="A11" s="3305"/>
      <c r="B11" s="3292"/>
      <c r="C11" s="3310"/>
      <c r="D11" s="3328"/>
      <c r="E11" s="122" t="s">
        <v>1274</v>
      </c>
      <c r="F11" s="1620"/>
      <c r="G11" s="1620"/>
      <c r="H11" s="1620"/>
      <c r="I11" s="1274"/>
    </row>
    <row r="12" spans="1:12" ht="12.75">
      <c r="A12" s="3305" t="s">
        <v>1275</v>
      </c>
      <c r="B12" s="3292">
        <v>15</v>
      </c>
      <c r="C12" s="3308"/>
      <c r="D12" s="3328"/>
      <c r="E12" s="122" t="s">
        <v>1276</v>
      </c>
      <c r="F12" s="1620"/>
      <c r="G12" s="1620"/>
      <c r="H12" s="1620"/>
      <c r="I12" s="1274"/>
    </row>
    <row r="13" spans="1:12" ht="12.75">
      <c r="A13" s="3305"/>
      <c r="B13" s="3292"/>
      <c r="C13" s="3310"/>
      <c r="D13" s="3328"/>
      <c r="E13" s="122" t="s">
        <v>1277</v>
      </c>
      <c r="F13" s="1620"/>
      <c r="G13" s="1620"/>
      <c r="H13" s="1620"/>
      <c r="I13" s="1274"/>
    </row>
    <row r="14" spans="1:12" ht="12.75">
      <c r="A14" s="3305" t="s">
        <v>1278</v>
      </c>
      <c r="B14" s="3292">
        <v>30</v>
      </c>
      <c r="C14" s="3308">
        <v>4</v>
      </c>
      <c r="D14" s="3328">
        <v>6</v>
      </c>
      <c r="E14" s="122" t="s">
        <v>1279</v>
      </c>
      <c r="F14" s="1620"/>
      <c r="G14" s="1620"/>
      <c r="H14" s="1620"/>
      <c r="I14" s="1274"/>
    </row>
    <row r="15" spans="1:12" ht="12.75">
      <c r="A15" s="3305"/>
      <c r="B15" s="3292"/>
      <c r="C15" s="3309"/>
      <c r="D15" s="3328"/>
      <c r="E15" s="122" t="s">
        <v>1280</v>
      </c>
      <c r="F15" s="1620"/>
      <c r="G15" s="1620"/>
      <c r="H15" s="1620"/>
      <c r="I15" s="1274"/>
    </row>
    <row r="16" spans="1:12" ht="12.75">
      <c r="A16" s="3305"/>
      <c r="B16" s="3292"/>
      <c r="C16" s="3310"/>
      <c r="D16" s="3328"/>
      <c r="E16" s="122" t="s">
        <v>1281</v>
      </c>
      <c r="F16" s="1620"/>
      <c r="G16" s="1620"/>
      <c r="H16" s="1620"/>
      <c r="I16" s="1274"/>
    </row>
    <row r="17" spans="1:36" ht="15">
      <c r="A17" s="1621" t="s">
        <v>1282</v>
      </c>
      <c r="B17" s="54"/>
      <c r="C17" s="123">
        <f>SUM(C5:C16)</f>
        <v>4</v>
      </c>
      <c r="D17" s="123">
        <f>SUM(D5:D16)</f>
        <v>6</v>
      </c>
      <c r="E17" s="120"/>
      <c r="F17" s="120"/>
      <c r="G17" s="120"/>
      <c r="H17" s="120"/>
      <c r="I17" s="120"/>
      <c r="K17" s="293"/>
      <c r="L17" s="293" t="s">
        <v>1283</v>
      </c>
      <c r="M17" s="293" t="s">
        <v>1284</v>
      </c>
    </row>
    <row r="18" spans="1:36" ht="31.9" customHeight="1" thickBot="1">
      <c r="A18" s="1622" t="s">
        <v>1285</v>
      </c>
      <c r="B18" s="1535"/>
      <c r="C18" s="124">
        <f>ROUND(C17/SUM(C17:D17),2)</f>
        <v>0.4</v>
      </c>
      <c r="D18" s="124">
        <f>1-C18</f>
        <v>0.6</v>
      </c>
      <c r="E18" s="3315" t="s">
        <v>2127</v>
      </c>
      <c r="F18" s="3316"/>
      <c r="G18" s="3316"/>
      <c r="H18" s="3316"/>
      <c r="I18" s="3316"/>
      <c r="K18" s="293" t="s">
        <v>1286</v>
      </c>
      <c r="L18" s="293">
        <f>IF(C1="",'数据-汇总表'!E3,SUMIF(项目类型,C1,'数据-汇总表'!E17:E26)+SUMIF(项目类型,C1,'数据-汇总表'!I17:I26))</f>
        <v>56346.270000000004</v>
      </c>
      <c r="M18" s="293">
        <f>IF(C1="",'数据-汇总表'!E3,SUMIF(项目类型,C1,'数据-汇总表'!E17:E26))</f>
        <v>56346.270000000004</v>
      </c>
    </row>
    <row r="19" spans="1:36" ht="15">
      <c r="A19" s="1623" t="s">
        <v>1287</v>
      </c>
      <c r="B19" s="1624" t="s">
        <v>1288</v>
      </c>
      <c r="C19" s="125">
        <f ca="1">SUMIF(INDIRECT("'"&amp;C4&amp;"'"&amp;"!A:A"),结果表!B19,INDIRECT("'"&amp;C4&amp;"'"&amp;"!B:B"))</f>
        <v>119712</v>
      </c>
      <c r="D19" s="126">
        <f ca="1">SUMIF(INDIRECT("'"&amp;D4&amp;"'"&amp;"!A:A"),结果表!B19,INDIRECT("'"&amp;D4&amp;"'"&amp;"!B:B"))</f>
        <v>65148</v>
      </c>
      <c r="E19" s="1623" t="s">
        <v>1289</v>
      </c>
      <c r="F19" s="1624" t="s">
        <v>1288</v>
      </c>
      <c r="G19" s="127">
        <f ca="1">ROUND(C19*$C$18+D19*$D$18,0)</f>
        <v>86974</v>
      </c>
      <c r="H19" s="1625" t="s">
        <v>1290</v>
      </c>
      <c r="I19" s="120"/>
      <c r="K19" s="293" t="s">
        <v>1291</v>
      </c>
      <c r="L19" s="293">
        <f>IF(C1="",'数据-汇总表'!D3,SUMIF(项目类型,C1,'数据-汇总表'!D17:D26)+SUMIF(项目类型,C1,'数据-汇总表'!H17:H27))</f>
        <v>6949.44</v>
      </c>
      <c r="M19" s="293">
        <f>IF(C1="",'数据-汇总表'!D3,SUMIF(项目类型,C1,'数据-汇总表'!D17:D26))</f>
        <v>6949.44</v>
      </c>
    </row>
    <row r="20" spans="1:36" ht="15">
      <c r="A20" s="1626"/>
      <c r="B20" s="43" t="s">
        <v>1292</v>
      </c>
      <c r="C20" s="128">
        <f ca="1">SUMIF(INDIRECT("'"&amp;C4&amp;"'"&amp;"!A:A"),结果表!B20,INDIRECT("'"&amp;C4&amp;"'"&amp;"!B:B"))</f>
        <v>21246</v>
      </c>
      <c r="D20" s="129">
        <f ca="1">SUMIF(INDIRECT("'"&amp;D4&amp;"'"&amp;"!A:A"),结果表!B20,INDIRECT("'"&amp;D4&amp;"'"&amp;"!B:B"))</f>
        <v>11562</v>
      </c>
      <c r="E20" s="1626"/>
      <c r="F20" s="43" t="s">
        <v>1292</v>
      </c>
      <c r="G20" s="130">
        <f ca="1">ROUND(C20*$C$18+D20*$D$18,0)</f>
        <v>15436</v>
      </c>
      <c r="H20" s="756" t="s">
        <v>1293</v>
      </c>
      <c r="I20" s="120"/>
    </row>
    <row r="21" spans="1:36" ht="15" customHeight="1" thickBot="1">
      <c r="A21" s="448"/>
      <c r="B21" s="93" t="s">
        <v>1294</v>
      </c>
      <c r="C21" s="676">
        <f ca="1">ROUND(C19*10000/L19,0)</f>
        <v>172261</v>
      </c>
      <c r="D21" s="677">
        <f ca="1">ROUND(D19*10000/L19,0)</f>
        <v>93746</v>
      </c>
      <c r="E21" s="448"/>
      <c r="F21" s="93" t="s">
        <v>1294</v>
      </c>
      <c r="G21" s="131">
        <f ca="1">ROUND(G19*10000/L19,0)</f>
        <v>125153</v>
      </c>
      <c r="H21" s="1627" t="s">
        <v>1293</v>
      </c>
      <c r="I21" s="120"/>
    </row>
    <row r="22" spans="1:36" ht="15" thickBot="1">
      <c r="A22" s="1557" t="s">
        <v>1295</v>
      </c>
      <c r="B22" s="1628"/>
      <c r="C22" s="1629"/>
      <c r="D22" s="678">
        <f ca="1">IF(C19&lt;D19,D19/C19-1,C19/D19-1)</f>
        <v>0.83753914164671217</v>
      </c>
      <c r="E22" s="120"/>
      <c r="F22" s="120"/>
      <c r="G22" s="120"/>
      <c r="H22" s="120"/>
      <c r="I22" s="120"/>
    </row>
    <row r="23" spans="1:36" ht="13.5" thickBot="1">
      <c r="A23" s="644"/>
      <c r="B23" s="644"/>
      <c r="C23" s="644"/>
      <c r="D23" s="644"/>
      <c r="E23" s="120"/>
      <c r="F23" s="120"/>
      <c r="G23" s="120"/>
      <c r="H23" s="120"/>
      <c r="I23" s="120"/>
    </row>
    <row r="24" spans="1:36" ht="14.25">
      <c r="A24" s="3299" t="s">
        <v>1296</v>
      </c>
      <c r="B24" s="1624" t="s">
        <v>1288</v>
      </c>
      <c r="C24" s="127">
        <f>IF(B30=0,0,D30)</f>
        <v>0</v>
      </c>
      <c r="D24" s="1630"/>
      <c r="E24" s="120"/>
      <c r="F24" s="120"/>
      <c r="G24" s="120"/>
      <c r="H24" s="120"/>
      <c r="I24" s="120"/>
    </row>
    <row r="25" spans="1:36" ht="14.25">
      <c r="A25" s="3300"/>
      <c r="B25" s="43" t="s">
        <v>1292</v>
      </c>
      <c r="C25" s="132">
        <f>IF(B30=0,0,C30)</f>
        <v>0</v>
      </c>
      <c r="D25" s="1631"/>
      <c r="E25" s="120"/>
      <c r="F25" s="120"/>
      <c r="G25" s="120"/>
      <c r="H25" s="120"/>
      <c r="I25" s="120"/>
    </row>
    <row r="26" spans="1:36" ht="13.5" customHeight="1">
      <c r="A26" s="1632" t="s">
        <v>1297</v>
      </c>
      <c r="B26" s="133" t="s">
        <v>1298</v>
      </c>
      <c r="C26" s="133" t="s">
        <v>1299</v>
      </c>
      <c r="D26" s="134" t="s">
        <v>1300</v>
      </c>
      <c r="E26" s="120"/>
      <c r="F26" s="120"/>
      <c r="G26" s="120"/>
      <c r="H26" s="120"/>
      <c r="I26" s="120"/>
    </row>
    <row r="27" spans="1:36" ht="14.25">
      <c r="A27" s="1632"/>
      <c r="B27" s="133">
        <v>0</v>
      </c>
      <c r="C27" s="133">
        <v>0</v>
      </c>
      <c r="D27" s="134">
        <f>ROUND(C27*B27/10000,0)</f>
        <v>0</v>
      </c>
      <c r="E27" s="120"/>
      <c r="F27" s="120"/>
      <c r="G27" s="120"/>
      <c r="H27" s="120"/>
      <c r="I27" s="120"/>
    </row>
    <row r="28" spans="1:36" ht="14.25">
      <c r="A28" s="1632"/>
      <c r="B28" s="133"/>
      <c r="C28" s="133"/>
      <c r="D28" s="134"/>
      <c r="E28" s="120"/>
      <c r="F28" s="120"/>
      <c r="G28" s="120"/>
      <c r="H28" s="120"/>
      <c r="I28" s="120"/>
    </row>
    <row r="29" spans="1:36" ht="14.25">
      <c r="A29" s="1632"/>
      <c r="B29" s="133"/>
      <c r="C29" s="133"/>
      <c r="D29" s="134"/>
      <c r="E29" s="120"/>
      <c r="F29" s="120"/>
      <c r="G29" s="120"/>
      <c r="H29" s="120"/>
      <c r="I29" s="120"/>
    </row>
    <row r="30" spans="1:36" ht="15" thickBot="1">
      <c r="A30" s="133" t="s">
        <v>1301</v>
      </c>
      <c r="B30" s="133"/>
      <c r="C30" s="133"/>
      <c r="D30" s="133"/>
      <c r="E30" s="2120" t="s">
        <v>2128</v>
      </c>
      <c r="F30" s="120"/>
      <c r="G30" s="120"/>
      <c r="H30" s="120"/>
      <c r="I30" s="120"/>
    </row>
    <row r="31" spans="1:36" s="2126" customFormat="1" ht="26.45" customHeight="1" thickTop="1" thickBot="1">
      <c r="A31" s="2121"/>
      <c r="B31" s="2122"/>
      <c r="C31" s="2122"/>
      <c r="D31" s="2122"/>
      <c r="E31" s="2122"/>
      <c r="F31" s="2122"/>
      <c r="G31" s="2122"/>
      <c r="H31" s="2122"/>
      <c r="I31" s="2123" t="s">
        <v>2129</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1302</v>
      </c>
      <c r="B32" s="1528"/>
      <c r="C32" s="135">
        <f ca="1">IF(D32="总价",G19-C24,G20-C25)</f>
        <v>15436</v>
      </c>
      <c r="D32" s="1634"/>
      <c r="E32" s="120"/>
      <c r="F32" s="120"/>
      <c r="G32" s="120"/>
      <c r="H32" s="120"/>
      <c r="I32" s="120"/>
    </row>
    <row r="33" spans="1:15" ht="15">
      <c r="A33" s="736" t="s">
        <v>1303</v>
      </c>
      <c r="B33" s="122"/>
      <c r="C33" s="1635"/>
      <c r="D33" s="1636"/>
      <c r="E33" s="1637" t="s">
        <v>1304</v>
      </c>
      <c r="F33" s="1638" t="str">
        <f>IF(D32="楼面单价","取值（单价）","取值（总价）")</f>
        <v>取值（总价）</v>
      </c>
      <c r="G33" s="120"/>
      <c r="H33" s="120"/>
      <c r="I33" s="120"/>
    </row>
    <row r="34" spans="1:15" ht="15">
      <c r="A34" s="1639"/>
      <c r="B34" s="1640" t="s">
        <v>1305</v>
      </c>
      <c r="C34" s="139" t="e">
        <f ca="1">IF(C33="自定义",F34,C32-C35)</f>
        <v>#REF!</v>
      </c>
      <c r="D34" s="804" t="e">
        <f ca="1">IF(C33="自定义",ROUND(C34/C32,3),IF(C33="收益比率",SUMIF(INDIRECT("'"&amp;D33&amp;"'"&amp;"!b:b"),"土地收益比率",INDIRECT("'"&amp;D33&amp;"'"&amp;"!c:c")),SUMIF(INDIRECT("'"&amp;D33&amp;"'"&amp;"!b:b"),"土地成本比率",INDIRECT("'"&amp;D33&amp;"'"&amp;"!c:c"))))</f>
        <v>#REF!</v>
      </c>
      <c r="E34" s="1641" t="s">
        <v>1306</v>
      </c>
      <c r="F34" s="1236"/>
      <c r="G34" s="120"/>
      <c r="H34" s="120"/>
      <c r="I34" s="120"/>
    </row>
    <row r="35" spans="1:15" ht="15.75" thickBot="1">
      <c r="A35" s="1642"/>
      <c r="B35" s="1643" t="s">
        <v>1307</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4" t="s">
        <v>1308</v>
      </c>
      <c r="F35" s="145"/>
      <c r="G35" s="120"/>
      <c r="H35" s="120"/>
      <c r="I35" s="120"/>
    </row>
    <row r="36" spans="1:15" ht="15.75" thickBot="1">
      <c r="A36" s="3319" t="s">
        <v>1309</v>
      </c>
      <c r="B36" s="1645" t="s">
        <v>1310</v>
      </c>
      <c r="C36" s="136"/>
      <c r="D36" s="1646"/>
      <c r="E36" s="1560"/>
      <c r="F36" s="1647"/>
      <c r="G36" s="120"/>
      <c r="H36" s="120"/>
      <c r="I36" s="120"/>
    </row>
    <row r="37" spans="1:15" ht="15.75" thickBot="1">
      <c r="A37" s="3320"/>
      <c r="B37" s="1548" t="s">
        <v>1311</v>
      </c>
      <c r="C37" s="138"/>
      <c r="D37" s="1066"/>
      <c r="E37" s="1066"/>
      <c r="F37" s="1647"/>
      <c r="G37" s="120"/>
      <c r="H37" s="120"/>
      <c r="I37" s="120"/>
    </row>
    <row r="38" spans="1:15" ht="15.75" thickBot="1">
      <c r="A38" s="3321"/>
      <c r="B38" s="1648" t="s">
        <v>1312</v>
      </c>
      <c r="C38" s="639"/>
      <c r="D38" s="1649" t="s">
        <v>1313</v>
      </c>
      <c r="E38" s="1066"/>
      <c r="F38" s="1647"/>
      <c r="G38" s="120"/>
      <c r="H38" s="120"/>
      <c r="I38" s="120"/>
    </row>
    <row r="39" spans="1:15" ht="15">
      <c r="A39" s="1626" t="s">
        <v>1314</v>
      </c>
      <c r="B39" s="1650" t="s">
        <v>1315</v>
      </c>
      <c r="C39" s="1651" t="s">
        <v>1316</v>
      </c>
      <c r="D39" s="1651" t="s">
        <v>1317</v>
      </c>
      <c r="E39" s="1652" t="s">
        <v>1318</v>
      </c>
      <c r="F39" s="1647"/>
      <c r="G39" s="120"/>
      <c r="H39" s="120"/>
      <c r="I39" s="120"/>
    </row>
    <row r="40" spans="1:15" ht="14.25">
      <c r="A40" s="1653" t="s">
        <v>1319</v>
      </c>
      <c r="B40" s="140"/>
      <c r="C40" s="141"/>
      <c r="D40" s="141"/>
      <c r="E40" s="142"/>
      <c r="F40" s="1647"/>
      <c r="G40" s="120"/>
      <c r="H40" s="120"/>
      <c r="I40" s="120"/>
    </row>
    <row r="41" spans="1:15" ht="14.25">
      <c r="A41" s="1653" t="s">
        <v>1320</v>
      </c>
      <c r="B41" s="140"/>
      <c r="C41" s="141"/>
      <c r="D41" s="141"/>
      <c r="E41" s="142"/>
      <c r="F41" s="1647"/>
      <c r="G41" s="120"/>
      <c r="H41" s="120"/>
      <c r="I41" s="120"/>
    </row>
    <row r="42" spans="1:15" ht="15" thickBot="1">
      <c r="A42" s="1654"/>
      <c r="B42" s="143"/>
      <c r="C42" s="144"/>
      <c r="D42" s="144"/>
      <c r="E42" s="145"/>
      <c r="F42" s="1647"/>
      <c r="G42" s="120"/>
      <c r="H42" s="120"/>
      <c r="I42" s="120"/>
    </row>
    <row r="43" spans="1:15" ht="12.75">
      <c r="A43" s="1460"/>
      <c r="B43" s="1460"/>
      <c r="C43" s="1460"/>
      <c r="D43" s="1460"/>
      <c r="E43" s="1460"/>
      <c r="F43" s="1655"/>
      <c r="G43" s="1655"/>
      <c r="H43" s="1655"/>
      <c r="I43" s="1656"/>
    </row>
    <row r="44" spans="1:15" ht="18.75">
      <c r="A44" s="1457" t="s">
        <v>1321</v>
      </c>
      <c r="B44" s="1657"/>
      <c r="C44" s="1657"/>
      <c r="D44" s="1658"/>
      <c r="E44" s="1658"/>
      <c r="F44" s="1659"/>
      <c r="G44" s="1659"/>
      <c r="H44" s="1659"/>
      <c r="I44" s="1659"/>
      <c r="J44" s="1660" t="s">
        <v>1322</v>
      </c>
      <c r="K44" s="4"/>
      <c r="L44" s="4"/>
      <c r="M44" s="4"/>
      <c r="N44" s="4"/>
      <c r="O44" s="4"/>
    </row>
    <row r="45" spans="1:15" ht="14.25" customHeight="1" thickBot="1">
      <c r="A45" s="3296" t="s">
        <v>1323</v>
      </c>
      <c r="B45" s="3297"/>
      <c r="C45" s="3298"/>
      <c r="D45" s="146" t="e">
        <f ca="1">ROUND(H101*F45,0)</f>
        <v>#REF!</v>
      </c>
      <c r="E45" s="147" t="s">
        <v>1324</v>
      </c>
      <c r="F45" s="148">
        <v>1</v>
      </c>
      <c r="G45" s="149" t="s">
        <v>1325</v>
      </c>
      <c r="H45" s="120"/>
      <c r="I45" s="120"/>
      <c r="J45" s="3374" t="s">
        <v>1326</v>
      </c>
      <c r="K45" s="3374"/>
      <c r="L45" s="3374"/>
      <c r="M45" s="3374"/>
      <c r="N45" s="3374"/>
      <c r="O45" s="3374"/>
    </row>
    <row r="46" spans="1:15" ht="14.25" customHeight="1">
      <c r="A46" s="3293" t="s">
        <v>1327</v>
      </c>
      <c r="B46" s="3294"/>
      <c r="C46" s="3294"/>
      <c r="D46" s="3294"/>
      <c r="E46" s="3294"/>
      <c r="F46" s="3294"/>
      <c r="G46" s="3295"/>
      <c r="H46" s="1661"/>
      <c r="I46" s="150"/>
      <c r="J46" s="2303">
        <v>1</v>
      </c>
      <c r="K46" s="3355" t="s">
        <v>1328</v>
      </c>
      <c r="L46" s="3355"/>
      <c r="M46" s="3375"/>
      <c r="N46" s="3375"/>
      <c r="O46" s="3375"/>
    </row>
    <row r="47" spans="1:15" ht="12" customHeight="1">
      <c r="A47" s="151" t="s">
        <v>1329</v>
      </c>
      <c r="B47" s="152"/>
      <c r="C47" s="153"/>
      <c r="D47" s="1019" t="s">
        <v>1330</v>
      </c>
      <c r="E47" s="293" t="s">
        <v>1331</v>
      </c>
      <c r="F47" s="154" t="s">
        <v>1332</v>
      </c>
      <c r="G47" s="2326" t="s">
        <v>1333</v>
      </c>
      <c r="H47" s="2327"/>
      <c r="I47" s="150"/>
      <c r="J47" s="2303">
        <v>2</v>
      </c>
      <c r="K47" s="3355" t="s">
        <v>1334</v>
      </c>
      <c r="L47" s="3355"/>
      <c r="M47" s="3376">
        <f>'数据-取费表'!B2</f>
        <v>45492</v>
      </c>
      <c r="N47" s="3376"/>
      <c r="O47" s="3376"/>
    </row>
    <row r="48" spans="1:15" ht="25.5">
      <c r="A48" s="3324" t="s">
        <v>1335</v>
      </c>
      <c r="B48" s="3307"/>
      <c r="C48" s="3307"/>
      <c r="D48" s="12" t="b">
        <f>IF(H48="情况1",0,IF(H48="情况2",D52,IF(H48="情况3",D53,IF(H48="情况4",D54))))</f>
        <v>0</v>
      </c>
      <c r="E48" s="1249" t="str">
        <f>IF(H48="情况4","(销售额-原购置价)×税（费）率","销售额×税（费）率")</f>
        <v>销售额×税（费）率</v>
      </c>
      <c r="F48" s="2328">
        <f>IF(H48="情况1","免征",'数据-取费表'!B41)</f>
        <v>5.5000000000000007E-2</v>
      </c>
      <c r="G48" s="2329" t="s">
        <v>1336</v>
      </c>
      <c r="H48" s="2330"/>
      <c r="I48" s="1661"/>
      <c r="J48" s="2303">
        <v>3</v>
      </c>
      <c r="K48" s="3355" t="s">
        <v>1337</v>
      </c>
      <c r="L48" s="3355"/>
      <c r="M48" s="3377" t="e">
        <f ca="1">H101</f>
        <v>#REF!</v>
      </c>
      <c r="N48" s="3377"/>
      <c r="O48" s="3377"/>
    </row>
    <row r="49" spans="1:35" ht="25.5" customHeight="1">
      <c r="A49" s="2145" t="s">
        <v>1338</v>
      </c>
      <c r="B49" s="3291" t="s">
        <v>1339</v>
      </c>
      <c r="C49" s="3291"/>
      <c r="D49" s="1471">
        <v>0</v>
      </c>
      <c r="E49" s="315" t="s">
        <v>1340</v>
      </c>
      <c r="F49" s="2226" t="s">
        <v>28</v>
      </c>
      <c r="G49" s="3361"/>
      <c r="H49" s="2127" t="s">
        <v>2130</v>
      </c>
      <c r="I49" s="2128"/>
      <c r="J49" s="2303">
        <v>4</v>
      </c>
      <c r="K49" s="3355" t="str">
        <f>IF(项目基本情况!E8="房地产抵押价值","房地产抵押价值","抵押担保权已注销时的房地产抵押价值")</f>
        <v>房地产抵押价值</v>
      </c>
      <c r="L49" s="3355"/>
      <c r="M49" s="3377" t="str">
        <f ca="1">IF(项目基本情况!E8="房地产抵押价值",H107,H109)</f>
        <v>——</v>
      </c>
      <c r="N49" s="3377"/>
      <c r="O49" s="3377"/>
    </row>
    <row r="50" spans="1:35" ht="25.5" customHeight="1">
      <c r="A50" s="2331"/>
      <c r="B50" s="3291" t="s">
        <v>1341</v>
      </c>
      <c r="C50" s="3291"/>
      <c r="D50" s="2182"/>
      <c r="E50" s="322"/>
      <c r="F50" s="2226"/>
      <c r="G50" s="3362"/>
      <c r="H50" s="2129" t="s">
        <v>2131</v>
      </c>
      <c r="I50" s="2128"/>
      <c r="J50" s="3374" t="s">
        <v>1342</v>
      </c>
      <c r="K50" s="3374"/>
      <c r="L50" s="3374"/>
      <c r="M50" s="3374"/>
      <c r="N50" s="3374"/>
      <c r="O50" s="3374"/>
    </row>
    <row r="51" spans="1:35" ht="20.45" customHeight="1">
      <c r="A51" s="2332"/>
      <c r="B51" s="3291" t="s">
        <v>1343</v>
      </c>
      <c r="C51" s="3291"/>
      <c r="D51" s="1019"/>
      <c r="E51" s="318"/>
      <c r="F51" s="2226"/>
      <c r="G51" s="3363"/>
      <c r="H51" s="2129" t="s">
        <v>2132</v>
      </c>
      <c r="I51" s="2128"/>
      <c r="J51" s="2304" t="s">
        <v>1344</v>
      </c>
      <c r="K51" s="3355" t="s">
        <v>1345</v>
      </c>
      <c r="L51" s="3355"/>
      <c r="M51" s="2304" t="s">
        <v>1346</v>
      </c>
      <c r="N51" s="2304" t="s">
        <v>1347</v>
      </c>
      <c r="O51" s="2304" t="s">
        <v>1348</v>
      </c>
    </row>
    <row r="52" spans="1:35" ht="24" customHeight="1">
      <c r="A52" s="2146" t="s">
        <v>1349</v>
      </c>
      <c r="B52" s="3291" t="s">
        <v>1350</v>
      </c>
      <c r="C52" s="3291"/>
      <c r="D52" s="1019" t="e">
        <f ca="1">ROUND(D45*'数据-取费表'!B41/(1+'数据-取费表'!C42),0)</f>
        <v>#REF!</v>
      </c>
      <c r="E52" s="1249" t="s">
        <v>1351</v>
      </c>
      <c r="F52" s="2333">
        <f>'数据-取费表'!B41</f>
        <v>5.5000000000000007E-2</v>
      </c>
      <c r="G52" s="2334"/>
      <c r="H52" s="2324"/>
      <c r="I52" s="1662"/>
      <c r="J52" s="2303">
        <v>1</v>
      </c>
      <c r="K52" s="3356" t="s">
        <v>1352</v>
      </c>
      <c r="L52" s="3356"/>
      <c r="M52" s="2305" t="b">
        <f>D48</f>
        <v>0</v>
      </c>
      <c r="N52" s="2303" t="str">
        <f>E48</f>
        <v>销售额×税（费）率</v>
      </c>
      <c r="O52" s="2306">
        <f>F48</f>
        <v>5.5000000000000007E-2</v>
      </c>
    </row>
    <row r="53" spans="1:35" ht="12" customHeight="1">
      <c r="A53" s="2146" t="s">
        <v>1353</v>
      </c>
      <c r="B53" s="3317" t="s">
        <v>2278</v>
      </c>
      <c r="C53" s="3318"/>
      <c r="D53" s="1019" t="e">
        <f ca="1">ROUND(D45*'数据-取费表'!B41/(1+'数据-取费表'!C42),0)</f>
        <v>#REF!</v>
      </c>
      <c r="E53" s="1249" t="s">
        <v>1351</v>
      </c>
      <c r="F53" s="2333">
        <f>'数据-取费表'!B41</f>
        <v>5.5000000000000007E-2</v>
      </c>
      <c r="G53" s="2334"/>
      <c r="H53" s="2324"/>
      <c r="I53" s="1662"/>
      <c r="J53" s="2303">
        <v>2</v>
      </c>
      <c r="K53" s="3356" t="s">
        <v>1354</v>
      </c>
      <c r="L53" s="3356"/>
      <c r="M53" s="2305" t="e">
        <f t="shared" ref="M53:O54" ca="1" si="0">D55</f>
        <v>#REF!</v>
      </c>
      <c r="N53" s="2303" t="str">
        <f t="shared" si="0"/>
        <v>销售额×税（费）率</v>
      </c>
      <c r="O53" s="2306" t="str">
        <f t="shared" si="0"/>
        <v>免征</v>
      </c>
    </row>
    <row r="54" spans="1:35" ht="12" customHeight="1">
      <c r="A54" s="2146" t="s">
        <v>1355</v>
      </c>
      <c r="B54" s="3317" t="s">
        <v>2279</v>
      </c>
      <c r="C54" s="3318"/>
      <c r="D54" s="1019" t="e">
        <f ca="1">C68</f>
        <v>#REF!</v>
      </c>
      <c r="E54" s="318" t="s">
        <v>1356</v>
      </c>
      <c r="F54" s="2333">
        <f>'数据-取费表'!B41</f>
        <v>5.5000000000000007E-2</v>
      </c>
      <c r="G54" s="2334"/>
      <c r="H54" s="2335"/>
      <c r="I54" s="1662"/>
      <c r="J54" s="2303">
        <v>3</v>
      </c>
      <c r="K54" s="3356" t="s">
        <v>1357</v>
      </c>
      <c r="L54" s="3356"/>
      <c r="M54" s="2305" t="e">
        <f t="shared" ca="1" si="0"/>
        <v>#REF!</v>
      </c>
      <c r="N54" s="2303" t="str">
        <f t="shared" si="0"/>
        <v>增值额×税（费）率</v>
      </c>
      <c r="O54" s="2307" t="str">
        <f t="shared" si="0"/>
        <v>免征</v>
      </c>
    </row>
    <row r="55" spans="1:35" ht="24" customHeight="1">
      <c r="A55" s="3306" t="s">
        <v>1358</v>
      </c>
      <c r="B55" s="3307"/>
      <c r="C55" s="3307"/>
      <c r="D55" s="12" t="e">
        <f ca="1">IF(H55="个人住宅",0,ROUND(D45*I55,0))</f>
        <v>#REF!</v>
      </c>
      <c r="E55" s="1249" t="s">
        <v>1359</v>
      </c>
      <c r="F55" s="2333" t="str">
        <f>IF(H55="正常",I55,"免征")</f>
        <v>免征</v>
      </c>
      <c r="G55" s="2334"/>
      <c r="H55" s="2330"/>
      <c r="I55" s="156">
        <f>'数据-取费表'!B49</f>
        <v>5.0000000000000001E-4</v>
      </c>
      <c r="J55" s="2303">
        <f>IF(H59="非个人房产","",4)</f>
        <v>4</v>
      </c>
      <c r="K55" s="3356" t="str">
        <f>IF(H59="非个人房产","——","个人所得税")</f>
        <v>个人所得税</v>
      </c>
      <c r="L55" s="3356"/>
      <c r="M55" s="2308" t="e">
        <f ca="1">D59</f>
        <v>#REF!</v>
      </c>
      <c r="N55" s="1876" t="str">
        <f>E59</f>
        <v>差额计税</v>
      </c>
      <c r="O55" s="2309">
        <f>F59</f>
        <v>0.01</v>
      </c>
    </row>
    <row r="56" spans="1:35" ht="24.75">
      <c r="A56" s="3306" t="s">
        <v>1360</v>
      </c>
      <c r="B56" s="3307"/>
      <c r="C56" s="3307"/>
      <c r="D56" s="12" t="e">
        <f ca="1">IF(H56="个人住宅",D57,D58)</f>
        <v>#REF!</v>
      </c>
      <c r="E56" s="1249" t="s">
        <v>1361</v>
      </c>
      <c r="F56" s="2333" t="str">
        <f>IF(H56="正常",F58,"免征")</f>
        <v>免征</v>
      </c>
      <c r="G56" s="2336" t="s">
        <v>1362</v>
      </c>
      <c r="H56" s="2337"/>
      <c r="I56" s="1663"/>
      <c r="J56" s="2303" t="str">
        <f>IF(项目基本情况!K6="上海银行",IF(J55="",4,J55+1),"")</f>
        <v/>
      </c>
      <c r="K56" s="3379" t="str">
        <f>IF(项目基本情况!K6="上海银行","其他处置费用","")</f>
        <v/>
      </c>
      <c r="L56" s="3380"/>
      <c r="M56" s="2305" t="str">
        <f>IF(项目基本情况!K6="上海银行",M69,"")</f>
        <v/>
      </c>
      <c r="N56" s="3379" t="str">
        <f>IF(项目基本情况!K6="上海银行","包含处置中涉及的律师、诉讼、拍卖、评估等费用","")</f>
        <v/>
      </c>
      <c r="O56" s="3382"/>
    </row>
    <row r="57" spans="1:35" ht="12.75">
      <c r="A57" s="2146" t="s">
        <v>1338</v>
      </c>
      <c r="B57" s="3317" t="s">
        <v>1363</v>
      </c>
      <c r="C57" s="3318"/>
      <c r="D57" s="1471">
        <v>0</v>
      </c>
      <c r="E57" s="315" t="s">
        <v>1340</v>
      </c>
      <c r="F57" s="293"/>
      <c r="G57" s="2334"/>
      <c r="H57" s="2338"/>
      <c r="I57" s="1663"/>
      <c r="J57" s="3356">
        <f>IF(AND(J55="",J56=""),4,IF(项目基本情况!K6="上海银行",结果表!J56+1,结果表!J55+1))</f>
        <v>5</v>
      </c>
      <c r="K57" s="3356" t="s">
        <v>1364</v>
      </c>
      <c r="L57" s="2310" t="s">
        <v>1365</v>
      </c>
      <c r="M57" s="2311"/>
      <c r="N57" s="2312">
        <f ca="1">SUMIF(M52:M56,"&lt;9e307")</f>
        <v>0</v>
      </c>
      <c r="O57" s="2313"/>
      <c r="P57" s="2458" t="e">
        <f ca="1">N57/M49</f>
        <v>#VALUE!</v>
      </c>
    </row>
    <row r="58" spans="1:35" ht="24.75">
      <c r="A58" s="2146" t="s">
        <v>1349</v>
      </c>
      <c r="B58" s="3317" t="s">
        <v>1366</v>
      </c>
      <c r="C58" s="3291"/>
      <c r="D58" s="12" t="e">
        <f ca="1">IF(H58="转让取得",C81,C97)</f>
        <v>#REF!</v>
      </c>
      <c r="E58" s="1249" t="s">
        <v>1361</v>
      </c>
      <c r="F58" s="293" t="s">
        <v>28</v>
      </c>
      <c r="G58" s="2334"/>
      <c r="H58" s="2337"/>
      <c r="I58" s="1663"/>
      <c r="J58" s="3356"/>
      <c r="K58" s="3356"/>
      <c r="L58" s="2310" t="s">
        <v>1367</v>
      </c>
      <c r="M58" s="2314"/>
      <c r="N58" s="2315" t="str">
        <f ca="1">NUMBERSTRING(INT(N57*10000),2)&amp;"元整"</f>
        <v>零元整</v>
      </c>
      <c r="O58" s="2316"/>
    </row>
    <row r="59" spans="1:35" ht="24.75" thickBot="1">
      <c r="A59" s="3359" t="s">
        <v>1368</v>
      </c>
      <c r="B59" s="3360"/>
      <c r="C59" s="3360"/>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1362</v>
      </c>
      <c r="H59" s="2131"/>
      <c r="I59" s="2130" t="s">
        <v>2133</v>
      </c>
      <c r="J59" s="3357">
        <f>J57+1</f>
        <v>6</v>
      </c>
      <c r="K59" s="3356" t="s">
        <v>1369</v>
      </c>
      <c r="L59" s="2303" t="s">
        <v>1365</v>
      </c>
      <c r="M59" s="2317"/>
      <c r="N59" s="2318" t="e">
        <f ca="1">M49-N57</f>
        <v>#VALUE!</v>
      </c>
      <c r="O59" s="2319"/>
    </row>
    <row r="60" spans="1:35" ht="12" customHeight="1">
      <c r="A60" s="1664"/>
      <c r="B60" s="644"/>
      <c r="C60" s="644"/>
      <c r="D60" s="644"/>
      <c r="E60" s="1459"/>
      <c r="F60" s="1663"/>
      <c r="G60" s="1663"/>
      <c r="H60" s="150"/>
      <c r="I60" s="120"/>
      <c r="J60" s="3358"/>
      <c r="K60" s="3356"/>
      <c r="L60" s="2310" t="s">
        <v>1367</v>
      </c>
      <c r="M60" s="2314"/>
      <c r="N60" s="2315" t="e">
        <f ca="1">NUMBERSTRING(INT(N59*10000),2)&amp;"元整"</f>
        <v>#VALUE!</v>
      </c>
      <c r="O60" s="2316"/>
    </row>
    <row r="61" spans="1:35" ht="13.5" thickBot="1">
      <c r="A61" s="3304" t="s">
        <v>1370</v>
      </c>
      <c r="B61" s="3304"/>
      <c r="C61" s="3304"/>
      <c r="D61" s="3304"/>
      <c r="E61" s="3304"/>
      <c r="F61" s="1663"/>
      <c r="G61" s="1663"/>
      <c r="H61" s="150"/>
      <c r="I61" s="120"/>
      <c r="J61" s="2303">
        <f>J59+1</f>
        <v>7</v>
      </c>
      <c r="K61" s="3356" t="s">
        <v>1371</v>
      </c>
      <c r="L61" s="3356"/>
      <c r="M61" s="2320"/>
      <c r="N61" s="2321" t="e">
        <f ca="1">ROUND(N59*10000/'数据-汇总表'!E3,0)</f>
        <v>#VALUE!</v>
      </c>
      <c r="O61" s="2322"/>
    </row>
    <row r="62" spans="1:35" ht="12.75">
      <c r="A62" s="3322" t="s">
        <v>1372</v>
      </c>
      <c r="B62" s="3323"/>
      <c r="C62" s="1858"/>
      <c r="D62" s="1858" t="s">
        <v>1373</v>
      </c>
      <c r="E62" s="157" t="s">
        <v>1374</v>
      </c>
      <c r="F62" s="1663"/>
      <c r="G62" s="1663"/>
      <c r="H62" s="150"/>
      <c r="I62" s="120"/>
    </row>
    <row r="63" spans="1:35" ht="12.75">
      <c r="A63" s="164" t="s">
        <v>330</v>
      </c>
      <c r="B63" s="158" t="s">
        <v>1375</v>
      </c>
      <c r="C63" s="2343" t="e">
        <f ca="1">ROUND((C64+C65)/(1+'数据-取费表'!C42),0)</f>
        <v>#REF!</v>
      </c>
      <c r="D63" s="158"/>
      <c r="E63" s="159"/>
      <c r="F63" s="1663"/>
      <c r="G63" s="1663"/>
      <c r="H63" s="150"/>
      <c r="I63" s="120"/>
      <c r="J63" s="3381" t="s">
        <v>1376</v>
      </c>
      <c r="K63" s="1238" t="s">
        <v>1377</v>
      </c>
      <c r="L63" s="1238" t="e">
        <f ca="1">IF(M49&gt;10000,M49*0.5%,IF(AND(M49&gt;1000,M49&lt;=10000),M49*1%,IF(AND(M49&gt;100,M49&lt;=1000),M49*3%,IF(AND(M49&gt;10,M49&lt;=100),M49*5%,M49*8%))))</f>
        <v>#VALUE!</v>
      </c>
      <c r="M63" s="293" t="e">
        <f ca="1">ROUND(L63,1)</f>
        <v>#VALUE!</v>
      </c>
      <c r="N63" s="2323"/>
      <c r="Z63" s="1616"/>
      <c r="AI63" s="1554"/>
    </row>
    <row r="64" spans="1:35" ht="14.25" customHeight="1">
      <c r="A64" s="160" t="s">
        <v>325</v>
      </c>
      <c r="B64" s="161" t="s">
        <v>1378</v>
      </c>
      <c r="C64" s="2344" t="e">
        <f ca="1">D45</f>
        <v>#REF!</v>
      </c>
      <c r="D64" s="161" t="s">
        <v>26</v>
      </c>
      <c r="E64" s="163"/>
      <c r="F64" s="1663"/>
      <c r="G64" s="1663"/>
      <c r="H64" s="150"/>
      <c r="I64" s="120"/>
      <c r="J64" s="3381"/>
      <c r="K64" s="1238" t="s">
        <v>1379</v>
      </c>
      <c r="L64" s="1238" t="e">
        <f ca="1">IF(M49&gt;2000,M49*0.5%,IF(AND(M49&gt;1000,M49&lt;=2000),M49*0.6%,IF(AND(M49&gt;500,M49&lt;=1000),M49*0.7%,IF(AND(M49&gt;200,M49&lt;=500),M49*0.8%,IF(AND(M49&gt;100,M49&lt;=200),M49*0.9%,IF(AND(M49&gt;50,M49&lt;=100),M49*1%,IF(AND(M49&gt;20,M49&lt;=50),M49*1.5%,IF(AND(M49&gt;10,M49&lt;=20),M49*2%,IF(AND(M49&gt;1,M49&lt;=10),M49*2.5%)))))))))</f>
        <v>#VALUE!</v>
      </c>
      <c r="M64" s="293" t="e">
        <f t="shared" ref="M64:M65" ca="1" si="1">ROUND(L64,1)</f>
        <v>#VALUE!</v>
      </c>
      <c r="N64" s="2324" t="s">
        <v>1380</v>
      </c>
      <c r="Z64" s="1616"/>
      <c r="AI64" s="1554"/>
    </row>
    <row r="65" spans="1:35" ht="14.25" customHeight="1">
      <c r="A65" s="160" t="s">
        <v>326</v>
      </c>
      <c r="B65" s="161" t="s">
        <v>1381</v>
      </c>
      <c r="C65" s="2345"/>
      <c r="D65" s="161"/>
      <c r="E65" s="163"/>
      <c r="F65" s="1663"/>
      <c r="G65" s="1663"/>
      <c r="H65" s="150"/>
      <c r="I65" s="120"/>
      <c r="J65" s="3381"/>
      <c r="K65" s="1238" t="s">
        <v>1382</v>
      </c>
      <c r="L65" s="1238" t="e">
        <f ca="1">IF(M49&gt;1000,M49*0.1%,IF(AND(M49&gt;500,M49&lt;=1000),M49*0.5%,IF(AND(M49&gt;50,M49&lt;=500),M49*1%,IF(AND(M49&gt;1,M49&lt;=50),M49*1.5%))))</f>
        <v>#VALUE!</v>
      </c>
      <c r="M65" s="293" t="e">
        <f t="shared" ca="1" si="1"/>
        <v>#VALUE!</v>
      </c>
      <c r="N65" s="2324" t="s">
        <v>1380</v>
      </c>
      <c r="Z65" s="1616"/>
      <c r="AI65" s="1554"/>
    </row>
    <row r="66" spans="1:35" ht="14.25" customHeight="1">
      <c r="A66" s="164" t="s">
        <v>327</v>
      </c>
      <c r="B66" s="165" t="s">
        <v>1383</v>
      </c>
      <c r="C66" s="2346"/>
      <c r="D66" s="165" t="s">
        <v>26</v>
      </c>
      <c r="E66" s="1244" t="s">
        <v>668</v>
      </c>
      <c r="F66" s="1663"/>
      <c r="G66" s="1663"/>
      <c r="H66" s="150"/>
      <c r="I66" s="120"/>
      <c r="J66" s="3381"/>
      <c r="K66" s="1238" t="s">
        <v>1384</v>
      </c>
      <c r="L66" s="1238" t="e">
        <f ca="1">M49*0.5%</f>
        <v>#VALUE!</v>
      </c>
      <c r="M66" s="293" t="e">
        <f ca="1">IF(L66&gt;0.5,0.5,ROUND(L66,0))</f>
        <v>#VALUE!</v>
      </c>
      <c r="N66" s="2324" t="s">
        <v>1385</v>
      </c>
      <c r="Z66" s="1616"/>
      <c r="AI66" s="1554"/>
    </row>
    <row r="67" spans="1:35" ht="14.25" customHeight="1">
      <c r="A67" s="164" t="s">
        <v>328</v>
      </c>
      <c r="B67" s="165" t="s">
        <v>1386</v>
      </c>
      <c r="C67" s="2347" t="e">
        <f ca="1">C63-C66</f>
        <v>#REF!</v>
      </c>
      <c r="D67" s="161" t="s">
        <v>26</v>
      </c>
      <c r="E67" s="163"/>
      <c r="F67" s="1663"/>
      <c r="G67" s="1663"/>
      <c r="H67" s="150"/>
      <c r="I67" s="120"/>
      <c r="J67" s="3381"/>
      <c r="K67" s="1238" t="s">
        <v>1387</v>
      </c>
      <c r="L67" s="1238" t="e">
        <f ca="1">IF(M49&gt;=10000,(8.25+(M49-10000)*0.01%),IF(AND(M49&gt;=8000,M49&lt;10000),(7.85+(M49-8000)*0.02%),IF(AND(M49&gt;=5000,M49&lt;8000),(6.65+(M49-5000)*0.04%),IF(AND(M49&gt;=2000,M49&lt;5000),(4.25+(PM49-2000)*0.08%),IF(AND(M49&gt;=1000,M49&lt;2000),(2.75+(M49-1000)*0.15%),IF(AND(M49&gt;=100,M49&lt;1000),(0.5+(M49-100)*0.25%),IF(AND(M49&gt;0,M49&lt;100),M49*0.5%)))))))</f>
        <v>#VALUE!</v>
      </c>
      <c r="M67" s="293" t="e">
        <f ca="1">ROUND(L67*0.9,1)</f>
        <v>#VALUE!</v>
      </c>
      <c r="N67" s="2323"/>
      <c r="Z67" s="1616"/>
      <c r="AI67" s="1554"/>
    </row>
    <row r="68" spans="1:35" ht="14.25" customHeight="1" thickBot="1">
      <c r="A68" s="167" t="s">
        <v>329</v>
      </c>
      <c r="B68" s="168" t="s">
        <v>1388</v>
      </c>
      <c r="C68" s="2348" t="e">
        <f ca="1">IF(C67&lt;=0,0,ROUND(C67*D68,0))</f>
        <v>#REF!</v>
      </c>
      <c r="D68" s="2349">
        <f>'数据-取费表'!B41</f>
        <v>5.5000000000000007E-2</v>
      </c>
      <c r="E68" s="169"/>
      <c r="F68" s="1663"/>
      <c r="G68" s="1663"/>
      <c r="H68" s="150"/>
      <c r="I68" s="120"/>
      <c r="J68" s="3381"/>
      <c r="K68" s="1238" t="s">
        <v>1389</v>
      </c>
      <c r="L68" s="1238" t="e">
        <f ca="1">IF(M49&gt;10000,M49*0.5%,IF(AND(M49&gt;5000,M49&lt;=10000),M49*1%,IF(AND(M49&gt;1000,M49&lt;=5000),M49*2%,IF(AND(M49&gt;200,M49&lt;=1000),M49*3%,M49*5%))))</f>
        <v>#VALUE!</v>
      </c>
      <c r="M68" s="293" t="e">
        <f ca="1">ROUND(L68,1)</f>
        <v>#VALUE!</v>
      </c>
      <c r="N68" s="2323"/>
      <c r="Z68" s="1616"/>
      <c r="AI68" s="1554"/>
    </row>
    <row r="69" spans="1:35" ht="16.5" customHeight="1">
      <c r="A69" s="1665"/>
      <c r="B69" s="1666"/>
      <c r="C69" s="1667"/>
      <c r="D69" s="1668"/>
      <c r="E69" s="1669"/>
      <c r="F69" s="1459"/>
      <c r="G69" s="1459"/>
      <c r="H69" s="1460"/>
      <c r="I69" s="644"/>
      <c r="J69" s="3381"/>
      <c r="K69" s="1238" t="s">
        <v>1390</v>
      </c>
      <c r="L69" s="1238"/>
      <c r="M69" s="293" t="e">
        <f ca="1">ROUND(SUM(M63:M68),0)</f>
        <v>#VALUE!</v>
      </c>
      <c r="N69" s="2325" t="e">
        <f ca="1">M69/M49</f>
        <v>#VALUE!</v>
      </c>
      <c r="Z69" s="1616"/>
      <c r="AI69" s="1554"/>
    </row>
    <row r="70" spans="1:35" s="640" customFormat="1" ht="15" thickBot="1">
      <c r="A70" s="3343" t="s">
        <v>1391</v>
      </c>
      <c r="B70" s="3344"/>
      <c r="C70" s="3344"/>
      <c r="D70" s="3344"/>
      <c r="E70" s="3344"/>
      <c r="F70" s="3344"/>
      <c r="G70" s="3344"/>
      <c r="H70" s="3344"/>
      <c r="I70" s="1670"/>
      <c r="J70" s="458"/>
      <c r="K70" s="458"/>
      <c r="L70" s="458"/>
      <c r="M70" s="458"/>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22" t="s">
        <v>1372</v>
      </c>
      <c r="B71" s="3323"/>
      <c r="C71" s="1858"/>
      <c r="D71" s="1858" t="s">
        <v>1373</v>
      </c>
      <c r="E71" s="170" t="s">
        <v>1374</v>
      </c>
      <c r="F71" s="171"/>
      <c r="G71" s="171"/>
      <c r="H71" s="172"/>
      <c r="I71" s="1673"/>
      <c r="J71" s="458"/>
      <c r="K71" s="458"/>
      <c r="L71" s="458"/>
      <c r="M71" s="458"/>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4" t="s">
        <v>330</v>
      </c>
      <c r="B72" s="165" t="s">
        <v>1392</v>
      </c>
      <c r="C72" s="2347" t="e">
        <f ca="1">ROUND(D45/(1+'数据-取费表'!C42),0)</f>
        <v>#REF!</v>
      </c>
      <c r="D72" s="161" t="s">
        <v>26</v>
      </c>
      <c r="E72" s="1250"/>
      <c r="F72" s="1248"/>
      <c r="G72" s="1248"/>
      <c r="H72" s="173"/>
      <c r="I72" s="1673"/>
      <c r="J72" s="458"/>
      <c r="K72" s="458"/>
      <c r="L72" s="458"/>
      <c r="M72" s="458"/>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4" t="s">
        <v>327</v>
      </c>
      <c r="B73" s="154" t="s">
        <v>1393</v>
      </c>
      <c r="C73" s="2347" t="e">
        <f ca="1">C74+C78</f>
        <v>#REF!</v>
      </c>
      <c r="D73" s="161" t="s">
        <v>26</v>
      </c>
      <c r="E73" s="1250"/>
      <c r="F73" s="1248"/>
      <c r="G73" s="1248"/>
      <c r="H73" s="173"/>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0" t="s">
        <v>325</v>
      </c>
      <c r="B74" s="161" t="s">
        <v>1394</v>
      </c>
      <c r="C74" s="161">
        <f>ROUND(IF(G77="2016年5月1日后购买",C75/(1+'数据-取费表'!C42)+C76+C77,C75+C76+C77),0)</f>
        <v>0</v>
      </c>
      <c r="D74" s="161" t="s">
        <v>26</v>
      </c>
      <c r="E74" s="1250"/>
      <c r="F74" s="1248"/>
      <c r="G74" s="1248"/>
      <c r="H74" s="173"/>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0" t="s">
        <v>331</v>
      </c>
      <c r="B75" s="161" t="s">
        <v>1395</v>
      </c>
      <c r="C75" s="2350"/>
      <c r="D75" s="161" t="s">
        <v>26</v>
      </c>
      <c r="E75" s="175" t="s">
        <v>1396</v>
      </c>
      <c r="F75" s="2351"/>
      <c r="G75" s="175" t="s">
        <v>1397</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0" t="s">
        <v>332</v>
      </c>
      <c r="B76" s="176" t="s">
        <v>1398</v>
      </c>
      <c r="C76" s="161">
        <f>IF(F75="购房发票",ROUND(C75*H75*D76,0),0)</f>
        <v>0</v>
      </c>
      <c r="D76" s="2353">
        <v>0.05</v>
      </c>
      <c r="E76" s="3317" t="s">
        <v>1399</v>
      </c>
      <c r="F76" s="3291"/>
      <c r="G76" s="3291"/>
      <c r="H76" s="3342"/>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0" t="s">
        <v>333</v>
      </c>
      <c r="B77" s="161" t="s">
        <v>1400</v>
      </c>
      <c r="C77" s="161">
        <f>ROUND(IF(G77="个人住宅",0,IF(G77="2016年5月1日前购买",C75*D77,C75*D77/(1+'数据-取费表'!C42))),0)</f>
        <v>0</v>
      </c>
      <c r="D77" s="2354">
        <f>'数据-取费表'!B48+'数据-取费表'!B49</f>
        <v>3.0499999999999999E-2</v>
      </c>
      <c r="E77" s="12" t="s">
        <v>1401</v>
      </c>
      <c r="F77" s="177"/>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0" t="s">
        <v>326</v>
      </c>
      <c r="B78" s="161" t="s">
        <v>1402</v>
      </c>
      <c r="C78" s="2355" t="e">
        <f ca="1">ROUND(D45*D78/(1+'数据-取费表'!C42),0)</f>
        <v>#REF!</v>
      </c>
      <c r="D78" s="2356">
        <f>'数据-取费表'!B43</f>
        <v>5.000000000000001E-3</v>
      </c>
      <c r="E78" s="3301" t="s">
        <v>1403</v>
      </c>
      <c r="F78" s="3302"/>
      <c r="G78" s="3302"/>
      <c r="H78" s="3311"/>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4" t="s">
        <v>334</v>
      </c>
      <c r="B79" s="165" t="s">
        <v>1404</v>
      </c>
      <c r="C79" s="2347" t="e">
        <f ca="1">C72-C73</f>
        <v>#REF!</v>
      </c>
      <c r="D79" s="161" t="s">
        <v>26</v>
      </c>
      <c r="E79" s="1250"/>
      <c r="F79" s="1248"/>
      <c r="G79" s="1248"/>
      <c r="H79" s="173"/>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4" t="s">
        <v>335</v>
      </c>
      <c r="B80" s="165" t="s">
        <v>1405</v>
      </c>
      <c r="C80" s="2357"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8"/>
      <c r="G80" s="1248"/>
      <c r="H80" s="173"/>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7" t="s">
        <v>336</v>
      </c>
      <c r="B81" s="168" t="s">
        <v>1406</v>
      </c>
      <c r="C81" s="2358" t="e">
        <f ca="1">ROUND(IF(C79&lt;=0,0,IF(C80&gt;=200%,C79*60%-C73*35%,IF(C80&gt;=100%,C79*50%-C73*15%,IF(C80&gt;=50%,C79*40%-C73*5%,IF(C80&lt;50%,C79*30%,0))))),0)</f>
        <v>#REF!</v>
      </c>
      <c r="D81" s="235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43" t="s">
        <v>1407</v>
      </c>
      <c r="B83" s="3344"/>
      <c r="C83" s="3344"/>
      <c r="D83" s="3344"/>
      <c r="E83" s="3344"/>
      <c r="F83" s="3344"/>
      <c r="G83" s="3344"/>
      <c r="H83" s="3344"/>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22" t="s">
        <v>1372</v>
      </c>
      <c r="B84" s="3323"/>
      <c r="C84" s="1858"/>
      <c r="D84" s="1858" t="s">
        <v>1373</v>
      </c>
      <c r="E84" s="170" t="s">
        <v>1374</v>
      </c>
      <c r="F84" s="171"/>
      <c r="G84" s="171"/>
      <c r="H84" s="182"/>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4" t="s">
        <v>330</v>
      </c>
      <c r="B85" s="165" t="s">
        <v>1392</v>
      </c>
      <c r="C85" s="2347" t="e">
        <f ca="1">ROUND(D45/(1+'数据-取费表'!C42),0)</f>
        <v>#REF!</v>
      </c>
      <c r="D85" s="161" t="s">
        <v>26</v>
      </c>
      <c r="E85" s="1250"/>
      <c r="F85" s="1248"/>
      <c r="G85" s="1248"/>
      <c r="H85" s="183"/>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4" t="s">
        <v>327</v>
      </c>
      <c r="B86" s="154" t="s">
        <v>1393</v>
      </c>
      <c r="C86" s="2347" t="e">
        <f ca="1">IF(H88="仅含出让金",C87+C90+C91+C92+C93+C94,C87+C91+C92+C93+C94)</f>
        <v>#REF!</v>
      </c>
      <c r="D86" s="2360"/>
      <c r="E86" s="1250"/>
      <c r="F86" s="1248"/>
      <c r="G86" s="1248"/>
      <c r="H86" s="183"/>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0" t="s">
        <v>325</v>
      </c>
      <c r="B87" s="161" t="s">
        <v>1408</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0" t="s">
        <v>331</v>
      </c>
      <c r="B88" s="161" t="s">
        <v>1409</v>
      </c>
      <c r="C88" s="2361"/>
      <c r="D88" s="2356"/>
      <c r="E88" s="184" t="s">
        <v>1410</v>
      </c>
      <c r="F88" s="2141"/>
      <c r="G88" s="185" t="s">
        <v>1411</v>
      </c>
      <c r="H88" s="1677"/>
      <c r="I88" s="1674"/>
      <c r="J88" s="2301" t="s">
        <v>2275</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0" t="s">
        <v>332</v>
      </c>
      <c r="B89" s="161" t="s">
        <v>1400</v>
      </c>
      <c r="C89" s="2355">
        <f>ROUND(C88*D89,0)</f>
        <v>0</v>
      </c>
      <c r="D89" s="2356">
        <f>'数据-取费表'!B48+'数据-取费表'!B49</f>
        <v>3.0499999999999999E-2</v>
      </c>
      <c r="E89" s="184" t="s">
        <v>1412</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0" t="s">
        <v>326</v>
      </c>
      <c r="B90" s="161" t="s">
        <v>1413</v>
      </c>
      <c r="C90" s="2361"/>
      <c r="D90" s="2356"/>
      <c r="E90" s="184" t="str">
        <f>IF(H88="-","土地取得成本中已包含该笔费用"," ")</f>
        <v xml:space="preserve"> </v>
      </c>
      <c r="F90" s="2141"/>
      <c r="G90" s="3383" t="s">
        <v>2125</v>
      </c>
      <c r="H90" s="3384"/>
      <c r="I90" s="1674"/>
      <c r="J90" s="2301" t="s">
        <v>2276</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0" t="s">
        <v>1414</v>
      </c>
      <c r="B91" s="161" t="s">
        <v>1415</v>
      </c>
      <c r="C91" s="2355">
        <f>IF(H91="——",成本法!C33,I91)</f>
        <v>0</v>
      </c>
      <c r="D91" s="2356"/>
      <c r="E91" s="3301" t="s">
        <v>1416</v>
      </c>
      <c r="F91" s="3302"/>
      <c r="G91" s="330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0" t="s">
        <v>1417</v>
      </c>
      <c r="B92" s="161" t="s">
        <v>1418</v>
      </c>
      <c r="C92" s="2355">
        <f>ROUND((C87+C90+C91)*D92,0)</f>
        <v>0</v>
      </c>
      <c r="D92" s="2362"/>
      <c r="E92" s="3301" t="s">
        <v>1419</v>
      </c>
      <c r="F92" s="3302"/>
      <c r="G92" s="3302"/>
      <c r="H92" s="3311"/>
      <c r="I92" s="1674"/>
      <c r="J92" s="2302" t="s">
        <v>2277</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0" t="s">
        <v>1420</v>
      </c>
      <c r="B93" s="161" t="s">
        <v>1402</v>
      </c>
      <c r="C93" s="2355" t="e">
        <f ca="1">ROUND(D45*D93/(1+'数据-取费表'!C42),0)</f>
        <v>#REF!</v>
      </c>
      <c r="D93" s="2356">
        <f>'数据-取费表'!B43</f>
        <v>5.000000000000001E-3</v>
      </c>
      <c r="E93" s="3301" t="s">
        <v>1403</v>
      </c>
      <c r="F93" s="3302"/>
      <c r="G93" s="3302"/>
      <c r="H93" s="3311"/>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0" t="s">
        <v>1421</v>
      </c>
      <c r="B94" s="161" t="s">
        <v>1422</v>
      </c>
      <c r="C94" s="2361">
        <f>ROUND((C87+C90+C91)*D94,0)</f>
        <v>0</v>
      </c>
      <c r="D94" s="2356">
        <v>0.2</v>
      </c>
      <c r="E94" s="3312" t="s">
        <v>1423</v>
      </c>
      <c r="F94" s="3313"/>
      <c r="G94" s="3313"/>
      <c r="H94" s="3314"/>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4" t="s">
        <v>334</v>
      </c>
      <c r="B95" s="165" t="s">
        <v>1404</v>
      </c>
      <c r="C95" s="2347" t="e">
        <f ca="1">ROUND(C85-C86,0)</f>
        <v>#REF!</v>
      </c>
      <c r="D95" s="161" t="s">
        <v>26</v>
      </c>
      <c r="E95" s="1250"/>
      <c r="F95" s="1248"/>
      <c r="G95" s="1248"/>
      <c r="H95" s="183"/>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4" t="s">
        <v>335</v>
      </c>
      <c r="B96" s="165" t="s">
        <v>1405</v>
      </c>
      <c r="C96" s="2357"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8"/>
      <c r="G96" s="1248"/>
      <c r="H96" s="183"/>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7" t="s">
        <v>336</v>
      </c>
      <c r="B97" s="168" t="s">
        <v>1406</v>
      </c>
      <c r="C97" s="2358" t="e">
        <f ca="1">ROUND(IF(C95&lt;=0,0,IF(C96&gt;=200%,C95*60%-C86*35%,IF(C96&gt;=100%,C95*50%-C86*15%,IF(C96&gt;=50%,C95*40%-C86*5%,IF(C96&lt;50%,C95*30%,0))))),0)</f>
        <v>#REF!</v>
      </c>
      <c r="D97" s="235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0"/>
    </row>
    <row r="99" spans="1:35" ht="21.75" customHeight="1" thickBot="1">
      <c r="A99" s="1457" t="s">
        <v>1424</v>
      </c>
      <c r="B99" s="644"/>
      <c r="C99" s="644"/>
      <c r="D99" s="644"/>
      <c r="E99" s="1459"/>
      <c r="F99" s="1459"/>
      <c r="G99" s="1459"/>
      <c r="H99" s="1460"/>
      <c r="I99" s="120"/>
    </row>
    <row r="100" spans="1:35" ht="18.75" customHeight="1">
      <c r="A100" s="3285" t="s">
        <v>1425</v>
      </c>
      <c r="B100" s="3286"/>
      <c r="C100" s="3286"/>
      <c r="D100" s="3303"/>
      <c r="E100" s="3286" t="s">
        <v>1426</v>
      </c>
      <c r="F100" s="3286"/>
      <c r="G100" s="3286"/>
      <c r="H100" s="3303"/>
      <c r="I100" s="120"/>
    </row>
    <row r="101" spans="1:35" ht="18.75" customHeight="1">
      <c r="A101" s="3364" t="s">
        <v>1427</v>
      </c>
      <c r="B101" s="3365"/>
      <c r="C101" s="2364" t="str">
        <f>C4</f>
        <v>成本法</v>
      </c>
      <c r="D101" s="2365" t="str">
        <f>D4</f>
        <v>商业收益法</v>
      </c>
      <c r="E101" s="3378" t="s">
        <v>1428</v>
      </c>
      <c r="F101" s="3335"/>
      <c r="G101" s="1680" t="s">
        <v>1429</v>
      </c>
      <c r="H101" s="2374" t="e">
        <f ca="1">H118</f>
        <v>#REF!</v>
      </c>
      <c r="I101" s="120"/>
    </row>
    <row r="102" spans="1:35" ht="18.75" customHeight="1">
      <c r="A102" s="3337" t="s">
        <v>1430</v>
      </c>
      <c r="B102" s="2363" t="s">
        <v>1429</v>
      </c>
      <c r="C102" s="2364">
        <f ca="1">IF(D32="楼面单价",ROUND(C19,0),C19)</f>
        <v>119712</v>
      </c>
      <c r="D102" s="2365">
        <f ca="1">IF(D32="楼面单价",ROUND(D19,0),D19)</f>
        <v>65148</v>
      </c>
      <c r="E102" s="3378"/>
      <c r="F102" s="3335"/>
      <c r="G102" s="1680" t="s">
        <v>1431</v>
      </c>
      <c r="H102" s="2334" t="e">
        <f ca="1">I118</f>
        <v>#REF!</v>
      </c>
      <c r="I102" s="120"/>
    </row>
    <row r="103" spans="1:35" ht="42.75" customHeight="1">
      <c r="A103" s="3337"/>
      <c r="B103" s="2363" t="s">
        <v>1431</v>
      </c>
      <c r="C103" s="2366">
        <f ca="1">C20</f>
        <v>21246</v>
      </c>
      <c r="D103" s="2367">
        <f ca="1">D20</f>
        <v>11562</v>
      </c>
      <c r="E103" s="3372" t="s">
        <v>1432</v>
      </c>
      <c r="F103" s="3373"/>
      <c r="G103" s="1681" t="s">
        <v>1433</v>
      </c>
      <c r="H103" s="2374">
        <f>IF(D36="正常操作",H104+H105+H106,H105+H106)</f>
        <v>0</v>
      </c>
      <c r="I103" s="120"/>
    </row>
    <row r="104" spans="1:35" ht="18.75" customHeight="1">
      <c r="A104" s="3337" t="s">
        <v>1434</v>
      </c>
      <c r="B104" s="2368" t="s">
        <v>1429</v>
      </c>
      <c r="C104" s="2369" t="e">
        <f ca="1">H118</f>
        <v>#REF!</v>
      </c>
      <c r="D104" s="2370"/>
      <c r="E104" s="1548" t="s">
        <v>1435</v>
      </c>
      <c r="F104" s="1541"/>
      <c r="G104" s="1681" t="s">
        <v>1433</v>
      </c>
      <c r="H104" s="2375">
        <f>IF(D36="同一抵押权人同一抵押物续贷",C36&amp;"（续贷，未扣减，详见特别提示）",C36)</f>
        <v>0</v>
      </c>
      <c r="I104" s="120"/>
    </row>
    <row r="105" spans="1:35" ht="18.75" customHeight="1" thickBot="1">
      <c r="A105" s="3338"/>
      <c r="B105" s="2371" t="s">
        <v>1431</v>
      </c>
      <c r="C105" s="2372" t="e">
        <f ca="1">I118</f>
        <v>#REF!</v>
      </c>
      <c r="D105" s="2373"/>
      <c r="E105" s="1548" t="s">
        <v>1436</v>
      </c>
      <c r="F105" s="1541"/>
      <c r="G105" s="1681" t="s">
        <v>1433</v>
      </c>
      <c r="H105" s="2376">
        <f>C37</f>
        <v>0</v>
      </c>
      <c r="I105" s="120"/>
    </row>
    <row r="106" spans="1:35" ht="18.75" customHeight="1">
      <c r="A106" s="644" t="s">
        <v>1437</v>
      </c>
      <c r="B106" s="644"/>
      <c r="C106" s="644"/>
      <c r="D106" s="644"/>
      <c r="E106" s="1682" t="s">
        <v>1438</v>
      </c>
      <c r="F106" s="1541"/>
      <c r="G106" s="1681" t="s">
        <v>1433</v>
      </c>
      <c r="H106" s="2376">
        <f>C38</f>
        <v>0</v>
      </c>
      <c r="I106" s="120"/>
    </row>
    <row r="107" spans="1:35" ht="18.75" customHeight="1">
      <c r="A107" s="120"/>
      <c r="B107" s="120"/>
      <c r="C107" s="120"/>
      <c r="D107" s="120"/>
      <c r="E107" s="3334" t="str">
        <f>IF(项目基本情况!E8="已注销","——","3.房地产抵押价值")</f>
        <v>3.房地产抵押价值</v>
      </c>
      <c r="F107" s="3335"/>
      <c r="G107" s="1680" t="s">
        <v>1429</v>
      </c>
      <c r="H107" s="2374" t="e">
        <f ca="1">IF(E107="——","——",H101-H103)</f>
        <v>#REF!</v>
      </c>
      <c r="I107" s="120"/>
    </row>
    <row r="108" spans="1:35" ht="18.75" customHeight="1">
      <c r="A108" s="120"/>
      <c r="B108" s="120"/>
      <c r="C108" s="120"/>
      <c r="D108" s="120"/>
      <c r="E108" s="3334"/>
      <c r="F108" s="3335"/>
      <c r="G108" s="1680" t="s">
        <v>1431</v>
      </c>
      <c r="H108" s="2334">
        <f ca="1">IF(H107=H101,H102,ROUND(H107*10000/'数据-汇总表'!E3,0))</f>
        <v>0</v>
      </c>
      <c r="I108" s="120"/>
    </row>
    <row r="109" spans="1:35" ht="18.75" customHeight="1">
      <c r="A109" s="120"/>
      <c r="B109" s="120"/>
      <c r="C109" s="120"/>
      <c r="D109" s="120"/>
      <c r="E109" s="3334" t="str">
        <f>IF(项目基本情况!E8="已注销及未注销","4.抵押担保权已注销时的房地产抵押价值",IF(项目基本情况!E8="已注销","3.抵押担保权已注销时的房地产抵押价值","——"))</f>
        <v>——</v>
      </c>
      <c r="F109" s="3335"/>
      <c r="G109" s="1680" t="s">
        <v>1429</v>
      </c>
      <c r="H109" s="2377" t="str">
        <f>IF(E109="——","——",H101-H105-H106)</f>
        <v>——</v>
      </c>
      <c r="I109" s="120"/>
    </row>
    <row r="110" spans="1:35" ht="18.75" customHeight="1">
      <c r="A110" s="120"/>
      <c r="B110" s="120"/>
      <c r="C110" s="120"/>
      <c r="D110" s="120"/>
      <c r="E110" s="3334"/>
      <c r="F110" s="3335"/>
      <c r="G110" s="1680" t="s">
        <v>1431</v>
      </c>
      <c r="H110" s="2334" t="str">
        <f>IF(H109="——","——",ROUND(H109*10000/'数据-汇总表'!E3,0))</f>
        <v>——</v>
      </c>
      <c r="I110" s="120"/>
    </row>
    <row r="111" spans="1:35" ht="18.75" customHeight="1">
      <c r="A111" s="120"/>
      <c r="B111" s="120"/>
      <c r="C111" s="120"/>
      <c r="D111" s="120"/>
      <c r="E111" s="3366" t="str">
        <f>IF(项目基本情况!E9="抵押净值",IF(OR(项目基本情况!E8="已注销",项目基本情况!E8="房地产抵押价值"),"4.抵押净值","5.抵押净值"),"——")</f>
        <v>——</v>
      </c>
      <c r="F111" s="3336"/>
      <c r="G111" s="1680" t="s">
        <v>1429</v>
      </c>
      <c r="H111" s="2374" t="str">
        <f>IF(E111="——","——",N59)</f>
        <v>——</v>
      </c>
      <c r="I111" s="120"/>
    </row>
    <row r="112" spans="1:35" ht="18.75" customHeight="1" thickBot="1">
      <c r="A112" s="120"/>
      <c r="B112" s="120"/>
      <c r="C112" s="120"/>
      <c r="D112" s="120"/>
      <c r="E112" s="3367"/>
      <c r="F112" s="3368"/>
      <c r="G112" s="1683" t="s">
        <v>1431</v>
      </c>
      <c r="H112" s="2378" t="str">
        <f>IF(E111="——","——",N61)</f>
        <v>——</v>
      </c>
      <c r="I112" s="120"/>
    </row>
    <row r="113" spans="1:27" ht="18.75" customHeight="1">
      <c r="A113" s="120"/>
      <c r="B113" s="120"/>
      <c r="C113" s="120"/>
      <c r="D113" s="120"/>
      <c r="E113" s="3339" t="s">
        <v>1437</v>
      </c>
      <c r="F113" s="3339"/>
      <c r="G113" s="3339"/>
      <c r="H113" s="3339"/>
      <c r="I113" s="120"/>
    </row>
    <row r="114" spans="1:27" ht="3.75" customHeight="1">
      <c r="A114" s="644"/>
      <c r="B114" s="644"/>
      <c r="C114" s="644"/>
      <c r="D114" s="644"/>
      <c r="E114" s="1664"/>
      <c r="F114" s="1664"/>
      <c r="G114" s="1664"/>
      <c r="H114" s="1664"/>
      <c r="I114" s="644"/>
    </row>
    <row r="115" spans="1:27" ht="18.75" customHeight="1">
      <c r="A115" s="3349" t="s">
        <v>1439</v>
      </c>
      <c r="B115" s="3350"/>
      <c r="C115" s="3350"/>
      <c r="D115" s="3350"/>
      <c r="E115" s="3350"/>
      <c r="F115" s="3350"/>
      <c r="G115" s="3350"/>
      <c r="H115" s="3350"/>
      <c r="I115" s="3351"/>
    </row>
    <row r="116" spans="1:27" ht="27" customHeight="1">
      <c r="A116" s="3305" t="s">
        <v>1440</v>
      </c>
      <c r="B116" s="3340" t="s">
        <v>1441</v>
      </c>
      <c r="C116" s="3340" t="s">
        <v>1442</v>
      </c>
      <c r="D116" s="3353" t="s">
        <v>1443</v>
      </c>
      <c r="E116" s="3354"/>
      <c r="F116" s="3348" t="s">
        <v>1444</v>
      </c>
      <c r="G116" s="3348"/>
      <c r="H116" s="3305" t="s">
        <v>1445</v>
      </c>
      <c r="I116" s="3305"/>
    </row>
    <row r="117" spans="1:27" ht="18.75" customHeight="1">
      <c r="A117" s="3305"/>
      <c r="B117" s="3341"/>
      <c r="C117" s="3341"/>
      <c r="D117" s="2143" t="s">
        <v>1446</v>
      </c>
      <c r="E117" s="2143" t="s">
        <v>1447</v>
      </c>
      <c r="F117" s="2143" t="s">
        <v>1446</v>
      </c>
      <c r="G117" s="2143" t="s">
        <v>1448</v>
      </c>
      <c r="H117" s="2143" t="s">
        <v>1446</v>
      </c>
      <c r="I117" s="2143" t="s">
        <v>1448</v>
      </c>
    </row>
    <row r="118" spans="1:27" ht="24.75" customHeight="1">
      <c r="A118" s="2379" t="str">
        <f>项目基本情况!S2</f>
        <v>北京市房地产</v>
      </c>
      <c r="B118" s="2143">
        <f>M18</f>
        <v>56346.270000000004</v>
      </c>
      <c r="C118" s="2143">
        <f>M19</f>
        <v>6949.44</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t="e">
        <f ca="1">ROUND(IF(D32="总价",C32,I118*B118/10000),0)</f>
        <v>#REF!</v>
      </c>
      <c r="I118" s="2143" t="e">
        <f ca="1">ROUND(IF(D32="楼面单价",C32,H118*10000/B118),0)</f>
        <v>#REF!</v>
      </c>
    </row>
    <row r="119" spans="1:27" ht="18.75" customHeight="1">
      <c r="A119" s="3305" t="s">
        <v>1449</v>
      </c>
      <c r="B119" s="3305"/>
      <c r="C119" s="3305"/>
      <c r="D119" s="3345" t="e">
        <f ca="1">NUMBERSTRING(INT(D118*10000),2)&amp;"元整"</f>
        <v>#REF!</v>
      </c>
      <c r="E119" s="3347"/>
      <c r="F119" s="3345" t="e">
        <f ca="1">NUMBERSTRING(INT(F118*10000),2)&amp;"元整"</f>
        <v>#REF!</v>
      </c>
      <c r="G119" s="3347"/>
      <c r="H119" s="3345" t="e">
        <f ca="1">NUMBERSTRING(INT(H118*10000),2)&amp;"元整"</f>
        <v>#REF!</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45" t="s">
        <v>1449</v>
      </c>
      <c r="B121" s="3346"/>
      <c r="C121" s="3347"/>
      <c r="D121" s="3345" t="str">
        <f>IF(D120=0,"零元整",NUMBERSTRING(INT(D120*10000),2)&amp;"元整")</f>
        <v>零元整</v>
      </c>
      <c r="E121" s="3346"/>
      <c r="F121" s="3346"/>
      <c r="G121" s="3346"/>
      <c r="H121" s="3346"/>
      <c r="I121" s="3347"/>
      <c r="AA121" s="682"/>
    </row>
    <row r="122" spans="1:27" ht="18.75" customHeight="1">
      <c r="A122" s="3336" t="str">
        <f>IF(项目基本情况!B9="房地产市场价值","",MID(E107,3,LEN(E107)-2))</f>
        <v>房地产抵押价值</v>
      </c>
      <c r="B122" s="3336"/>
      <c r="C122" s="3336"/>
      <c r="D122" s="3369" t="e">
        <f ca="1">H107</f>
        <v>#REF!</v>
      </c>
      <c r="E122" s="3370"/>
      <c r="F122" s="3370"/>
      <c r="G122" s="3370"/>
      <c r="H122" s="3370"/>
      <c r="I122" s="3371"/>
      <c r="AA122" s="682"/>
    </row>
    <row r="123" spans="1:27" ht="18.75" customHeight="1">
      <c r="A123" s="3305" t="s">
        <v>1449</v>
      </c>
      <c r="B123" s="3305"/>
      <c r="C123" s="3305"/>
      <c r="D123" s="3345" t="e">
        <f ca="1">NUMBERSTRING(INT(D122*10000),2)&amp;"元整"</f>
        <v>#REF!</v>
      </c>
      <c r="E123" s="3346"/>
      <c r="F123" s="3346"/>
      <c r="G123" s="3346"/>
      <c r="H123" s="3346"/>
      <c r="I123" s="3347"/>
      <c r="AA123" s="682"/>
    </row>
    <row r="124" spans="1:27" ht="18.75" customHeight="1">
      <c r="A124" s="3336" t="str">
        <f>IF(项目基本情况!B9="房地产市场价值","",MID(E109,3,LEN(E109)-2))</f>
        <v/>
      </c>
      <c r="B124" s="3336"/>
      <c r="C124" s="3336"/>
      <c r="D124" s="3369" t="str">
        <f>H109</f>
        <v>——</v>
      </c>
      <c r="E124" s="3370"/>
      <c r="F124" s="3370"/>
      <c r="G124" s="3370"/>
      <c r="H124" s="3370"/>
      <c r="I124" s="3371"/>
      <c r="AA124" s="682"/>
    </row>
    <row r="125" spans="1:27" ht="18.75" customHeight="1">
      <c r="A125" s="3305" t="s">
        <v>1449</v>
      </c>
      <c r="B125" s="3305"/>
      <c r="C125" s="3305"/>
      <c r="D125" s="3345" t="e">
        <f>NUMBERSTRING(INT(D124*10000),2)&amp;"元整"</f>
        <v>#VALUE!</v>
      </c>
      <c r="E125" s="3346"/>
      <c r="F125" s="3346"/>
      <c r="G125" s="3346"/>
      <c r="H125" s="3346"/>
      <c r="I125" s="3347"/>
      <c r="AA125" s="682"/>
    </row>
    <row r="126" spans="1:27" ht="18.75" customHeight="1">
      <c r="A126" s="3336" t="str">
        <f>IF(项目基本情况!B9="房地产市场价值","",MID(E111,3,LEN(E111)-2))</f>
        <v/>
      </c>
      <c r="B126" s="3336"/>
      <c r="C126" s="3336"/>
      <c r="D126" s="3369" t="str">
        <f>H111</f>
        <v>——</v>
      </c>
      <c r="E126" s="3370"/>
      <c r="F126" s="3370"/>
      <c r="G126" s="3370"/>
      <c r="H126" s="3370"/>
      <c r="I126" s="3371"/>
      <c r="AA126" s="682"/>
    </row>
    <row r="127" spans="1:27" ht="18.75" customHeight="1">
      <c r="A127" s="3305" t="s">
        <v>1449</v>
      </c>
      <c r="B127" s="3305"/>
      <c r="C127" s="3305"/>
      <c r="D127" s="3345" t="e">
        <f>NUMBERSTRING(INT(D126*10000),2)&amp;"元整"</f>
        <v>#VALUE!</v>
      </c>
      <c r="E127" s="3346"/>
      <c r="F127" s="3346"/>
      <c r="G127" s="3346"/>
      <c r="H127" s="3346"/>
      <c r="I127" s="3347"/>
      <c r="AA127" s="682"/>
    </row>
    <row r="128" spans="1:27" ht="21.75" customHeight="1">
      <c r="A128" s="3352" t="s">
        <v>1450</v>
      </c>
      <c r="B128" s="3352"/>
      <c r="C128" s="3352"/>
      <c r="D128" s="3352"/>
      <c r="E128" s="3352"/>
      <c r="F128" s="3352"/>
      <c r="G128" s="3352"/>
      <c r="H128" s="3352"/>
      <c r="I128" s="3352"/>
      <c r="AA128" s="682"/>
    </row>
    <row r="129" spans="1:35" ht="21.75" customHeight="1">
      <c r="A129" s="1684" t="s">
        <v>1451</v>
      </c>
      <c r="B129" s="1685"/>
      <c r="C129" s="1686" t="s">
        <v>1452</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1453</v>
      </c>
      <c r="G135" s="1699"/>
      <c r="H135" s="1699"/>
      <c r="I135" s="1700" t="s">
        <v>1454</v>
      </c>
    </row>
    <row r="136" spans="1:35" ht="21.75" customHeight="1">
      <c r="A136" s="682"/>
      <c r="B136" s="1701"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1456</v>
      </c>
    </row>
    <row r="139" spans="1:35" ht="21.75" customHeight="1">
      <c r="A139" s="682"/>
      <c r="B139" s="1701" t="s">
        <v>1457</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1456</v>
      </c>
    </row>
    <row r="142" spans="1:35" ht="21.75" customHeight="1">
      <c r="A142" s="682"/>
      <c r="B142" s="1701"/>
      <c r="C142" s="1702"/>
      <c r="D142" s="1703"/>
      <c r="E142" s="1703"/>
      <c r="F142" s="1607"/>
      <c r="G142" s="682"/>
      <c r="H142" s="682"/>
      <c r="I142" s="682"/>
    </row>
    <row r="143" spans="1:35" s="121"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C5:D7">
    <cfRule type="cellIs" dxfId="170" priority="10" stopIfTrue="1" operator="equal">
      <formula>25</formula>
    </cfRule>
  </conditionalFormatting>
  <conditionalFormatting sqref="C8:D13">
    <cfRule type="cellIs" dxfId="169" priority="8" stopIfTrue="1" operator="equal">
      <formula>15</formula>
    </cfRule>
  </conditionalFormatting>
  <conditionalFormatting sqref="C14:D16">
    <cfRule type="cellIs" dxfId="168" priority="6" stopIfTrue="1" operator="equal">
      <formula>30</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A00-000000000000}">
      <formula1>估价方法</formula1>
    </dataValidation>
    <dataValidation type="list" allowBlank="1" showInputMessage="1" showErrorMessage="1" sqref="H55:H56" xr:uid="{00000000-0002-0000-1A00-000001000000}">
      <formula1>"个人住宅,正常"</formula1>
    </dataValidation>
    <dataValidation type="list" allowBlank="1" showInputMessage="1" showErrorMessage="1" sqref="H48" xr:uid="{00000000-0002-0000-1A00-000002000000}">
      <formula1>"情况1,情况2,情况3,情况4"</formula1>
    </dataValidation>
    <dataValidation type="list" allowBlank="1" showInputMessage="1" showErrorMessage="1" sqref="H58" xr:uid="{00000000-0002-0000-1A00-000003000000}">
      <formula1>"转让取得,自行开发建设"</formula1>
    </dataValidation>
    <dataValidation type="list" allowBlank="1" showInputMessage="1" showErrorMessage="1" sqref="D32" xr:uid="{00000000-0002-0000-1A00-000004000000}">
      <formula1>"总价,楼面单价"</formula1>
    </dataValidation>
    <dataValidation type="list" allowBlank="1" showInputMessage="1" showErrorMessage="1" sqref="F45" xr:uid="{00000000-0002-0000-1A00-000005000000}">
      <formula1>"100%,70%,56%"</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H91" xr:uid="{00000000-0002-0000-1A00-000007000000}">
      <formula1>"企业提供（在右侧录入）,——"</formula1>
    </dataValidation>
    <dataValidation type="list" allowBlank="1" showInputMessage="1" showErrorMessage="1" sqref="H88" xr:uid="{00000000-0002-0000-1A00-000008000000}">
      <formula1>"仅含出让金,出让金+开发费"</formula1>
    </dataValidation>
    <dataValidation type="list" allowBlank="1" showInputMessage="1" showErrorMessage="1" sqref="F75" xr:uid="{00000000-0002-0000-1A00-000009000000}">
      <formula1>"买卖合同,购房发票"</formula1>
    </dataValidation>
    <dataValidation type="list" allowBlank="1" showInputMessage="1" showErrorMessage="1" sqref="D36" xr:uid="{00000000-0002-0000-1A00-00000A000000}">
      <formula1>"同一抵押权人同一抵押物续贷,注销后放款,正常操作"</formula1>
    </dataValidation>
    <dataValidation type="list" allowBlank="1" showInputMessage="1" showErrorMessage="1" sqref="B116:B117" xr:uid="{00000000-0002-0000-1A00-00000B000000}">
      <formula1>"建筑面积,规划建筑面积,（规划）建筑面积"</formula1>
    </dataValidation>
    <dataValidation type="list" allowBlank="1" showInputMessage="1" showErrorMessage="1" sqref="C116:C117" xr:uid="{00000000-0002-0000-1A00-00000C000000}">
      <formula1>"土地面积,分摊土地面积,（分摊）土地面积"</formula1>
    </dataValidation>
    <dataValidation type="list" allowBlank="1" showInputMessage="1" showErrorMessage="1" sqref="D116:E116" xr:uid="{00000000-0002-0000-1A00-00000D000000}">
      <formula1>"出让国有建设用地使用权价值,划拨国有建设用地使用权价值"</formula1>
    </dataValidation>
    <dataValidation type="list" allowBlank="1" showInputMessage="1" showErrorMessage="1" sqref="F116:G116" xr:uid="{00000000-0002-0000-1A00-00000E000000}">
      <formula1>"建筑物价值,在建建筑物价值,建筑物/在建建筑物价值"</formula1>
    </dataValidation>
    <dataValidation type="list" allowBlank="1" showInputMessage="1" showErrorMessage="1" sqref="C129" xr:uid="{00000000-0002-0000-1A00-00000F000000}">
      <formula1>"无,有"</formula1>
    </dataValidation>
    <dataValidation type="list" showInputMessage="1" showErrorMessage="1" sqref="G1" xr:uid="{00000000-0002-0000-1A00-000010000000}">
      <formula1>"现房,在建,土地,-"</formula1>
    </dataValidation>
    <dataValidation type="list" allowBlank="1" showInputMessage="1" showErrorMessage="1" sqref="I1" xr:uid="{00000000-0002-0000-1A00-000011000000}">
      <formula1>"项目局部,项目全部,——"</formula1>
    </dataValidation>
    <dataValidation type="list" allowBlank="1" showInputMessage="1" showErrorMessage="1" sqref="C1" xr:uid="{00000000-0002-0000-1A00-000012000000}">
      <formula1>项目类型</formula1>
    </dataValidation>
    <dataValidation type="list" allowBlank="1" showInputMessage="1" showErrorMessage="1" sqref="G77" xr:uid="{00000000-0002-0000-1A00-000013000000}">
      <formula1>"个人住宅,2016年5月1日前购买,2016年5月1日后购买"</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H59" xr:uid="{00000000-0002-0000-1A00-000015000000}">
      <formula1>"非个人房产,个人住宅（满五唯一有凭证）,个人其他（有凭证）,个人其他（无凭证）"</formula1>
    </dataValidation>
    <dataValidation type="list" allowBlank="1" showInputMessage="1" showErrorMessage="1" sqref="D92" xr:uid="{00000000-0002-0000-1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zoomScaleSheetLayoutView="70" workbookViewId="0">
      <selection activeCell="T60" sqref="T6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7" t="s">
        <v>670</v>
      </c>
      <c r="C1" s="189"/>
      <c r="D1" s="189"/>
      <c r="E1" s="189"/>
      <c r="F1" s="189"/>
      <c r="G1" s="1057">
        <f>MATCH(B1,'数据-取费表'!A6:A16,0)+5</f>
        <v>6</v>
      </c>
    </row>
    <row r="2" spans="1:9" s="191" customFormat="1" ht="18" customHeight="1">
      <c r="A2" s="192" t="s">
        <v>1459</v>
      </c>
      <c r="B2" s="193">
        <f ca="1">IF(D2="——",C52,C52-E2)</f>
        <v>119712</v>
      </c>
      <c r="C2" s="190" t="s">
        <v>1460</v>
      </c>
      <c r="D2" s="1704" t="s">
        <v>43</v>
      </c>
      <c r="E2" s="1084" t="e">
        <f ca="1">SUMIF(INDIRECT("'"&amp;G2&amp;"'"&amp;"!A:A"),"承租人权益价值",INDIRECT("'"&amp;G2&amp;"'"&amp;"!c:c"))</f>
        <v>#REF!</v>
      </c>
      <c r="F2" s="1705" t="s">
        <v>1460</v>
      </c>
      <c r="G2" s="1706"/>
    </row>
    <row r="3" spans="1:9" s="191" customFormat="1" ht="18" customHeight="1" thickBot="1">
      <c r="A3" s="194" t="s">
        <v>1461</v>
      </c>
      <c r="B3" s="195">
        <f ca="1">ROUND(B2*10000/(IF(B1="",'数据-汇总表'!E3,INDIRECT("'数据-取费表'!k"&amp;$G$1))),0)</f>
        <v>21246</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 ca="1">C6+C7+C8</f>
        <v>49081</v>
      </c>
      <c r="D5" s="202" t="s">
        <v>1466</v>
      </c>
      <c r="E5" s="203" t="s">
        <v>1467</v>
      </c>
      <c r="F5" s="203" t="s">
        <v>1468</v>
      </c>
      <c r="G5" s="204"/>
    </row>
    <row r="6" spans="1:9" s="205" customFormat="1" ht="13.5" customHeight="1">
      <c r="A6" s="728" t="s">
        <v>1469</v>
      </c>
      <c r="B6" s="206" t="s">
        <v>1470</v>
      </c>
      <c r="C6" s="207">
        <f>基准地价修正!B2</f>
        <v>46589</v>
      </c>
      <c r="D6" s="208"/>
      <c r="E6" s="209"/>
      <c r="F6" s="209"/>
      <c r="G6" s="210"/>
    </row>
    <row r="7" spans="1:9" s="205" customFormat="1" ht="13.5" customHeight="1">
      <c r="A7" s="728" t="s">
        <v>1471</v>
      </c>
      <c r="B7" s="206" t="s">
        <v>1472</v>
      </c>
      <c r="C7" s="211">
        <f>ROUND(C6*F7,0)</f>
        <v>1421</v>
      </c>
      <c r="D7" s="211"/>
      <c r="E7" s="209"/>
      <c r="F7" s="212">
        <f>IF(项目基本情况!B8="出让",0,'数据-取费表'!B48+'数据-取费表'!B49)</f>
        <v>3.0499999999999999E-2</v>
      </c>
      <c r="G7" s="210"/>
    </row>
    <row r="8" spans="1:9" s="214" customFormat="1">
      <c r="A8" s="728" t="s">
        <v>1473</v>
      </c>
      <c r="B8" s="206" t="s">
        <v>1474</v>
      </c>
      <c r="C8" s="211">
        <f ca="1">IF(G8="已包含在土地购买价格中","0",IF(B1="",'数据-取费表'!B29,IF(G9="全部缴纳",C9+C10,H9)))</f>
        <v>1071</v>
      </c>
      <c r="D8" s="213"/>
      <c r="E8" s="211"/>
      <c r="F8" s="212"/>
      <c r="G8" s="1707" t="s">
        <v>4166</v>
      </c>
    </row>
    <row r="9" spans="1:9" s="205" customFormat="1" ht="13.5" customHeight="1">
      <c r="A9" s="729" t="s">
        <v>355</v>
      </c>
      <c r="B9" s="215" t="s">
        <v>1475</v>
      </c>
      <c r="C9" s="216">
        <f ca="1">ROUND(D9*E9/10000,0)</f>
        <v>0</v>
      </c>
      <c r="D9" s="791">
        <f ca="1">IF(B1="",'数据-汇总表'!E5,IF(INDIRECT("'数据-取费表'!c"&amp;$G$1)="住宅",INDIRECT("'数据-取费表'!k"&amp;$G$1),0))</f>
        <v>0</v>
      </c>
      <c r="E9" s="216">
        <f>'数据-取费表'!B27</f>
        <v>150</v>
      </c>
      <c r="F9" s="212"/>
      <c r="G9" s="1708" t="s">
        <v>4167</v>
      </c>
      <c r="H9" s="1065"/>
      <c r="I9" s="1709" t="s">
        <v>1476</v>
      </c>
    </row>
    <row r="10" spans="1:9" s="205" customFormat="1" ht="13.5" customHeight="1">
      <c r="A10" s="729" t="s">
        <v>356</v>
      </c>
      <c r="B10" s="215" t="s">
        <v>1477</v>
      </c>
      <c r="C10" s="216">
        <f ca="1">ROUND(D10*E10/10000,0)</f>
        <v>1071</v>
      </c>
      <c r="D10" s="791">
        <f ca="1">IF(B1="",'数据-汇总表'!E6,IF(INDIRECT("'数据-取费表'!c"&amp;$G$1)="住宅",INDIRECT("'数据-取费表'!s"&amp;$G$1),INDIRECT("'数据-取费表'!k"&amp;$G$1)+INDIRECT("'数据-取费表'!s"&amp;$G$1)))</f>
        <v>56346.270000000004</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t="str">
        <f>IF(G19="已包含在土地取得成本中","0",ROUND(D19*E19/10000,0))</f>
        <v>0</v>
      </c>
      <c r="D19" s="203">
        <f ca="1">D9+D10</f>
        <v>56346.270000000004</v>
      </c>
      <c r="E19" s="202">
        <f>'数据-取费表'!B31</f>
        <v>200</v>
      </c>
      <c r="F19" s="222"/>
      <c r="G19" s="1707" t="s">
        <v>4168</v>
      </c>
    </row>
    <row r="20" spans="1:7" s="205" customFormat="1" ht="13.5" customHeight="1">
      <c r="A20" s="246" t="s">
        <v>1490</v>
      </c>
      <c r="B20" s="201" t="s">
        <v>1491</v>
      </c>
      <c r="C20" s="223">
        <f ca="1">ROUND((C5+C19)*F20,0)</f>
        <v>1227</v>
      </c>
      <c r="D20" s="223"/>
      <c r="E20" s="223"/>
      <c r="F20" s="224">
        <f>'数据-取费表'!B37</f>
        <v>2.5000000000000001E-2</v>
      </c>
      <c r="G20" s="225" t="s">
        <v>1492</v>
      </c>
    </row>
    <row r="21" spans="1:7" s="205" customFormat="1" ht="13.5" customHeight="1">
      <c r="A21" s="246" t="s">
        <v>1493</v>
      </c>
      <c r="B21" s="201" t="s">
        <v>1494</v>
      </c>
      <c r="C21" s="226">
        <f>F21</f>
        <v>2.5000000000000001E-2</v>
      </c>
      <c r="D21" s="227" t="s">
        <v>1495</v>
      </c>
      <c r="E21" s="223"/>
      <c r="F21" s="224">
        <f>'数据-取费表'!B38</f>
        <v>2.5000000000000001E-2</v>
      </c>
      <c r="G21" s="225" t="s">
        <v>1496</v>
      </c>
    </row>
    <row r="22" spans="1:7" s="205" customFormat="1" ht="13.5" customHeight="1">
      <c r="A22" s="246" t="s">
        <v>1497</v>
      </c>
      <c r="B22" s="201" t="s">
        <v>1498</v>
      </c>
      <c r="C22" s="1036">
        <f ca="1">ROUND(SUM(C23:C25),0)</f>
        <v>4396</v>
      </c>
      <c r="D22" s="226">
        <f ca="1">C26</f>
        <v>1.1000000000000001E-3</v>
      </c>
      <c r="E22" s="227" t="s">
        <v>1495</v>
      </c>
      <c r="F22" s="228">
        <f ca="1">'数据-取费表'!B40</f>
        <v>3.4500000000000003E-2</v>
      </c>
      <c r="G22" s="225" t="str">
        <f>IF('数据-取费表'!B22&lt;=1,"单利计息","复利计息")</f>
        <v>复利计息</v>
      </c>
    </row>
    <row r="23" spans="1:7" s="205" customFormat="1" ht="13.5" customHeight="1">
      <c r="A23" s="730" t="s">
        <v>1499</v>
      </c>
      <c r="B23" s="206" t="s">
        <v>1500</v>
      </c>
      <c r="C23" s="1037">
        <f ca="1">ROUND(IF('数据-取费表'!B22&lt;=1,C5*F22*'数据-取费表'!B23,C5*(POWER((1+F22),'数据-取费表'!B23)-1)),0)</f>
        <v>4343</v>
      </c>
      <c r="D23" s="229"/>
      <c r="E23" s="229"/>
      <c r="F23" s="230"/>
      <c r="G23" s="231" t="s">
        <v>1501</v>
      </c>
    </row>
    <row r="24" spans="1:7" s="205" customFormat="1" ht="13.5" customHeight="1">
      <c r="A24" s="730" t="s">
        <v>1502</v>
      </c>
      <c r="B24" s="206" t="s">
        <v>1503</v>
      </c>
      <c r="C24" s="1037">
        <f ca="1">ROUND(IF('数据-取费表'!B22&lt;=1,C19*F22*('数据-取费表'!B19/2+'数据-取费表'!B21),C19*(POWER((1+F22),('数据-取费表'!B19/2+'数据-取费表'!B21))-1)),0)</f>
        <v>0</v>
      </c>
      <c r="D24" s="229"/>
      <c r="E24" s="229"/>
      <c r="F24" s="230"/>
      <c r="G24" s="231" t="s">
        <v>1504</v>
      </c>
    </row>
    <row r="25" spans="1:7" s="205" customFormat="1" ht="24">
      <c r="A25" s="730" t="s">
        <v>1505</v>
      </c>
      <c r="B25" s="206" t="s">
        <v>1506</v>
      </c>
      <c r="C25" s="1037">
        <f ca="1">ROUND(IF('数据-取费表'!B22&lt;=1,C20*F22*'数据-取费表'!B23/2,C20*(POWER((1+F22),'数据-取费表'!B23/2)-1)),0)</f>
        <v>53</v>
      </c>
      <c r="D25" s="229"/>
      <c r="E25" s="232"/>
      <c r="F25" s="230"/>
      <c r="G25" s="233" t="s">
        <v>1507</v>
      </c>
    </row>
    <row r="26" spans="1:7" s="205" customFormat="1">
      <c r="A26" s="730" t="s">
        <v>350</v>
      </c>
      <c r="B26" s="206" t="s">
        <v>1508</v>
      </c>
      <c r="C26" s="229">
        <f ca="1">ROUND(IF('数据-取费表'!B22&lt;=1,F21*F22*'数据-取费表'!B23/2,F21*(POWER((1+F22),'数据-取费表'!B23/2)-1)),4)</f>
        <v>1.1000000000000001E-3</v>
      </c>
      <c r="D26" s="229"/>
      <c r="E26" s="232"/>
      <c r="F26" s="230"/>
      <c r="G26" s="234"/>
    </row>
    <row r="27" spans="1:7" s="205" customFormat="1" ht="24.75">
      <c r="A27" s="246" t="s">
        <v>1509</v>
      </c>
      <c r="B27" s="235" t="s">
        <v>1510</v>
      </c>
      <c r="C27" s="236">
        <f ca="1">C28</f>
        <v>10062</v>
      </c>
      <c r="D27" s="226">
        <f ca="1">C29</f>
        <v>5.0000000000000001E-3</v>
      </c>
      <c r="E27" s="227" t="s">
        <v>1511</v>
      </c>
      <c r="F27" s="237">
        <f ca="1">IF(B1="",'数据-取费表'!Q16,INDIRECT("'数据-取费表'!q"&amp;$G$1))</f>
        <v>0.2</v>
      </c>
      <c r="G27" s="238" t="s">
        <v>1512</v>
      </c>
    </row>
    <row r="28" spans="1:7" s="205" customFormat="1" ht="13.5" customHeight="1">
      <c r="A28" s="730" t="s">
        <v>346</v>
      </c>
      <c r="B28" s="239" t="s">
        <v>1513</v>
      </c>
      <c r="C28" s="240">
        <f ca="1">ROUND((C5+C19+C20)*F27*'数据-取费表'!B21/'数据-取费表'!B20,0)</f>
        <v>10062</v>
      </c>
      <c r="D28" s="226"/>
      <c r="E28" s="227"/>
      <c r="F28" s="237"/>
      <c r="G28" s="238"/>
    </row>
    <row r="29" spans="1:7" s="205" customFormat="1" ht="13.5" customHeight="1">
      <c r="A29" s="730" t="s">
        <v>347</v>
      </c>
      <c r="B29" s="239" t="s">
        <v>1514</v>
      </c>
      <c r="C29" s="229">
        <f ca="1">ROUND(C21*F27*'数据-取费表'!B21/'数据-取费表'!B20,4)</f>
        <v>5.0000000000000001E-3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70667</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35991</v>
      </c>
      <c r="D33" s="223"/>
      <c r="E33" s="203"/>
      <c r="F33" s="232"/>
      <c r="G33" s="225"/>
    </row>
    <row r="34" spans="1:7" s="249" customFormat="1" ht="13.5" customHeight="1">
      <c r="A34" s="730" t="s">
        <v>346</v>
      </c>
      <c r="B34" s="206" t="s">
        <v>1522</v>
      </c>
      <c r="C34" s="211">
        <f ca="1">IF(B1="",IF(F34=100%,'数据-取费表'!M16,'数据-取费表'!O16),IF(F34=100%,INDIRECT("'数据-取费表'!m"&amp;$G$1)+INDIRECT("'数据-取费表'!t"&amp;$G$1),INDIRECT("'数据-取费表'!o"&amp;$G$1)+INDIRECT("'数据-取费表'!aq"&amp;$G$1)))</f>
        <v>30990</v>
      </c>
      <c r="D34" s="208"/>
      <c r="E34" s="211"/>
      <c r="F34" s="248">
        <f ca="1">IF('数据-取费表'!B24=0,1,IF(B1="",'数据-取费表'!N16,INDIRECT("'数据-取费表'!n"&amp;$G$1)))</f>
        <v>1</v>
      </c>
      <c r="G34" s="210" t="s">
        <v>1523</v>
      </c>
    </row>
    <row r="35" spans="1:7" ht="13.5" customHeight="1">
      <c r="A35" s="730" t="s">
        <v>351</v>
      </c>
      <c r="B35" s="206" t="s">
        <v>1524</v>
      </c>
      <c r="C35" s="211">
        <f ca="1">ROUND(C34*F35,0)</f>
        <v>3099</v>
      </c>
      <c r="D35" s="211"/>
      <c r="E35" s="211"/>
      <c r="F35" s="250">
        <f>'数据-取费表'!B33</f>
        <v>0.1</v>
      </c>
      <c r="G35" s="210" t="s">
        <v>1525</v>
      </c>
    </row>
    <row r="36" spans="1:7" ht="24">
      <c r="A36" s="730"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0" t="s">
        <v>353</v>
      </c>
      <c r="B37" s="206" t="s">
        <v>1528</v>
      </c>
      <c r="C37" s="240">
        <f ca="1">ROUND(E37*D37*F34/10000,0)</f>
        <v>1127</v>
      </c>
      <c r="D37" s="208">
        <f ca="1">D19</f>
        <v>56346.270000000004</v>
      </c>
      <c r="E37" s="240">
        <f>'数据-取费表'!B35</f>
        <v>200</v>
      </c>
      <c r="F37" s="250"/>
      <c r="G37" s="252" t="s">
        <v>1529</v>
      </c>
    </row>
    <row r="38" spans="1:7" ht="13.5" customHeight="1">
      <c r="A38" s="730" t="s">
        <v>354</v>
      </c>
      <c r="B38" s="206" t="s">
        <v>1530</v>
      </c>
      <c r="C38" s="211">
        <f ca="1">ROUND(C34*F38,0)</f>
        <v>775</v>
      </c>
      <c r="D38" s="211"/>
      <c r="E38" s="211"/>
      <c r="F38" s="250">
        <f>'数据-取费表'!B36</f>
        <v>2.5000000000000001E-2</v>
      </c>
      <c r="G38" s="210" t="s">
        <v>1525</v>
      </c>
    </row>
    <row r="39" spans="1:7" s="205" customFormat="1" ht="13.5" customHeight="1">
      <c r="A39" s="246" t="s">
        <v>1531</v>
      </c>
      <c r="B39" s="201" t="s">
        <v>1532</v>
      </c>
      <c r="C39" s="223">
        <f ca="1">ROUND(C33*F20,0)</f>
        <v>900</v>
      </c>
      <c r="D39" s="223"/>
      <c r="E39" s="223"/>
      <c r="F39" s="224">
        <f>F20</f>
        <v>2.5000000000000001E-2</v>
      </c>
      <c r="G39" s="225" t="s">
        <v>1533</v>
      </c>
    </row>
    <row r="40" spans="1:7" s="205" customFormat="1" ht="13.5" customHeight="1">
      <c r="A40" s="246" t="s">
        <v>1534</v>
      </c>
      <c r="B40" s="201" t="s">
        <v>1535</v>
      </c>
      <c r="C40" s="226">
        <f>F21</f>
        <v>2.5000000000000001E-2</v>
      </c>
      <c r="D40" s="227" t="s">
        <v>1536</v>
      </c>
      <c r="E40" s="223"/>
      <c r="F40" s="224">
        <f>F21</f>
        <v>2.5000000000000001E-2</v>
      </c>
      <c r="G40" s="225" t="s">
        <v>1537</v>
      </c>
    </row>
    <row r="41" spans="1:7" s="205" customFormat="1" ht="13.5" customHeight="1">
      <c r="A41" s="246" t="s">
        <v>1538</v>
      </c>
      <c r="B41" s="201" t="s">
        <v>1539</v>
      </c>
      <c r="C41" s="223">
        <f ca="1">ROUND(SUM(C42:C43),0)</f>
        <v>1598</v>
      </c>
      <c r="D41" s="226">
        <f ca="1">C44</f>
        <v>1.1000000000000001E-3</v>
      </c>
      <c r="E41" s="227" t="s">
        <v>1536</v>
      </c>
      <c r="F41" s="228">
        <f ca="1">F22</f>
        <v>3.4500000000000003E-2</v>
      </c>
      <c r="G41" s="225" t="str">
        <f>IF('数据-取费表'!B22&lt;=1,"单利计息","复利计息")</f>
        <v>复利计息</v>
      </c>
    </row>
    <row r="42" spans="1:7" ht="13.5" customHeight="1">
      <c r="A42" s="730" t="s">
        <v>346</v>
      </c>
      <c r="B42" s="206" t="s">
        <v>1540</v>
      </c>
      <c r="C42" s="229">
        <f ca="1">ROUND(IF('数据-取费表'!B22&lt;=1,C33*F22*'数据-取费表'!B21/2,C33*(POWER((1+F22),'数据-取费表'!B21/2)-1)),0)</f>
        <v>1559</v>
      </c>
      <c r="D42" s="229"/>
      <c r="E42" s="229"/>
      <c r="F42" s="230"/>
      <c r="G42" s="3385" t="s">
        <v>1541</v>
      </c>
    </row>
    <row r="43" spans="1:7" ht="13.5" customHeight="1">
      <c r="A43" s="730" t="s">
        <v>347</v>
      </c>
      <c r="B43" s="206" t="s">
        <v>1542</v>
      </c>
      <c r="C43" s="229">
        <f ca="1">ROUND(IF('数据-取费表'!B22&lt;=1,C39*F22*'数据-取费表'!B21/2,C39*(POWER((1+F22),'数据-取费表'!B21/2)-1)),0)</f>
        <v>39</v>
      </c>
      <c r="D43" s="229"/>
      <c r="E43" s="229"/>
      <c r="F43" s="230"/>
      <c r="G43" s="3386"/>
    </row>
    <row r="44" spans="1:7" ht="13.5" customHeight="1">
      <c r="A44" s="730" t="s">
        <v>348</v>
      </c>
      <c r="B44" s="206" t="s">
        <v>1543</v>
      </c>
      <c r="C44" s="229">
        <f ca="1">ROUND(IF('数据-取费表'!B22&lt;=1,C40*F22*'数据-取费表'!B21/2,C40*(POWER((1+F22),'数据-取费表'!B21/2)-1)),4)</f>
        <v>1.1000000000000001E-3</v>
      </c>
      <c r="D44" s="229"/>
      <c r="E44" s="229"/>
      <c r="F44" s="230"/>
      <c r="G44" s="3387"/>
    </row>
    <row r="45" spans="1:7" s="205" customFormat="1" ht="13.5" customHeight="1">
      <c r="A45" s="246" t="s">
        <v>1544</v>
      </c>
      <c r="B45" s="235" t="s">
        <v>1510</v>
      </c>
      <c r="C45" s="236">
        <f ca="1">C46</f>
        <v>7378</v>
      </c>
      <c r="D45" s="226">
        <f ca="1">C47</f>
        <v>5.0000000000000001E-3</v>
      </c>
      <c r="E45" s="227" t="s">
        <v>1536</v>
      </c>
      <c r="F45" s="237">
        <f ca="1">F27</f>
        <v>0.2</v>
      </c>
      <c r="G45" s="238" t="s">
        <v>1545</v>
      </c>
    </row>
    <row r="46" spans="1:7" s="205" customFormat="1" ht="13.5" customHeight="1">
      <c r="A46" s="730" t="s">
        <v>346</v>
      </c>
      <c r="B46" s="239" t="s">
        <v>1546</v>
      </c>
      <c r="C46" s="240">
        <f ca="1">ROUND((C33+C39)*F27,0)</f>
        <v>7378</v>
      </c>
      <c r="D46" s="254"/>
      <c r="E46" s="227"/>
      <c r="F46" s="237"/>
      <c r="G46" s="238"/>
    </row>
    <row r="47" spans="1:7" s="205" customFormat="1" ht="13.5" customHeight="1">
      <c r="A47" s="730" t="s">
        <v>347</v>
      </c>
      <c r="B47" s="239" t="s">
        <v>1547</v>
      </c>
      <c r="C47" s="229">
        <f ca="1">ROUND(C40*F27,4)</f>
        <v>5.0000000000000001E-3</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50046</v>
      </c>
      <c r="D49" s="223"/>
      <c r="E49" s="223"/>
      <c r="F49" s="255"/>
      <c r="G49" s="225" t="s">
        <v>1551</v>
      </c>
    </row>
    <row r="50" spans="1:7" s="249" customFormat="1" ht="24">
      <c r="A50" s="246" t="s">
        <v>1552</v>
      </c>
      <c r="B50" s="201" t="s">
        <v>1553</v>
      </c>
      <c r="C50" s="223"/>
      <c r="D50" s="223"/>
      <c r="E50" s="223"/>
      <c r="F50" s="255">
        <f>IF('数据-取费表'!B24=0,'数据-取费表'!N16,1)</f>
        <v>0.98</v>
      </c>
      <c r="G50" s="238" t="s">
        <v>1554</v>
      </c>
    </row>
    <row r="51" spans="1:7" ht="16.5" customHeight="1">
      <c r="A51" s="246" t="s">
        <v>1555</v>
      </c>
      <c r="B51" s="201" t="s">
        <v>1556</v>
      </c>
      <c r="C51" s="223">
        <f ca="1">ROUND(C49*F50,0)</f>
        <v>49045</v>
      </c>
      <c r="D51" s="223"/>
      <c r="E51" s="223"/>
      <c r="F51" s="255"/>
      <c r="G51" s="225" t="s">
        <v>1557</v>
      </c>
    </row>
    <row r="52" spans="1:7" s="199" customFormat="1" ht="16.5" thickBot="1">
      <c r="A52" s="256" t="s">
        <v>1558</v>
      </c>
      <c r="B52" s="257"/>
      <c r="C52" s="258">
        <f ca="1">C31+C51</f>
        <v>119712</v>
      </c>
      <c r="D52" s="257"/>
      <c r="E52" s="257"/>
      <c r="F52" s="257"/>
      <c r="G52" s="259"/>
    </row>
    <row r="55" spans="1:7" ht="15">
      <c r="B55" s="261" t="s">
        <v>1559</v>
      </c>
      <c r="C55" s="262"/>
    </row>
    <row r="56" spans="1:7">
      <c r="B56" s="264" t="s">
        <v>799</v>
      </c>
      <c r="C56" s="266">
        <f ca="1">1-C57</f>
        <v>0.59000000000000008</v>
      </c>
    </row>
    <row r="57" spans="1:7">
      <c r="B57" s="264" t="s">
        <v>800</v>
      </c>
      <c r="C57" s="265">
        <f ca="1">ROUND(C51/C52,3)</f>
        <v>0.41</v>
      </c>
    </row>
  </sheetData>
  <sheetProtection password="CEE9" sheet="1" objects="1" scenarios="1" formatCells="0"/>
  <mergeCells count="1">
    <mergeCell ref="G42:G44"/>
  </mergeCells>
  <phoneticPr fontId="136" type="noConversion"/>
  <dataValidations disablePrompts="1" count="6">
    <dataValidation type="list" allowBlank="1" showInputMessage="1" showErrorMessage="1" sqref="G8" xr:uid="{00000000-0002-0000-1B00-000000000000}">
      <formula1>"已包含在土地购买价格中,未包含在土地购买价格中"</formula1>
    </dataValidation>
    <dataValidation type="list" allowBlank="1" showInputMessage="1" showErrorMessage="1" sqref="G19" xr:uid="{00000000-0002-0000-1B00-000001000000}">
      <formula1>"已包含在土地取得成本中,未包含在土地取得成本中"</formula1>
    </dataValidation>
    <dataValidation type="list" allowBlank="1" showInputMessage="1" showErrorMessage="1" sqref="B1" xr:uid="{00000000-0002-0000-1B00-000002000000}">
      <formula1>项目类型</formula1>
    </dataValidation>
    <dataValidation type="list" allowBlank="1" showInputMessage="1" showErrorMessage="1" sqref="G9" xr:uid="{00000000-0002-0000-1B00-000003000000}">
      <formula1>"部分缴纳,全部缴纳"</formula1>
    </dataValidation>
    <dataValidation type="list" allowBlank="1" showInputMessage="1" showErrorMessage="1" sqref="G2" xr:uid="{00000000-0002-0000-1B00-000004000000}">
      <formula1>估价方法</formula1>
    </dataValidation>
    <dataValidation type="list" allowBlank="1" showInputMessage="1" showErrorMessage="1" sqref="D2" xr:uid="{00000000-0002-0000-1B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3" t="s">
        <v>895</v>
      </c>
    </row>
    <row r="3" spans="1:1" ht="18">
      <c r="A3" s="1374" t="str">
        <f>项目基本情况!B5&amp;"："</f>
        <v>：</v>
      </c>
    </row>
    <row r="4" spans="1:1" ht="18">
      <c r="A4" s="1375" t="str">
        <f>"受贵公司委托，我公司对"&amp;项目基本情况!S1&amp;"进行了预评估。"</f>
        <v>受贵公司委托，我公司对北京市房地产抵押价值进行了预评估。</v>
      </c>
    </row>
    <row r="5" spans="1:1" ht="18.75">
      <c r="A5" s="1376" t="s">
        <v>896</v>
      </c>
    </row>
    <row r="6" spans="1:1" ht="18.75">
      <c r="A6" s="1377" t="s">
        <v>897</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估价对象为北京市房地产，为所有。根据《国有土地使用证》[]，估价对象（分摊）出让国有建设用地使用权面积为28700平方米，建筑面积为232700.46平方米。</v>
      </c>
    </row>
    <row r="8" spans="1:1" ht="57.75">
      <c r="A8" s="1378" t="s">
        <v>898</v>
      </c>
    </row>
    <row r="9" spans="1:1" ht="18.75">
      <c r="A9" s="1377" t="s">
        <v>899</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估价对象为北京市房地产,属开发建设的，该项目尚在开发建设中。根据《国有土地使用证》[]，估价对象（分摊）出让国有建设用地使用权面积为28700平方米，规划建筑面积为232700.46平方米。</v>
      </c>
    </row>
    <row r="11" spans="1:1" ht="76.5">
      <c r="A11" s="1378" t="s">
        <v>900</v>
      </c>
    </row>
    <row r="12" spans="1:1" ht="18.75">
      <c r="A12" s="1376" t="s">
        <v>901</v>
      </c>
    </row>
    <row r="13" spans="1:1" ht="38.25" customHeight="1">
      <c r="A13" s="13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4" t="s">
        <v>902</v>
      </c>
    </row>
    <row r="15" spans="1:1" ht="18">
      <c r="A15" s="1379" t="str">
        <f>TEXT(项目基本情况!D3,"yyyy年m月d日;;")&amp;IF(项目基本情况!D3=项目基本情况!B3,"（评估专业人员实地查勘之日）","")</f>
        <v>2024年7月19日（评估专业人员实地查勘之日）</v>
      </c>
    </row>
    <row r="16" spans="1:1" ht="18.75">
      <c r="A16" s="1374" t="s">
        <v>903</v>
      </c>
    </row>
    <row r="17" spans="1:1" ht="75">
      <c r="A17" s="1375" t="s">
        <v>904</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5" t="str">
        <f>IF(项目基本情况!B9="房地产市场价值","——",IF(项目基本情况!E9="——","",定义!C57))</f>
        <v/>
      </c>
    </row>
    <row r="23" spans="1:1" ht="18.75">
      <c r="A23" s="1374" t="s">
        <v>893</v>
      </c>
    </row>
    <row r="24" spans="1:1" ht="18">
      <c r="A24" s="1380" t="str">
        <f>"本次评估采用的主估价方法为"&amp;结果表!K4&amp;"和"&amp;结果表!L4&amp;"。"</f>
        <v>本次评估采用的主估价方法为成本法和收益法。</v>
      </c>
    </row>
    <row r="25" spans="1:1" ht="18">
      <c r="A25" s="1380"/>
    </row>
    <row r="26" spans="1:1" ht="18.75">
      <c r="A26" s="1381"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1" customWidth="1"/>
    <col min="3" max="3" width="10.375" style="770" customWidth="1"/>
    <col min="4" max="4" width="9.875" style="731" customWidth="1"/>
    <col min="5" max="5" width="9.5" style="685"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1591</v>
      </c>
      <c r="B1" s="120"/>
      <c r="C1" s="1105"/>
      <c r="D1" s="1104"/>
      <c r="E1" s="2561"/>
      <c r="F1" s="2561"/>
      <c r="G1" s="2442"/>
      <c r="H1" s="2561"/>
      <c r="I1" s="2561"/>
      <c r="J1" s="2561"/>
      <c r="K1" s="2562">
        <f>MATCH(C1,'数据-取费表'!A6:A16,0)+5</f>
        <v>11</v>
      </c>
    </row>
    <row r="2" spans="1:33" ht="18" customHeight="1">
      <c r="A2" s="192" t="s">
        <v>1459</v>
      </c>
      <c r="B2" s="195">
        <f ca="1">C32</f>
        <v>-5285</v>
      </c>
      <c r="C2" s="267" t="s">
        <v>1592</v>
      </c>
      <c r="D2" s="267"/>
      <c r="E2" s="2561"/>
      <c r="F2" s="2561"/>
      <c r="G2" s="2561"/>
      <c r="H2" s="2561"/>
      <c r="I2" s="2561"/>
      <c r="J2" s="2561"/>
      <c r="K2" s="2561"/>
    </row>
    <row r="3" spans="1:33" ht="18" customHeight="1" thickBot="1">
      <c r="A3" s="194" t="s">
        <v>1461</v>
      </c>
      <c r="B3" s="195">
        <f ca="1">ROUND(B2*10000/IF(C1="",'数据-汇总表'!E3,INDIRECT("'数据-取费表'!K"&amp;$K$1)),0)</f>
        <v>-227</v>
      </c>
      <c r="C3" s="267" t="s">
        <v>1593</v>
      </c>
      <c r="D3" s="267"/>
      <c r="E3" s="2561"/>
      <c r="F3" s="2561"/>
      <c r="G3" s="2561"/>
      <c r="H3" s="2561"/>
      <c r="I3" s="2561"/>
      <c r="J3" s="2561"/>
      <c r="K3" s="2561"/>
    </row>
    <row r="4" spans="1:33" s="735" customFormat="1" ht="16.5" customHeight="1">
      <c r="A4" s="732" t="s">
        <v>1594</v>
      </c>
      <c r="B4" s="733"/>
      <c r="C4" s="771">
        <f>SUM(C8:K8)</f>
        <v>0</v>
      </c>
      <c r="D4" s="733"/>
      <c r="E4" s="733"/>
      <c r="F4" s="733"/>
      <c r="G4" s="733"/>
      <c r="H4" s="733"/>
      <c r="I4" s="733"/>
      <c r="J4" s="733"/>
      <c r="K4" s="734"/>
    </row>
    <row r="5" spans="1:33" s="739" customFormat="1" ht="15">
      <c r="A5" s="736" t="s">
        <v>1595</v>
      </c>
      <c r="B5" s="737" t="s">
        <v>1596</v>
      </c>
      <c r="C5" s="1711"/>
      <c r="D5" s="1711"/>
      <c r="E5" s="1711"/>
      <c r="F5" s="1711"/>
      <c r="G5" s="1711"/>
      <c r="H5" s="1711"/>
      <c r="I5" s="1711"/>
      <c r="J5" s="1711"/>
      <c r="K5" s="1711"/>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1597</v>
      </c>
      <c r="C6" s="741"/>
      <c r="D6" s="741"/>
      <c r="E6" s="741"/>
      <c r="F6" s="741"/>
      <c r="G6" s="741"/>
      <c r="H6" s="741"/>
      <c r="I6" s="741"/>
      <c r="J6" s="741"/>
      <c r="K6" s="742"/>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0"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2" t="s">
        <v>1600</v>
      </c>
      <c r="B8" s="155" t="s">
        <v>1601</v>
      </c>
      <c r="C8" s="772"/>
      <c r="D8" s="772"/>
      <c r="E8" s="772"/>
      <c r="F8" s="773"/>
      <c r="G8" s="773"/>
      <c r="H8" s="773"/>
      <c r="I8" s="773"/>
      <c r="J8" s="773"/>
      <c r="K8" s="774"/>
      <c r="L8" s="682"/>
      <c r="M8" s="682"/>
      <c r="N8" s="682"/>
      <c r="O8" s="682"/>
      <c r="P8" s="682"/>
      <c r="Q8" s="682"/>
      <c r="R8" s="682"/>
      <c r="S8" s="682"/>
      <c r="T8" s="682"/>
      <c r="U8" s="682"/>
      <c r="V8" s="682"/>
      <c r="W8" s="682"/>
      <c r="X8" s="682"/>
      <c r="Y8" s="682"/>
      <c r="Z8" s="682"/>
      <c r="AA8" s="682"/>
      <c r="AB8" s="682"/>
      <c r="AC8" s="682"/>
      <c r="AD8" s="682"/>
      <c r="AE8" s="682"/>
      <c r="AF8" s="682"/>
      <c r="AG8" s="682"/>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7"/>
      <c r="F12" s="760">
        <f>'数据-取费表'!B33</f>
        <v>0.1</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7"/>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232700.46000000008</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2.5000000000000001E-2</v>
      </c>
      <c r="G15" s="122"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232700.46000000008</v>
      </c>
      <c r="E17" s="21">
        <f>'数据-取费表'!B32</f>
        <v>0</v>
      </c>
      <c r="F17" s="754"/>
      <c r="G17" s="122" t="s">
        <v>1620</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4421</v>
      </c>
      <c r="D18" s="792"/>
      <c r="E18" s="21"/>
      <c r="F18" s="752"/>
      <c r="G18" s="1713"/>
      <c r="H18" s="1101"/>
      <c r="I18" s="1714"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3"/>
      <c r="I19" s="757"/>
      <c r="J19" s="757"/>
      <c r="K19" s="758"/>
    </row>
    <row r="20" spans="1:33" s="751" customFormat="1" ht="13.5" customHeight="1">
      <c r="A20" s="748" t="s">
        <v>361</v>
      </c>
      <c r="B20" s="749" t="s">
        <v>1624</v>
      </c>
      <c r="C20" s="21">
        <f ca="1">ROUND(D20*E20/10000,0)</f>
        <v>4421</v>
      </c>
      <c r="D20" s="792">
        <f ca="1">IF(C1="",'数据-汇总表'!E6,IF(INDIRECT("'数据-取费表'!c"&amp;$K$1)="住宅",INDIRECT("'数据-取费表'!s"&amp;$K$1),INDIRECT("'数据-取费表'!k"&amp;$K$1)+INDIRECT("'数据-取费表'!s"&amp;$K$1)))</f>
        <v>232700.46000000008</v>
      </c>
      <c r="E20" s="21">
        <f>'数据-取费表'!B28</f>
        <v>190</v>
      </c>
      <c r="F20" s="752"/>
      <c r="G20" s="12"/>
      <c r="H20" s="757"/>
      <c r="I20" s="757"/>
      <c r="J20" s="757"/>
      <c r="K20" s="758"/>
    </row>
    <row r="21" spans="1:33" s="751" customFormat="1" ht="13.5" customHeight="1">
      <c r="A21" s="740" t="s">
        <v>357</v>
      </c>
      <c r="B21" s="761" t="s">
        <v>1625</v>
      </c>
      <c r="C21" s="762">
        <f ca="1">C16+C17+C18</f>
        <v>4421</v>
      </c>
      <c r="D21" s="763"/>
      <c r="E21" s="272"/>
      <c r="F21" s="272"/>
      <c r="G21" s="122" t="s">
        <v>1626</v>
      </c>
      <c r="H21" s="755"/>
      <c r="I21" s="755"/>
      <c r="J21" s="755"/>
      <c r="K21" s="756"/>
    </row>
    <row r="22" spans="1:33" s="751" customFormat="1" ht="13.5" customHeight="1">
      <c r="A22" s="740" t="s">
        <v>1598</v>
      </c>
      <c r="B22" s="761" t="s">
        <v>1627</v>
      </c>
      <c r="C22" s="762">
        <f ca="1">ROUND(C21*F22,0)</f>
        <v>111</v>
      </c>
      <c r="D22" s="272"/>
      <c r="E22" s="272"/>
      <c r="F22" s="764">
        <f>'数据-取费表'!B37</f>
        <v>2.5000000000000001E-2</v>
      </c>
      <c r="G22" s="5" t="s">
        <v>1628</v>
      </c>
      <c r="H22" s="745"/>
      <c r="I22" s="745"/>
      <c r="J22" s="745"/>
      <c r="K22" s="746"/>
    </row>
    <row r="23" spans="1:33" s="751" customFormat="1" ht="13.5" customHeight="1">
      <c r="A23" s="740" t="s">
        <v>1600</v>
      </c>
      <c r="B23" s="761" t="s">
        <v>1629</v>
      </c>
      <c r="C23" s="762">
        <f ca="1">ROUND(C4*F23*F11,0)</f>
        <v>0</v>
      </c>
      <c r="D23" s="272"/>
      <c r="E23" s="272"/>
      <c r="F23" s="764">
        <f>'数据-取费表'!B38</f>
        <v>2.5000000000000001E-2</v>
      </c>
      <c r="G23" s="5" t="s">
        <v>1630</v>
      </c>
      <c r="H23" s="745"/>
      <c r="I23" s="745"/>
      <c r="J23" s="745"/>
      <c r="K23" s="746"/>
    </row>
    <row r="24" spans="1:33" s="751" customFormat="1" ht="13.5" customHeight="1">
      <c r="A24" s="740" t="s">
        <v>1631</v>
      </c>
      <c r="B24" s="761" t="s">
        <v>1632</v>
      </c>
      <c r="C24" s="271">
        <f>ROUND(F24/(1+'数据-取费表'!C42),4)</f>
        <v>2.9000000000000001E-2</v>
      </c>
      <c r="D24" s="272" t="s">
        <v>12</v>
      </c>
      <c r="E24" s="272"/>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8">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39">
        <f ca="1">ROUND(IF('数据-取费表'!B22&lt;=1,(1+C24)*F25*'数据-取费表'!B24,(1+C24)*(POWER((1+F25),'数据-取费表'!B24)-1)),4)</f>
        <v>0</v>
      </c>
      <c r="D26" s="275"/>
      <c r="E26" s="276"/>
      <c r="F26" s="277"/>
      <c r="G26" s="1715"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0">
        <f ca="1">ROUND(IF('数据-取费表'!B22&lt;=1,(C21+C22+C23)*F25*'数据-取费表'!B24/2,(C21+C22+C23)*(POWER((1+F25),'数据-取费表'!B24/2)-1)),0)</f>
        <v>0</v>
      </c>
      <c r="D27" s="275"/>
      <c r="E27" s="276"/>
      <c r="F27" s="277"/>
      <c r="G27" s="1715" t="str">
        <f>IF('数据-取费表'!B22&lt;=1,"（1）-（3）项×年利率×建设期÷2","（1）-（3）项×((1+年利率)^(建设期÷2)-1)")</f>
        <v>（1）-（3）项×((1+年利率)^(建设期÷2)-1)</v>
      </c>
      <c r="H27" s="755"/>
      <c r="I27" s="755"/>
      <c r="J27" s="755"/>
      <c r="K27" s="756"/>
    </row>
    <row r="28" spans="1:33" s="280" customFormat="1" ht="13.5" customHeight="1">
      <c r="A28" s="740" t="s">
        <v>1638</v>
      </c>
      <c r="B28" s="1716" t="s">
        <v>1639</v>
      </c>
      <c r="C28" s="278">
        <f ca="1">C30</f>
        <v>906</v>
      </c>
      <c r="D28" s="271">
        <f ca="1">C29</f>
        <v>0</v>
      </c>
      <c r="E28" s="273" t="s">
        <v>12</v>
      </c>
      <c r="F28" s="279">
        <f ca="1">IF(C1="",'数据-取费表'!Q16,INDIRECT("'数据-取费表'!q"&amp;$K$1))</f>
        <v>0.2</v>
      </c>
      <c r="G28" s="765"/>
      <c r="H28" s="766"/>
      <c r="I28" s="766"/>
      <c r="J28" s="766"/>
      <c r="K28" s="55"/>
    </row>
    <row r="29" spans="1:33" s="282" customFormat="1" ht="13.5" customHeight="1">
      <c r="A29" s="748" t="s">
        <v>358</v>
      </c>
      <c r="B29" s="769" t="s">
        <v>1640</v>
      </c>
      <c r="C29" s="275">
        <f ca="1">ROUND((1+C24)*F28*'数据-取费表'!B24/'数据-取费表'!B20,4)</f>
        <v>0</v>
      </c>
      <c r="D29" s="275"/>
      <c r="E29" s="276"/>
      <c r="F29" s="281"/>
      <c r="G29" s="122" t="s">
        <v>1641</v>
      </c>
      <c r="H29" s="755"/>
      <c r="I29" s="755"/>
      <c r="J29" s="755"/>
      <c r="K29" s="756"/>
    </row>
    <row r="30" spans="1:33" s="282" customFormat="1" ht="13.5" customHeight="1">
      <c r="A30" s="748" t="s">
        <v>359</v>
      </c>
      <c r="B30" s="769" t="s">
        <v>1642</v>
      </c>
      <c r="C30" s="283">
        <f ca="1">ROUND((C21+C22+C23)*F28,0)</f>
        <v>906</v>
      </c>
      <c r="D30" s="275"/>
      <c r="E30" s="276"/>
      <c r="F30" s="281"/>
      <c r="G30" s="122"/>
      <c r="H30" s="755"/>
      <c r="I30" s="755"/>
      <c r="J30" s="755"/>
      <c r="K30" s="756"/>
    </row>
    <row r="31" spans="1:33" s="751" customFormat="1" ht="13.5" customHeight="1" thickBot="1">
      <c r="A31" s="1717" t="s">
        <v>1643</v>
      </c>
      <c r="B31" s="779" t="s">
        <v>1644</v>
      </c>
      <c r="C31" s="780">
        <f>ROUND(C4*F31/(1+'数据-取费表'!C42),0)</f>
        <v>0</v>
      </c>
      <c r="D31" s="781"/>
      <c r="E31" s="782"/>
      <c r="F31" s="783">
        <f>'数据-取费表'!B41</f>
        <v>5.5000000000000007E-2</v>
      </c>
      <c r="G31" s="784" t="s">
        <v>1645</v>
      </c>
      <c r="H31" s="785"/>
      <c r="I31" s="785"/>
      <c r="J31" s="785"/>
      <c r="K31" s="786"/>
    </row>
    <row r="32" spans="1:33" s="747" customFormat="1" ht="13.5" customHeight="1" thickBot="1">
      <c r="A32" s="448" t="s">
        <v>1646</v>
      </c>
      <c r="B32" s="775"/>
      <c r="C32" s="776">
        <f ca="1">ROUND((C4-C21-C22-C23-C25-C28-C31)/(1+C24+D25+D28),0)</f>
        <v>-5285</v>
      </c>
      <c r="D32" s="775"/>
      <c r="E32" s="775"/>
      <c r="F32" s="775"/>
      <c r="G32" s="777" t="s">
        <v>1647</v>
      </c>
      <c r="H32" s="775"/>
      <c r="I32" s="775"/>
      <c r="J32" s="775"/>
      <c r="K32" s="778"/>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C00-000000000000}">
      <formula1>项目类型</formula1>
    </dataValidation>
    <dataValidation type="list" allowBlank="1" showInputMessage="1" showErrorMessage="1" sqref="G18" xr:uid="{00000000-0002-0000-1C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7" zoomScale="85" zoomScaleNormal="80" zoomScaleSheetLayoutView="85" workbookViewId="0">
      <selection activeCell="E37" activeCellId="1" sqref="V2:V5 E37:E38"/>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7" t="s">
        <v>1923</v>
      </c>
      <c r="B1" s="188"/>
      <c r="C1" s="192" t="s">
        <v>1924</v>
      </c>
      <c r="D1" s="332">
        <f>SUM(D33:D34,D37:D42)</f>
        <v>56346.28</v>
      </c>
      <c r="E1" s="1835"/>
      <c r="F1" s="1835"/>
      <c r="G1" s="1835"/>
      <c r="H1" s="1835"/>
      <c r="I1" s="1835"/>
      <c r="J1" s="1835"/>
      <c r="K1" s="1051"/>
      <c r="L1" s="1836" t="s">
        <v>1925</v>
      </c>
      <c r="M1" s="806">
        <f>SUMPRODUCT((区片价!B5:B9=I2)*(区片价!C3:G3=E2)*(区片价!C5:G9))</f>
        <v>0</v>
      </c>
      <c r="N1" s="809">
        <f>SUMPRODUCT((因素修正幅度!B5:B9=I2)*(因素修正幅度!C3:G3=E2)*(因素修正幅度!C5:G9))</f>
        <v>0</v>
      </c>
      <c r="O1" s="1837"/>
      <c r="P1" s="1837"/>
      <c r="Q1" s="1051"/>
      <c r="R1" s="1124" t="s">
        <v>1926</v>
      </c>
      <c r="S1" s="1124" t="s">
        <v>1927</v>
      </c>
      <c r="T1" s="1124" t="s">
        <v>1928</v>
      </c>
      <c r="U1" s="1124" t="s">
        <v>1929</v>
      </c>
      <c r="V1" s="1124" t="s">
        <v>1930</v>
      </c>
      <c r="W1" s="1128"/>
      <c r="X1" s="1128"/>
      <c r="Y1" s="1128"/>
      <c r="Z1" s="1128"/>
      <c r="AA1" s="1128"/>
      <c r="AB1" s="1128"/>
      <c r="AC1" s="1129"/>
      <c r="AD1" s="1130"/>
      <c r="AE1" s="1130"/>
      <c r="AF1" s="1130"/>
      <c r="AG1" s="1130"/>
      <c r="AH1" s="1130"/>
      <c r="AI1" s="1130"/>
      <c r="AJ1" s="1131"/>
    </row>
    <row r="2" spans="1:36" ht="15.75">
      <c r="A2" s="192" t="s">
        <v>1931</v>
      </c>
      <c r="B2" s="195">
        <f>C30</f>
        <v>46589</v>
      </c>
      <c r="C2" s="1839" t="s">
        <v>1932</v>
      </c>
      <c r="D2" s="161" t="s">
        <v>1933</v>
      </c>
      <c r="E2" s="3114" t="s">
        <v>670</v>
      </c>
      <c r="F2" s="161" t="s">
        <v>1934</v>
      </c>
      <c r="G2" s="162" t="str">
        <f>IF(E2="商业",项目基本情况!B37,IF(E2="办公",项目基本情况!C37,IF(E2="住宅",项目基本情况!D37,IF(E2="工业",项目基本情况!E37,项目基本情况!F37))))</f>
        <v>七级</v>
      </c>
      <c r="H2" s="161" t="s">
        <v>1935</v>
      </c>
      <c r="I2" s="162" t="str">
        <f>IF(E2="商业",项目基本情况!B38,IF(E2="办公",项目基本情况!C38,IF(E2="住宅",项目基本情况!D38,IF(E2="工业",项目基本情况!E38,项目基本情况!F38))))</f>
        <v>Ⅶ-昌3</v>
      </c>
      <c r="J2" s="1835"/>
      <c r="K2" s="1051"/>
      <c r="L2" s="1840" t="s">
        <v>1936</v>
      </c>
      <c r="M2" s="807">
        <f>SUMPRODUCT((区片价!B10:B29=I2)*(区片价!C3:G3=E2)*(区片价!C10:G29))</f>
        <v>0</v>
      </c>
      <c r="N2" s="809">
        <f>SUMPRODUCT((因素修正幅度!B10:B29=I2)*(因素修正幅度!C3:G3=E2)*(因素修正幅度!C10:G29))</f>
        <v>0</v>
      </c>
      <c r="O2" s="1051"/>
      <c r="P2" s="1051"/>
      <c r="Q2" s="1051"/>
      <c r="R2" s="1124">
        <v>1</v>
      </c>
      <c r="S2" s="3057">
        <f>ROUND(SUMPRODUCT((B106:B110=R2)*(C105:N105=G2)*(C106:N110)),4)</f>
        <v>1.5019</v>
      </c>
      <c r="T2" s="3057">
        <f t="shared" ref="T2:T16" si="0">ROUND($C$5*$C$22*$C$23*$C$24*S2*$C$28,0)</f>
        <v>13625</v>
      </c>
      <c r="U2" s="1125">
        <f>'数据-取费表'!S21</f>
        <v>9391.0450000000001</v>
      </c>
      <c r="V2" s="3057">
        <f>ROUND(T2*U2/10000,0)</f>
        <v>12795</v>
      </c>
      <c r="W2" s="1128"/>
      <c r="X2" s="1128"/>
      <c r="Y2" s="1128"/>
      <c r="Z2" s="1128"/>
      <c r="AA2" s="1128"/>
      <c r="AB2" s="1128"/>
      <c r="AC2" s="1129"/>
      <c r="AD2" s="1130"/>
      <c r="AE2" s="1130"/>
      <c r="AF2" s="1130"/>
      <c r="AG2" s="1130"/>
      <c r="AH2" s="1130"/>
      <c r="AI2" s="1130"/>
      <c r="AJ2" s="1131"/>
    </row>
    <row r="3" spans="1:36" ht="15.75">
      <c r="A3" s="194" t="s">
        <v>1937</v>
      </c>
      <c r="B3" s="195">
        <f>ROUND(B2*10000/D1,0)</f>
        <v>8268</v>
      </c>
      <c r="C3" s="1839" t="s">
        <v>1938</v>
      </c>
      <c r="D3" s="161" t="s">
        <v>1939</v>
      </c>
      <c r="E3" s="3112" t="s">
        <v>2428</v>
      </c>
      <c r="F3" s="1841" t="s">
        <v>4163</v>
      </c>
      <c r="G3" s="704">
        <f>IF(F3="宗地容积率",'数据-汇总表'!I4,IF(F3="估价对象容积率",'数据-汇总表'!I6,'数据-汇总表'!I7))</f>
        <v>6.2</v>
      </c>
      <c r="H3" s="161" t="s">
        <v>1940</v>
      </c>
      <c r="I3" s="725">
        <v>1</v>
      </c>
      <c r="J3" s="1835" t="s">
        <v>1941</v>
      </c>
      <c r="K3" s="1051"/>
      <c r="L3" s="1840" t="s">
        <v>1942</v>
      </c>
      <c r="M3" s="807">
        <f>SUMPRODUCT((区片价!B30:B54=I2)*(区片价!C3:G3=E2)*(区片价!C30:G54))</f>
        <v>0</v>
      </c>
      <c r="N3" s="809">
        <f>SUMPRODUCT((因素修正幅度!B30:B54=I2)*(因素修正幅度!C3:G3=E2)*(因素修正幅度!C30:G54))</f>
        <v>0</v>
      </c>
      <c r="O3" s="1051"/>
      <c r="P3" s="1051"/>
      <c r="Q3" s="1051"/>
      <c r="R3" s="1124">
        <v>2</v>
      </c>
      <c r="S3" s="3057">
        <f>ROUND(SUMPRODUCT((B106:B110=R3)*(C105:N105=G2)*(C106:N110)),4)</f>
        <v>1.1838</v>
      </c>
      <c r="T3" s="3057">
        <f t="shared" si="0"/>
        <v>10739</v>
      </c>
      <c r="U3" s="1125">
        <f>'数据-取费表'!S22</f>
        <v>9391.0450000000001</v>
      </c>
      <c r="V3" s="3057">
        <f t="shared" ref="V3:V16" si="1">ROUND(T3*U3/10000,0)</f>
        <v>10085</v>
      </c>
      <c r="W3" s="1128"/>
      <c r="X3" s="1128"/>
      <c r="Y3" s="1128"/>
      <c r="Z3" s="1128"/>
      <c r="AA3" s="1128"/>
      <c r="AB3" s="1128"/>
      <c r="AC3" s="1129"/>
      <c r="AD3" s="1130"/>
      <c r="AE3" s="1130"/>
      <c r="AF3" s="1130"/>
      <c r="AG3" s="1130"/>
      <c r="AH3" s="1130"/>
      <c r="AI3" s="1130"/>
      <c r="AJ3" s="1131"/>
    </row>
    <row r="4" spans="1:36" ht="15.75">
      <c r="A4" s="3395"/>
      <c r="B4" s="3396"/>
      <c r="C4" s="3396"/>
      <c r="D4" s="3397"/>
      <c r="E4" s="3397"/>
      <c r="F4" s="3397"/>
      <c r="G4" s="3397"/>
      <c r="H4" s="3397"/>
      <c r="I4" s="3397"/>
      <c r="J4" s="3398"/>
      <c r="K4" s="1051"/>
      <c r="L4" s="1840" t="s">
        <v>1943</v>
      </c>
      <c r="M4" s="807">
        <f>SUMPRODUCT((区片价!B55:B86=I2)*(区片价!C3:G3=E2)*(区片价!C55:G86))</f>
        <v>0</v>
      </c>
      <c r="N4" s="809">
        <f>SUMPRODUCT((因素修正幅度!B55:B86=I2)*(因素修正幅度!C3:G3=E2)*(因素修正幅度!C55:G86))</f>
        <v>0</v>
      </c>
      <c r="O4" s="1051"/>
      <c r="P4" s="1051"/>
      <c r="Q4" s="1051"/>
      <c r="R4" s="1124">
        <v>3</v>
      </c>
      <c r="S4" s="3057">
        <f>ROUND(SUMPRODUCT((B106:B110=R4)*(C105:N105=G2)*(C106:N110)),4)</f>
        <v>1.0004999999999999</v>
      </c>
      <c r="T4" s="3057">
        <f t="shared" si="0"/>
        <v>9076</v>
      </c>
      <c r="U4" s="1125">
        <f>'数据-取费表'!S23</f>
        <v>9391.0450000000001</v>
      </c>
      <c r="V4" s="3057">
        <f t="shared" si="1"/>
        <v>8523</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1944</v>
      </c>
      <c r="C5" s="705">
        <f>ROUND(IF(E2="商业",C6*C7*C17+C20,(IF(E2="住宅",C6*C13*C17+C20,IF(E2="办公",C6*C12*C17+C20,C6+C20)))),0)</f>
        <v>9030</v>
      </c>
      <c r="D5" s="1245">
        <f>ROUND(C6*C17+C20,0)</f>
        <v>9030</v>
      </c>
      <c r="E5" s="1245"/>
      <c r="F5" s="1844"/>
      <c r="G5" s="1845"/>
      <c r="H5" s="1845"/>
      <c r="I5" s="1845"/>
      <c r="J5" s="1846"/>
      <c r="K5" s="1847"/>
      <c r="L5" s="1840" t="s">
        <v>1945</v>
      </c>
      <c r="M5" s="807">
        <f>SUMPRODUCT((区片价!B87:B126=I2)*(区片价!C3:G3=E2)*(区片价!C87:G126))</f>
        <v>0</v>
      </c>
      <c r="N5" s="809">
        <f>SUMPRODUCT((因素修正幅度!B87:B126=I2)*(因素修正幅度!C3:G3=E2)*(因素修正幅度!C87:G126))</f>
        <v>0</v>
      </c>
      <c r="O5" s="1051"/>
      <c r="P5" s="1051"/>
      <c r="Q5" s="1051"/>
      <c r="R5" s="1124">
        <v>4</v>
      </c>
      <c r="S5" s="3057">
        <f>ROUND(SUMPRODUCT((B106:B110=R5)*(C105:N105=G2)*(C106:N110)),4)</f>
        <v>0.88239999999999996</v>
      </c>
      <c r="T5" s="3057">
        <f t="shared" si="0"/>
        <v>8005</v>
      </c>
      <c r="U5" s="1125">
        <f>'数据-取费表'!S24</f>
        <v>9391.0450000000001</v>
      </c>
      <c r="V5" s="3057">
        <f t="shared" si="1"/>
        <v>7518</v>
      </c>
      <c r="W5" s="1128"/>
      <c r="X5" s="1128"/>
      <c r="Y5" s="1128"/>
      <c r="Z5" s="1128"/>
      <c r="AA5" s="1128"/>
      <c r="AB5" s="1128"/>
      <c r="AC5" s="1848"/>
      <c r="AD5" s="1849"/>
      <c r="AE5" s="1849"/>
      <c r="AF5" s="1849"/>
      <c r="AG5" s="1849"/>
      <c r="AH5" s="1849"/>
      <c r="AI5" s="1849"/>
      <c r="AJ5" s="1850"/>
    </row>
    <row r="6" spans="1:36" ht="15.75" thickBot="1">
      <c r="A6" s="1852" t="s">
        <v>1946</v>
      </c>
      <c r="B6" s="1853" t="s">
        <v>1947</v>
      </c>
      <c r="C6" s="706">
        <f>SUMIF(L1:L12,G2,M1:M12)</f>
        <v>9030</v>
      </c>
      <c r="D6" s="1854"/>
      <c r="E6" s="1855"/>
      <c r="F6" s="1855"/>
      <c r="G6" s="1856"/>
      <c r="H6" s="1856"/>
      <c r="I6" s="1856"/>
      <c r="J6" s="1857"/>
      <c r="K6" s="1285"/>
      <c r="L6" s="1840" t="s">
        <v>1948</v>
      </c>
      <c r="M6" s="807">
        <f>SUMPRODUCT((区片价!B127:B189=I2)*(区片价!C3:G3=E2)*(区片价!C127:G189))</f>
        <v>0</v>
      </c>
      <c r="N6" s="809">
        <f>SUMPRODUCT((因素修正幅度!B127:B189=I2)*(因素修正幅度!C3:G3=E2)*(因素修正幅度!C127:G189))</f>
        <v>0</v>
      </c>
      <c r="O6" s="1051"/>
      <c r="P6" s="1051"/>
      <c r="Q6" s="1051"/>
      <c r="R6" s="1124">
        <v>5</v>
      </c>
      <c r="S6" s="3057">
        <f>ROUND(SUMPRODUCT((B106:B110=R6)*(C105:N105=G2)*(C106:N110)),4)</f>
        <v>0.84799999999999998</v>
      </c>
      <c r="T6" s="3057">
        <f t="shared" si="0"/>
        <v>7693</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3226</v>
      </c>
      <c r="B7" s="1858" t="s">
        <v>1949</v>
      </c>
      <c r="C7" s="707">
        <f>IF(C8="不临65条商业街",1,ROUND(1+(1.6*E8+1.2*E9+0.8*E10+0.4*E11)*C9,4))</f>
        <v>1</v>
      </c>
      <c r="D7" s="1859" t="s">
        <v>1950</v>
      </c>
      <c r="E7" s="726"/>
      <c r="F7" s="1860"/>
      <c r="G7" s="1861"/>
      <c r="H7" s="1861"/>
      <c r="I7" s="1861"/>
      <c r="J7" s="1862"/>
      <c r="K7" s="1285"/>
      <c r="L7" s="1840" t="s">
        <v>1951</v>
      </c>
      <c r="M7" s="807">
        <f>SUMPRODUCT((区片价!B190:B233=I2)*(区片价!C3:G3=E2)*(区片价!C190:G233))</f>
        <v>9030</v>
      </c>
      <c r="N7" s="809">
        <f>SUMPRODUCT((因素修正幅度!B190:B233=I2)*(因素修正幅度!C3:G3=E2)*(因素修正幅度!C190:G233))</f>
        <v>0.129</v>
      </c>
      <c r="O7" s="1051"/>
      <c r="P7" s="1051"/>
      <c r="Q7" s="1051"/>
      <c r="R7" s="1124">
        <v>6</v>
      </c>
      <c r="S7" s="3111"/>
      <c r="T7" s="3057">
        <f t="shared" si="0"/>
        <v>0</v>
      </c>
      <c r="U7" s="1125"/>
      <c r="V7" s="3057">
        <f t="shared" si="1"/>
        <v>0</v>
      </c>
      <c r="W7" s="1260" t="s">
        <v>1952</v>
      </c>
      <c r="X7" s="1126" t="str">
        <f>G2</f>
        <v>七级</v>
      </c>
      <c r="Y7" s="1126" t="s">
        <v>1953</v>
      </c>
      <c r="Z7" s="1127">
        <f>G3</f>
        <v>6.2</v>
      </c>
      <c r="AA7" s="1128"/>
      <c r="AB7" s="1128"/>
      <c r="AC7" s="1129"/>
      <c r="AD7" s="1130"/>
      <c r="AE7" s="1130"/>
      <c r="AF7" s="1130"/>
      <c r="AG7" s="1130"/>
      <c r="AH7" s="1130"/>
      <c r="AI7" s="1130"/>
      <c r="AJ7" s="1131"/>
    </row>
    <row r="8" spans="1:36" ht="25.5">
      <c r="A8" s="3003"/>
      <c r="B8" s="161" t="s">
        <v>1954</v>
      </c>
      <c r="C8" s="1863" t="s">
        <v>4160</v>
      </c>
      <c r="D8" s="708" t="s">
        <v>112</v>
      </c>
      <c r="E8" s="709" t="e">
        <f>ROUND(C11/E7,4)</f>
        <v>#DIV/0!</v>
      </c>
      <c r="F8" s="1864" t="s">
        <v>1955</v>
      </c>
      <c r="G8" s="1865"/>
      <c r="H8" s="1865"/>
      <c r="I8" s="1865"/>
      <c r="J8" s="1866"/>
      <c r="K8" s="1051"/>
      <c r="L8" s="1840" t="s">
        <v>1956</v>
      </c>
      <c r="M8" s="807">
        <f>SUMPRODUCT((区片价!B234:B276=I2)*(区片价!C3:G3=E2)*(区片价!C234:G276))</f>
        <v>0</v>
      </c>
      <c r="N8" s="809">
        <f>SUMPRODUCT((因素修正幅度!B234:B276=I2)*(因素修正幅度!C3:G3=E2)*(因素修正幅度!C234:G276))</f>
        <v>0</v>
      </c>
      <c r="O8" s="1051"/>
      <c r="P8" s="1051"/>
      <c r="Q8" s="1051"/>
      <c r="R8" s="1124">
        <v>7</v>
      </c>
      <c r="S8" s="1125"/>
      <c r="T8" s="3057">
        <f t="shared" si="0"/>
        <v>0</v>
      </c>
      <c r="U8" s="1125"/>
      <c r="V8" s="3057">
        <f t="shared" si="1"/>
        <v>0</v>
      </c>
      <c r="W8" s="3392" t="s">
        <v>1957</v>
      </c>
      <c r="X8" s="3393"/>
      <c r="Y8" s="1132" t="s">
        <v>1958</v>
      </c>
      <c r="Z8" s="1132" t="s">
        <v>1959</v>
      </c>
      <c r="AA8" s="1132" t="s">
        <v>1960</v>
      </c>
      <c r="AB8" s="1132" t="s">
        <v>1961</v>
      </c>
      <c r="AC8" s="1132" t="s">
        <v>1962</v>
      </c>
      <c r="AD8" s="1132" t="s">
        <v>1963</v>
      </c>
      <c r="AE8" s="1132" t="s">
        <v>1964</v>
      </c>
      <c r="AF8" s="1132" t="s">
        <v>1965</v>
      </c>
      <c r="AG8" s="1132" t="s">
        <v>1966</v>
      </c>
      <c r="AH8" s="1132" t="s">
        <v>1967</v>
      </c>
      <c r="AI8" s="1132" t="s">
        <v>1968</v>
      </c>
      <c r="AJ8" s="1132" t="s">
        <v>1969</v>
      </c>
    </row>
    <row r="9" spans="1:36" ht="15">
      <c r="A9" s="3003"/>
      <c r="B9" s="161" t="s">
        <v>1970</v>
      </c>
      <c r="C9" s="710">
        <f>SUMIF(修正!C71:C138,C8,修正!E71:E138)</f>
        <v>0</v>
      </c>
      <c r="D9" s="162" t="s">
        <v>113</v>
      </c>
      <c r="E9" s="162" t="e">
        <f>ROUND(C11/E7,4)</f>
        <v>#DIV/0!</v>
      </c>
      <c r="F9" s="1864" t="s">
        <v>1971</v>
      </c>
      <c r="G9" s="1865"/>
      <c r="H9" s="1865"/>
      <c r="I9" s="1865"/>
      <c r="J9" s="1866"/>
      <c r="K9" s="1051"/>
      <c r="L9" s="1840" t="s">
        <v>1972</v>
      </c>
      <c r="M9" s="807">
        <f>SUMPRODUCT((区片价!B277:B326=I2)*(区片价!C3:G3=E2)*(区片价!C277:G326))</f>
        <v>0</v>
      </c>
      <c r="N9" s="809">
        <f>SUMPRODUCT((因素修正幅度!B277:B326=I2)*(因素修正幅度!C3:G3=E2)*(因素修正幅度!C277:G326))</f>
        <v>0</v>
      </c>
      <c r="O9" s="1051"/>
      <c r="P9" s="1051"/>
      <c r="Q9" s="1051"/>
      <c r="R9" s="1124">
        <v>8</v>
      </c>
      <c r="S9" s="1125"/>
      <c r="T9" s="3057">
        <f t="shared" si="0"/>
        <v>0</v>
      </c>
      <c r="U9" s="1125"/>
      <c r="V9" s="3057">
        <f t="shared" si="1"/>
        <v>0</v>
      </c>
      <c r="W9" s="3394"/>
      <c r="X9" s="3058" t="s">
        <v>3256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4" t="s">
        <v>1974</v>
      </c>
      <c r="G10" s="1865"/>
      <c r="H10" s="1865"/>
      <c r="I10" s="1865"/>
      <c r="J10" s="1866"/>
      <c r="K10" s="1051"/>
      <c r="L10" s="1840" t="s">
        <v>1975</v>
      </c>
      <c r="M10" s="807">
        <f>SUMPRODUCT((区片价!B327:B357=I2)*(区片价!C3:G3=E2)*(区片价!C327:G357))</f>
        <v>0</v>
      </c>
      <c r="N10" s="809">
        <f>SUMPRODUCT((因素修正幅度!B327:B357=I2)*(因素修正幅度!C3:G3=E2)*(因素修正幅度!C327:G357))</f>
        <v>0</v>
      </c>
      <c r="O10" s="1051"/>
      <c r="P10" s="1051"/>
      <c r="Q10" s="1051"/>
      <c r="R10" s="1124">
        <v>9</v>
      </c>
      <c r="S10" s="1125"/>
      <c r="T10" s="3057">
        <f t="shared" si="0"/>
        <v>0</v>
      </c>
      <c r="U10" s="1125"/>
      <c r="V10" s="3057">
        <f t="shared" si="1"/>
        <v>0</v>
      </c>
      <c r="W10" s="339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1976</v>
      </c>
      <c r="C11" s="711">
        <f>C10/4</f>
        <v>0</v>
      </c>
      <c r="D11" s="711" t="s">
        <v>115</v>
      </c>
      <c r="E11" s="711" t="e">
        <f>ROUND(C11/E7,4)</f>
        <v>#DIV/0!</v>
      </c>
      <c r="F11" s="1868" t="s">
        <v>1977</v>
      </c>
      <c r="G11" s="1869"/>
      <c r="H11" s="1869"/>
      <c r="I11" s="1869"/>
      <c r="J11" s="1870"/>
      <c r="K11" s="1051"/>
      <c r="L11" s="1840" t="s">
        <v>1978</v>
      </c>
      <c r="M11" s="807">
        <f>SUMPRODUCT((区片价!B358:B377=I2)*(区片价!C3:G3=E2)*(区片价!C358:G377))</f>
        <v>0</v>
      </c>
      <c r="N11" s="809">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5" thickBot="1">
      <c r="A12" s="3006" t="s">
        <v>3227</v>
      </c>
      <c r="B12" s="3007" t="s">
        <v>3228</v>
      </c>
      <c r="C12" s="3008">
        <v>1</v>
      </c>
      <c r="D12" s="3009" t="s">
        <v>3229</v>
      </c>
      <c r="E12" s="3010" t="s">
        <v>3230</v>
      </c>
      <c r="F12" s="3011"/>
      <c r="G12" s="3012"/>
      <c r="H12" s="3012"/>
      <c r="I12" s="3012"/>
      <c r="J12" s="3013"/>
      <c r="K12" s="1051"/>
      <c r="L12" s="1789" t="s">
        <v>1981</v>
      </c>
      <c r="M12" s="808">
        <f>SUMPRODUCT((区片价!B378:B384=I2)*(区片价!C3:G3=E2)*(区片价!C378:G384))</f>
        <v>0</v>
      </c>
      <c r="N12" s="809">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15.75" thickBot="1">
      <c r="A13" s="3006" t="s">
        <v>3231</v>
      </c>
      <c r="B13" s="1871" t="s">
        <v>1979</v>
      </c>
      <c r="C13" s="707">
        <f>ROUND(C16*D16*E16*F16*G16*H16*I16*J16,4)</f>
        <v>0</v>
      </c>
      <c r="D13" s="1872" t="s">
        <v>1980</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15">
      <c r="A14" s="3002"/>
      <c r="B14" s="1876" t="s">
        <v>1982</v>
      </c>
      <c r="C14" s="1877" t="s">
        <v>1983</v>
      </c>
      <c r="D14" s="1254" t="s">
        <v>1984</v>
      </c>
      <c r="E14" s="27" t="s">
        <v>1985</v>
      </c>
      <c r="F14" s="3014" t="s">
        <v>3232</v>
      </c>
      <c r="G14" s="3014" t="s">
        <v>3232</v>
      </c>
      <c r="H14" s="3014" t="s">
        <v>3232</v>
      </c>
      <c r="I14" s="3014" t="s">
        <v>3232</v>
      </c>
      <c r="J14" s="3014" t="s">
        <v>3232</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8"/>
      <c r="C15" s="1879"/>
      <c r="D15" s="1880"/>
      <c r="E15" s="1881"/>
      <c r="F15" s="1463" t="s">
        <v>3233</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c r="A17" s="3029" t="s">
        <v>3234</v>
      </c>
      <c r="B17" s="3021" t="s">
        <v>3235</v>
      </c>
      <c r="C17" s="3030">
        <f>ROUND(IF(OR(E2="工业",E2="公共服务"),1,IF(AND(E18=0,E19=0),1,IF(AND(E18=J24,E19=G19),0.8,IF(E19=0,1+E17*(-0.2),1+E17*G17*(-0.2))))),4)</f>
        <v>1</v>
      </c>
      <c r="D17" s="3022" t="s">
        <v>3236</v>
      </c>
      <c r="E17" s="3030">
        <f>ROUND(G18/I18,2)</f>
        <v>0</v>
      </c>
      <c r="F17" s="3022" t="s">
        <v>3239</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3"/>
      <c r="C18" s="3028"/>
      <c r="D18" s="3023" t="s">
        <v>3237</v>
      </c>
      <c r="E18" s="2350"/>
      <c r="F18" s="3024" t="s">
        <v>3240</v>
      </c>
      <c r="G18" s="3028">
        <f>ROUND(1-(1/(POWER(1+G24,E18))),4)</f>
        <v>0</v>
      </c>
      <c r="H18" s="3024" t="s">
        <v>3242</v>
      </c>
      <c r="I18" s="3028">
        <f>ROUND(1-(1/(POWER(1+G24,J24))),4)</f>
        <v>0.88249999999999995</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6"/>
    </row>
    <row r="19" spans="1:37" s="1851" customFormat="1" ht="15" thickBot="1">
      <c r="A19" s="3034"/>
      <c r="B19" s="3035"/>
      <c r="C19" s="3036"/>
      <c r="D19" s="3036" t="s">
        <v>3238</v>
      </c>
      <c r="E19" s="3037"/>
      <c r="F19" s="3038" t="s">
        <v>3241</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9"/>
      <c r="AH19" s="1973"/>
      <c r="AI19" s="559"/>
      <c r="AJ19" s="559"/>
      <c r="AK19" s="1892"/>
    </row>
    <row r="20" spans="1:37" s="1851" customFormat="1" ht="14.25">
      <c r="A20" s="3399" t="s">
        <v>3243</v>
      </c>
      <c r="B20" s="158" t="s">
        <v>1991</v>
      </c>
      <c r="C20" s="3025">
        <f>ROUND(IF(F21="与级别开发程度一致",0,(G21-E21)/C21),0)</f>
        <v>0</v>
      </c>
      <c r="D20" s="3040" t="s">
        <v>1995</v>
      </c>
      <c r="E20" s="3041"/>
      <c r="F20" s="3405" t="s">
        <v>1992</v>
      </c>
      <c r="G20" s="3406"/>
      <c r="H20" s="3194" t="s">
        <v>4841</v>
      </c>
      <c r="I20" s="3194" t="s">
        <v>4842</v>
      </c>
      <c r="J20" s="3195" t="s">
        <v>4843</v>
      </c>
      <c r="K20" s="3196" t="s">
        <v>4844</v>
      </c>
      <c r="L20" s="3196" t="s">
        <v>4845</v>
      </c>
      <c r="M20" s="3196" t="s">
        <v>4846</v>
      </c>
      <c r="N20" s="3196" t="s">
        <v>4847</v>
      </c>
      <c r="O20" s="3197" t="s">
        <v>4848</v>
      </c>
      <c r="P20" s="1837"/>
      <c r="Q20" s="1055"/>
      <c r="R20" s="1055"/>
      <c r="S20" s="1055"/>
      <c r="T20" s="1052"/>
      <c r="U20" s="1052"/>
      <c r="V20" s="1052"/>
      <c r="W20" s="1051"/>
      <c r="X20" s="1051"/>
      <c r="Y20" s="1051"/>
      <c r="Z20" s="1056"/>
      <c r="AA20" s="1056"/>
      <c r="AB20" s="1056"/>
      <c r="AC20" s="1056"/>
      <c r="AD20" s="1056"/>
      <c r="AE20" s="1056"/>
      <c r="AF20" s="1056"/>
      <c r="AG20" s="2546"/>
      <c r="AH20" s="2546"/>
      <c r="AI20" s="2546"/>
      <c r="AJ20" s="2546"/>
    </row>
    <row r="21" spans="1:37" s="1851" customFormat="1" ht="26.25" thickBot="1">
      <c r="A21" s="3400"/>
      <c r="B21" s="1995" t="s">
        <v>1994</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4161</v>
      </c>
      <c r="G21" s="1988">
        <f>SUM(H21:O21)</f>
        <v>315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50</v>
      </c>
      <c r="N21" s="1996">
        <f>SUMPRODUCT((七通一平=N20)*(修正!B1:M1=G2)*(修正!B8:M16))</f>
        <v>40</v>
      </c>
      <c r="O21" s="1998">
        <f>SUMPRODUCT((七通一平=O20)*(修正!B1:M1=G2)*(修正!B8:M16))</f>
        <v>15</v>
      </c>
      <c r="P21" s="1837"/>
      <c r="Q21" s="2546"/>
      <c r="R21" s="1055"/>
      <c r="S21" s="1055"/>
      <c r="T21" s="1052"/>
      <c r="U21" s="1052"/>
      <c r="V21" s="1052"/>
      <c r="W21" s="1051"/>
      <c r="X21" s="1051"/>
      <c r="Y21" s="1051"/>
      <c r="Z21" s="1056"/>
      <c r="AA21" s="1056"/>
      <c r="AB21" s="1056"/>
      <c r="AC21" s="1056"/>
      <c r="AD21" s="1056"/>
      <c r="AE21" s="1056"/>
      <c r="AF21" s="1056"/>
      <c r="AG21" s="2546"/>
      <c r="AH21" s="2546"/>
      <c r="AI21" s="2546"/>
      <c r="AJ21" s="2546"/>
    </row>
    <row r="22" spans="1:37" s="1851" customFormat="1" ht="15.75" thickBot="1">
      <c r="A22" s="1989" t="s">
        <v>363</v>
      </c>
      <c r="B22" s="1990" t="s">
        <v>1997</v>
      </c>
      <c r="C22" s="1991">
        <f>SUMIF(修正!C20:C51,E3,修正!E20:E51)</f>
        <v>1</v>
      </c>
      <c r="D22" s="1992"/>
      <c r="E22" s="1993"/>
      <c r="F22" s="1993"/>
      <c r="G22" s="1993"/>
      <c r="H22" s="1993"/>
      <c r="I22" s="1993"/>
      <c r="J22" s="1994"/>
      <c r="K22" s="1056"/>
      <c r="L22" s="2546"/>
      <c r="M22" s="2546"/>
      <c r="N22" s="2546"/>
      <c r="O22" s="1054"/>
      <c r="P22" s="1054"/>
      <c r="Q22" s="2546"/>
      <c r="R22" s="1055"/>
      <c r="S22" s="1055"/>
      <c r="T22" s="1052"/>
      <c r="U22" s="1052"/>
      <c r="V22" s="1052"/>
      <c r="W22" s="1051"/>
      <c r="X22" s="1051"/>
      <c r="Y22" s="1051"/>
      <c r="Z22" s="1056"/>
      <c r="AA22" s="1056"/>
      <c r="AB22" s="1056"/>
      <c r="AC22" s="1056"/>
      <c r="AD22" s="1056"/>
      <c r="AE22" s="1056"/>
      <c r="AF22" s="1056"/>
      <c r="AG22" s="2546"/>
      <c r="AH22" s="2546"/>
      <c r="AI22" s="2546"/>
      <c r="AJ22" s="2546"/>
    </row>
    <row r="23" spans="1:37" ht="26.25" thickBot="1">
      <c r="A23" s="1885" t="s">
        <v>364</v>
      </c>
      <c r="B23" s="1886" t="s">
        <v>1998</v>
      </c>
      <c r="C23" s="712">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1.0432999999999999</v>
      </c>
      <c r="D23" s="1889" t="s">
        <v>1999</v>
      </c>
      <c r="E23" s="713">
        <v>44197</v>
      </c>
      <c r="F23" s="1889" t="s">
        <v>2000</v>
      </c>
      <c r="G23" s="714">
        <f>'数据-取费表'!B2</f>
        <v>45492</v>
      </c>
      <c r="H23" s="3042" t="s">
        <v>3244</v>
      </c>
      <c r="I23" s="3043" t="str">
        <f>IF(H23="季度增幅（自定义）",SUMIF(N25:N28,E2,O25:O28),"")</f>
        <v/>
      </c>
      <c r="J23" s="3135" t="s">
        <v>4162</v>
      </c>
      <c r="K23" s="1056"/>
      <c r="L23" s="1890" t="s">
        <v>2001</v>
      </c>
      <c r="M23" s="1234">
        <f>ROUND(SUMIF(地价!B2:G2,E2,地价!B16:G16),0)</f>
        <v>350</v>
      </c>
      <c r="N23" s="1891" t="s">
        <v>2002</v>
      </c>
      <c r="O23" s="715">
        <f>ROUNDDOWN(DATEDIF(E23,G23,"M")/3,0)</f>
        <v>14</v>
      </c>
      <c r="P23" s="1052"/>
      <c r="Q23" s="2546"/>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2003</v>
      </c>
      <c r="C24" s="716">
        <f>ROUND(POWER(1+G24,J24-I24)*(POWER(1+G24,I24)-1)/(POWER(1+G24,J24)-1),4)</f>
        <v>0.92279999999999995</v>
      </c>
      <c r="D24" s="1895" t="s">
        <v>2004</v>
      </c>
      <c r="E24" s="1241">
        <f>存贷款利率!E26/100</f>
        <v>4.3499999999999997E-2</v>
      </c>
      <c r="F24" s="1895" t="s">
        <v>1996</v>
      </c>
      <c r="G24" s="720">
        <f>SUMIF(M30:Q30,E2,M33:Q33)</f>
        <v>5.5E-2</v>
      </c>
      <c r="H24" s="1895" t="s">
        <v>2005</v>
      </c>
      <c r="I24" s="721">
        <f>SUMIF('数据-取费表'!C6:C15,E2,'数据-取费表'!F6:F15)/COUNTIF('数据-取费表'!C6:C15,E2)</f>
        <v>31.46</v>
      </c>
      <c r="J24" s="722">
        <f>IF(E2="住宅",70,IF(E2="商业",40,50))</f>
        <v>40</v>
      </c>
      <c r="K24" s="1056"/>
      <c r="L24" s="1896" t="s">
        <v>2006</v>
      </c>
      <c r="M24" s="1235">
        <f>ROUND(SUMPRODUCT((地价!A4:A16=YEAR(G23)&amp;"-"&amp;ROUNDUP(MONTH(G23)/3,0))*(地价!B2:G2=E2)*(地价!B4:G16)),0)</f>
        <v>0</v>
      </c>
      <c r="N24" s="1897" t="s">
        <v>2007</v>
      </c>
      <c r="O24" s="1898" t="s">
        <v>2008</v>
      </c>
      <c r="P24" s="1899" t="s">
        <v>2009</v>
      </c>
      <c r="Q24" s="1837"/>
      <c r="R24" s="1055"/>
      <c r="S24" s="1055"/>
      <c r="T24" s="1052"/>
      <c r="U24" s="1052"/>
      <c r="V24" s="1052"/>
      <c r="W24" s="1051"/>
      <c r="X24" s="1051"/>
      <c r="Y24" s="1051"/>
      <c r="Z24" s="1056"/>
      <c r="AA24" s="1056"/>
      <c r="AB24" s="1056"/>
      <c r="AC24" s="1056"/>
      <c r="AD24" s="1056"/>
      <c r="AE24" s="1056"/>
      <c r="AF24" s="1056"/>
      <c r="AG24" s="2546"/>
      <c r="AH24" s="2546"/>
      <c r="AI24" s="2546"/>
      <c r="AJ24" s="2546"/>
    </row>
    <row r="25" spans="1:37" ht="15">
      <c r="A25" s="1900" t="s">
        <v>366</v>
      </c>
      <c r="B25" s="1901" t="s">
        <v>4838</v>
      </c>
      <c r="C25" s="460">
        <f>IF(B25="容积率修正",IF(G3&lt;10,D26,J26),C27)</f>
        <v>1.5019</v>
      </c>
      <c r="D25" s="1902"/>
      <c r="E25" s="1902"/>
      <c r="F25" s="1902"/>
      <c r="G25" s="1902"/>
      <c r="H25" s="1902"/>
      <c r="I25" s="1902"/>
      <c r="J25" s="1903"/>
      <c r="K25" s="1056"/>
      <c r="L25" s="2546"/>
      <c r="M25" s="2546"/>
      <c r="N25" s="1904" t="s">
        <v>2010</v>
      </c>
      <c r="O25" s="1088"/>
      <c r="P25" s="1089">
        <f>SUMPRODUCT((地价!A3:A40=YEAR(G23)&amp;"-"&amp;ROUNDUP(MONTH(G23)/3,0))*(地价!AD2:AH2=N25)*(地价!AD3:AH40))</f>
        <v>0</v>
      </c>
      <c r="Q25" s="2546"/>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2011</v>
      </c>
      <c r="B26" s="1905" t="s">
        <v>2012</v>
      </c>
      <c r="C26" s="1905" t="s">
        <v>3245</v>
      </c>
      <c r="D26" s="1256">
        <f>IF(E26=G26,F26,IF(G3&lt;10,ROUND(F26+(H26-F26)*(G3-E26)/(G26-E26),4),"——"))</f>
        <v>0.88</v>
      </c>
      <c r="E26" s="704">
        <f>ROUNDDOWN(G3,1)</f>
        <v>6.2</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v>
      </c>
      <c r="G26" s="704">
        <f>ROUNDUP(G3,1)</f>
        <v>6.2</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1905" t="s">
        <v>3246</v>
      </c>
      <c r="J26" s="373" t="str">
        <f>IF(G3&gt;=10,D115,"——")</f>
        <v>——</v>
      </c>
      <c r="K26" s="1056"/>
      <c r="L26" s="2546"/>
      <c r="M26" s="2546"/>
      <c r="N26" s="1904" t="s">
        <v>2013</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2014</v>
      </c>
      <c r="B27" s="1906" t="s">
        <v>2015</v>
      </c>
      <c r="C27" s="787">
        <f>ROUND(IF(I3&lt;6,SUMPRODUCT((B106:B110=I3)*(C105:N105=G2)*(C106:N110)),SUMIF(C105:N105,G2,C112:N112)),4)</f>
        <v>1.5019</v>
      </c>
      <c r="D27" s="1835"/>
      <c r="E27" s="1835"/>
      <c r="F27" s="1907"/>
      <c r="G27" s="1908"/>
      <c r="H27" s="1909"/>
      <c r="I27" s="1910"/>
      <c r="J27" s="1911"/>
      <c r="K27" s="1051"/>
      <c r="L27" s="1837"/>
      <c r="M27" s="1837"/>
      <c r="N27" s="1904" t="s">
        <v>2016</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2017</v>
      </c>
      <c r="C28" s="712">
        <f>SUMIF(A47:A101,E2,B47:B101)</f>
        <v>1.0435000000000001</v>
      </c>
      <c r="D28" s="1887"/>
      <c r="E28" s="1912"/>
      <c r="F28" s="1912"/>
      <c r="G28" s="1912"/>
      <c r="H28" s="1912"/>
      <c r="I28" s="1912"/>
      <c r="J28" s="1913"/>
      <c r="K28" s="1056"/>
      <c r="L28" s="2546"/>
      <c r="M28" s="2546"/>
      <c r="N28" s="1914" t="s">
        <v>2018</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2019</v>
      </c>
      <c r="C29" s="717"/>
      <c r="D29" s="1861"/>
      <c r="E29" s="1861"/>
      <c r="F29" s="1916"/>
      <c r="G29" s="1861"/>
      <c r="H29" s="1861"/>
      <c r="I29" s="1861"/>
      <c r="J29" s="1862"/>
      <c r="K29" s="1051"/>
      <c r="L29" s="1837"/>
      <c r="M29" s="1837"/>
      <c r="N29" s="2543" t="s">
        <v>2020</v>
      </c>
      <c r="O29" s="2544"/>
      <c r="P29" s="2545">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2021</v>
      </c>
      <c r="C30" s="2138">
        <f>IF(B25="容积率修正",E33+SUM(E37:E42),SUM(V2:V16)+SUM(E37:E42))</f>
        <v>46589</v>
      </c>
      <c r="D30" s="1918"/>
      <c r="E30" s="1835"/>
      <c r="F30" s="1919"/>
      <c r="G30" s="1835"/>
      <c r="H30" s="1835"/>
      <c r="I30" s="1835"/>
      <c r="J30" s="1920"/>
      <c r="K30" s="1051"/>
      <c r="L30" s="3049" t="s">
        <v>1933</v>
      </c>
      <c r="M30" s="3050" t="s">
        <v>1987</v>
      </c>
      <c r="N30" s="3050" t="s">
        <v>1988</v>
      </c>
      <c r="O30" s="3050" t="s">
        <v>1989</v>
      </c>
      <c r="P30" s="3050" t="s">
        <v>1990</v>
      </c>
      <c r="Q30" s="3053" t="s">
        <v>3250</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2022</v>
      </c>
      <c r="C31" s="718">
        <f>E34+SUM(I37:I42)</f>
        <v>1918</v>
      </c>
      <c r="D31" s="1922"/>
      <c r="E31" s="1923"/>
      <c r="F31" s="1924"/>
      <c r="G31" s="1923"/>
      <c r="H31" s="1923"/>
      <c r="I31" s="1923"/>
      <c r="J31" s="1925"/>
      <c r="K31" s="1051"/>
      <c r="L31" s="3051" t="s">
        <v>1993</v>
      </c>
      <c r="M31" s="161">
        <v>0.25</v>
      </c>
      <c r="N31" s="161">
        <v>0.2</v>
      </c>
      <c r="O31" s="161">
        <v>0.15</v>
      </c>
      <c r="P31" s="161">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2023</v>
      </c>
      <c r="C32" s="1928" t="s">
        <v>2024</v>
      </c>
      <c r="D32" s="1928" t="s">
        <v>2025</v>
      </c>
      <c r="E32" s="1929" t="s">
        <v>2026</v>
      </c>
      <c r="F32" s="1930"/>
      <c r="G32" s="1874"/>
      <c r="H32" s="1874"/>
      <c r="I32" s="1874"/>
      <c r="J32" s="1875"/>
      <c r="K32" s="1051"/>
      <c r="L32" s="3052" t="s">
        <v>1996</v>
      </c>
      <c r="M32" s="2349">
        <f>ROUND($E$24*(1+M31),3)</f>
        <v>5.3999999999999999E-2</v>
      </c>
      <c r="N32" s="2349">
        <f>ROUND($E$24*(1+N31),3)</f>
        <v>5.1999999999999998E-2</v>
      </c>
      <c r="O32" s="2349">
        <f>ROUND($E$24*(1+O31),3)</f>
        <v>0.05</v>
      </c>
      <c r="P32" s="2349">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2027</v>
      </c>
      <c r="C33" s="166">
        <f>ROUND(C5*C22*C23*C24*C25*C28,0)</f>
        <v>13625</v>
      </c>
      <c r="D33" s="1933">
        <f>'数据-基础表'!I13</f>
        <v>37564.18</v>
      </c>
      <c r="E33" s="723">
        <f>ROUND(C33*D33/10000,0)</f>
        <v>51181</v>
      </c>
      <c r="F33" s="3044" t="s">
        <v>3248</v>
      </c>
      <c r="G33" s="1934"/>
      <c r="H33" s="1934"/>
      <c r="I33" s="1934"/>
      <c r="J33" s="1935"/>
      <c r="K33" s="1051"/>
      <c r="L33" s="3047" t="s">
        <v>3251</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2028</v>
      </c>
      <c r="C34" s="178" t="e">
        <f>ROUND(IF(E2="工业",C33*M42,IF(B25="楼层修正",SUM(V2:V16)*M41*10000/D34,C33*M41)),0)</f>
        <v>#DIV/0!</v>
      </c>
      <c r="D34" s="1938"/>
      <c r="E34" s="723">
        <f>ROUND(IF(B25="楼层修正",SUM(V2:V16)*M40,C34*D34/10000),0)</f>
        <v>0</v>
      </c>
      <c r="F34" s="1939" t="s">
        <v>2029</v>
      </c>
      <c r="G34" s="1940"/>
      <c r="H34" s="1940"/>
      <c r="I34" s="1940"/>
      <c r="J34" s="1941"/>
      <c r="K34" s="1051"/>
      <c r="L34" s="3047" t="s">
        <v>3252</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2030</v>
      </c>
      <c r="C35" s="3045" t="s">
        <v>3249</v>
      </c>
      <c r="D35" s="1874"/>
      <c r="E35" s="1944"/>
      <c r="F35" s="1944"/>
      <c r="G35" s="1872" t="s">
        <v>2031</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5" t="s">
        <v>2024</v>
      </c>
      <c r="D36" s="432" t="s">
        <v>2025</v>
      </c>
      <c r="E36" s="432" t="s">
        <v>2026</v>
      </c>
      <c r="F36" s="332" t="s">
        <v>2032</v>
      </c>
      <c r="G36" s="1947" t="s">
        <v>2024</v>
      </c>
      <c r="H36" s="1947" t="s">
        <v>2025</v>
      </c>
      <c r="I36" s="1947" t="s">
        <v>2026</v>
      </c>
      <c r="J36" s="234"/>
      <c r="K36" s="1957" t="s">
        <v>3253</v>
      </c>
      <c r="L36" s="3136">
        <f ca="1">'数据-取费表'!B40</f>
        <v>3.4500000000000003E-2</v>
      </c>
      <c r="M36" s="2359">
        <f ca="1">ROUND($L$36*(1+M31),3)</f>
        <v>4.2999999999999997E-2</v>
      </c>
      <c r="N36" s="2359">
        <f ca="1">ROUND($L$36*(1+N31),3)</f>
        <v>4.1000000000000002E-2</v>
      </c>
      <c r="O36" s="2359">
        <f ca="1">ROUND($L$36*(1+O31),3)</f>
        <v>0.04</v>
      </c>
      <c r="P36" s="2359">
        <f ca="1">ROUND($L$36*(1+P31),3)</f>
        <v>3.7999999999999999E-2</v>
      </c>
      <c r="Q36" s="2359">
        <f ca="1">ROUND($L$36*(1+Q31),3)</f>
        <v>0.04</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403"/>
      <c r="B37" s="1948" t="s">
        <v>2033</v>
      </c>
      <c r="C37" s="166">
        <f>ROUND(D5*C22*C23*C24*C28*F37,0)</f>
        <v>5443</v>
      </c>
      <c r="D37" s="1933">
        <f>ROUND('数据-基础表'!G13/6,2)</f>
        <v>9391.0499999999993</v>
      </c>
      <c r="E37" s="162">
        <f>ROUND(C37*D37/10000,0)</f>
        <v>5112</v>
      </c>
      <c r="F37" s="162">
        <f>SUMIF(修正!A57:A68,G2,修正!B57:B68)</f>
        <v>0.6</v>
      </c>
      <c r="G37" s="162">
        <f>ROUND(IF(E2="工业",C37*$M$42,C37*$M$41),0)</f>
        <v>1361</v>
      </c>
      <c r="H37" s="162">
        <f>D37</f>
        <v>9391.0499999999993</v>
      </c>
      <c r="I37" s="162">
        <f>ROUND(G37*H37/10000,0)</f>
        <v>1278</v>
      </c>
      <c r="J37" s="2748"/>
      <c r="K37" s="3055" t="s">
        <v>3254</v>
      </c>
      <c r="L37" s="1957">
        <f ca="1">L36+K38</f>
        <v>3.95E-2</v>
      </c>
      <c r="M37" s="2359">
        <f ca="1">ROUND($L$37*(1+M31),3)</f>
        <v>4.9000000000000002E-2</v>
      </c>
      <c r="N37" s="2359">
        <f t="shared" ref="N37:Q37" ca="1" si="3">ROUND($L$37*(1+N31),3)</f>
        <v>4.7E-2</v>
      </c>
      <c r="O37" s="2359">
        <f t="shared" ca="1" si="3"/>
        <v>4.4999999999999998E-2</v>
      </c>
      <c r="P37" s="2359">
        <f t="shared" ca="1" si="3"/>
        <v>4.2999999999999997E-2</v>
      </c>
      <c r="Q37" s="2359">
        <f t="shared" ca="1" si="3"/>
        <v>4.4999999999999998E-2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404"/>
      <c r="B38" s="1877" t="s">
        <v>2034</v>
      </c>
      <c r="C38" s="166">
        <f>ROUND(D5*C22*C23*C24*C28*F38,0)</f>
        <v>2722</v>
      </c>
      <c r="D38" s="1933">
        <f>D37</f>
        <v>9391.0499999999993</v>
      </c>
      <c r="E38" s="162">
        <f t="shared" ref="E38:E42" si="4">ROUND(C38*D38/10000,0)</f>
        <v>2556</v>
      </c>
      <c r="F38" s="162">
        <f>SUMIF(修正!A57:A68,G2,修正!C57:C68)</f>
        <v>0.3</v>
      </c>
      <c r="G38" s="162">
        <f>ROUND(IF(E2="工业",C38*$M$42,C38*$M$41),0)</f>
        <v>681</v>
      </c>
      <c r="H38" s="162">
        <f t="shared" ref="H38:H42" si="5">D38</f>
        <v>9391.0499999999993</v>
      </c>
      <c r="I38" s="162">
        <f t="shared" ref="I38:I42" si="6">ROUND(G38*H38/10000,0)</f>
        <v>640</v>
      </c>
      <c r="J38" s="2747"/>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404"/>
      <c r="B39" s="1877" t="s">
        <v>3247</v>
      </c>
      <c r="C39" s="166">
        <f>ROUND(D5*C22*C23*C24*C28*F39,0)</f>
        <v>2268</v>
      </c>
      <c r="D39" s="1933"/>
      <c r="E39" s="162">
        <f t="shared" si="4"/>
        <v>0</v>
      </c>
      <c r="F39" s="162">
        <f>SUMIF(修正!A57:A68,G2,修正!D57:D68)</f>
        <v>0.25</v>
      </c>
      <c r="G39" s="162">
        <f>ROUND(IF(E2="工业",C39*$M$42,C39*$M$41),0)</f>
        <v>567</v>
      </c>
      <c r="H39" s="162">
        <f t="shared" si="5"/>
        <v>0</v>
      </c>
      <c r="I39" s="162">
        <f t="shared" si="6"/>
        <v>0</v>
      </c>
      <c r="J39" s="2747"/>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2035</v>
      </c>
      <c r="C40" s="162">
        <f>ROUND(D5*C22*C23*C24*C28*F40,0)</f>
        <v>2268</v>
      </c>
      <c r="D40" s="1933"/>
      <c r="E40" s="162">
        <f t="shared" si="4"/>
        <v>0</v>
      </c>
      <c r="F40" s="166">
        <f>SUMIF(修正!A57:A68,G2,修正!E57:E68)</f>
        <v>0.25</v>
      </c>
      <c r="G40" s="162">
        <f>ROUND(IF(E2="工业",C40*$M$42,C40*$M$41),0)</f>
        <v>567</v>
      </c>
      <c r="H40" s="162">
        <f t="shared" si="5"/>
        <v>0</v>
      </c>
      <c r="I40" s="162">
        <f t="shared" si="6"/>
        <v>0</v>
      </c>
      <c r="J40" s="935"/>
      <c r="L40" s="1950" t="s">
        <v>2036</v>
      </c>
      <c r="M40" s="1951"/>
      <c r="Z40" s="1052"/>
      <c r="AA40" s="1052"/>
      <c r="AB40" s="1052"/>
      <c r="AC40" s="1052"/>
      <c r="AD40" s="1052"/>
      <c r="AE40" s="1052"/>
      <c r="AF40" s="1052"/>
      <c r="AG40" s="1052"/>
      <c r="AH40" s="1052"/>
      <c r="AI40" s="1052"/>
      <c r="AJ40" s="1052"/>
    </row>
    <row r="41" spans="1:37" s="1051" customFormat="1">
      <c r="A41" s="1949"/>
      <c r="B41" s="1877" t="s">
        <v>2037</v>
      </c>
      <c r="C41" s="162">
        <f>ROUND(D5*C22*C23*C44*C28*F41,0)</f>
        <v>2150</v>
      </c>
      <c r="D41" s="1933"/>
      <c r="E41" s="162">
        <f t="shared" si="4"/>
        <v>0</v>
      </c>
      <c r="F41" s="166">
        <f>SUMIF(修正!A57:A68,G2,修正!F57:F68)</f>
        <v>0.25</v>
      </c>
      <c r="G41" s="162">
        <f>ROUND(IF(E2="工业",C41*$M$42,C41*$M$41),0)</f>
        <v>538</v>
      </c>
      <c r="H41" s="162">
        <f t="shared" si="5"/>
        <v>0</v>
      </c>
      <c r="I41" s="162">
        <f t="shared" si="6"/>
        <v>0</v>
      </c>
      <c r="J41" s="935"/>
      <c r="L41" s="3056" t="s">
        <v>3255</v>
      </c>
      <c r="M41" s="1952">
        <v>0.25</v>
      </c>
      <c r="Z41" s="1052"/>
      <c r="AA41" s="1052"/>
      <c r="AB41" s="1052"/>
      <c r="AC41" s="1052"/>
      <c r="AD41" s="1052"/>
      <c r="AE41" s="1052"/>
      <c r="AF41" s="1052"/>
      <c r="AG41" s="1052"/>
      <c r="AH41" s="1052"/>
      <c r="AI41" s="1052"/>
      <c r="AJ41" s="1052"/>
    </row>
    <row r="42" spans="1:37" s="1051" customFormat="1" ht="13.5" thickBot="1">
      <c r="A42" s="1936"/>
      <c r="B42" s="1953" t="s">
        <v>2038</v>
      </c>
      <c r="C42" s="178">
        <f>ROUND(D5*C22*C23*C44*C28*F42,0)</f>
        <v>1290</v>
      </c>
      <c r="D42" s="1938"/>
      <c r="E42" s="178">
        <f t="shared" si="4"/>
        <v>0</v>
      </c>
      <c r="F42" s="719">
        <f>SUMIF(修正!A57:A68,G2,修正!G57:G68)</f>
        <v>0.15</v>
      </c>
      <c r="G42" s="178">
        <f>ROUND(IF(E2="工业",C42*$M$42,C42*$M$41),0)</f>
        <v>323</v>
      </c>
      <c r="H42" s="178">
        <f t="shared" si="5"/>
        <v>0</v>
      </c>
      <c r="I42" s="178">
        <f t="shared" si="6"/>
        <v>0</v>
      </c>
      <c r="J42" s="1954"/>
      <c r="L42" s="1955" t="s">
        <v>1990</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2118</v>
      </c>
      <c r="C44" s="332">
        <f>ROUND(POWER(1+E44,H44-G44)*(POWER(1+E44,G44)-1)/(POWER(1+E44,H44)-1),4)</f>
        <v>0.87460000000000004</v>
      </c>
      <c r="D44" s="162" t="s">
        <v>1996</v>
      </c>
      <c r="E44" s="1984">
        <f>G24</f>
        <v>5.5E-2</v>
      </c>
      <c r="F44" s="162" t="s">
        <v>2005</v>
      </c>
      <c r="G44" s="174">
        <f>项目基本情况!D15</f>
        <v>31.46</v>
      </c>
      <c r="H44" s="162">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2039</v>
      </c>
      <c r="B47" s="1959"/>
      <c r="C47" s="4"/>
      <c r="D47" s="4"/>
      <c r="E47" s="4"/>
      <c r="F47" s="3"/>
      <c r="G47" s="3"/>
      <c r="H47" s="3"/>
      <c r="I47" s="1674"/>
      <c r="J47" s="1674"/>
      <c r="K47" s="1674"/>
      <c r="L47" s="1674"/>
      <c r="M47" s="1674"/>
      <c r="AA47" s="1052"/>
      <c r="AB47" s="1052"/>
      <c r="AC47" s="1052"/>
      <c r="AD47" s="1052"/>
      <c r="AE47" s="1052"/>
      <c r="AF47" s="1052"/>
      <c r="AG47" s="1052"/>
      <c r="AH47" s="1052"/>
      <c r="AI47" s="1052"/>
      <c r="AJ47" s="1052"/>
      <c r="AK47" s="1052"/>
    </row>
    <row r="48" spans="1:37" s="1051" customFormat="1" ht="15">
      <c r="A48" s="1960" t="s">
        <v>2040</v>
      </c>
      <c r="B48" s="1961">
        <f>1+E50</f>
        <v>1.0435000000000001</v>
      </c>
      <c r="C48" s="1719"/>
      <c r="D48" s="695"/>
      <c r="E48" s="696"/>
      <c r="F48" s="1962"/>
      <c r="G48" s="3"/>
      <c r="H48" s="4"/>
      <c r="I48" s="1674"/>
      <c r="J48" s="1674"/>
      <c r="K48" s="1674"/>
      <c r="L48" s="1674"/>
      <c r="M48" s="1674"/>
      <c r="AA48" s="1052"/>
      <c r="AB48" s="1052"/>
      <c r="AC48" s="1052"/>
      <c r="AD48" s="1052"/>
      <c r="AE48" s="1052"/>
      <c r="AF48" s="1052"/>
      <c r="AG48" s="1052"/>
      <c r="AH48" s="1052"/>
      <c r="AI48" s="1052"/>
      <c r="AJ48" s="1052"/>
      <c r="AK48" s="1052"/>
    </row>
    <row r="49" spans="1:37" s="1051" customFormat="1" ht="24.75">
      <c r="A49" s="1963" t="s">
        <v>2041</v>
      </c>
      <c r="B49" s="1255" t="s">
        <v>2042</v>
      </c>
      <c r="C49" s="1255" t="s">
        <v>2043</v>
      </c>
      <c r="D49" s="1255" t="s">
        <v>2044</v>
      </c>
      <c r="E49" s="697" t="s">
        <v>2045</v>
      </c>
      <c r="F49" s="1964" t="s">
        <v>2046</v>
      </c>
      <c r="G49" s="1255" t="s">
        <v>310</v>
      </c>
      <c r="H49" s="1965" t="s">
        <v>2047</v>
      </c>
      <c r="I49" s="1255" t="s">
        <v>2048</v>
      </c>
      <c r="J49" s="529" t="s">
        <v>1718</v>
      </c>
      <c r="K49" s="529" t="s">
        <v>1719</v>
      </c>
      <c r="L49" s="529" t="s">
        <v>1720</v>
      </c>
      <c r="M49" s="529" t="s">
        <v>1721</v>
      </c>
      <c r="N49" s="529" t="s">
        <v>1722</v>
      </c>
      <c r="AA49" s="1052"/>
      <c r="AB49" s="1052"/>
      <c r="AC49" s="1052"/>
      <c r="AD49" s="1052"/>
      <c r="AE49" s="1052"/>
      <c r="AF49" s="1052"/>
      <c r="AG49" s="1052"/>
      <c r="AH49" s="1052"/>
      <c r="AI49" s="1052"/>
      <c r="AJ49" s="1052"/>
      <c r="AK49" s="1052"/>
    </row>
    <row r="50" spans="1:37" s="1051" customFormat="1" ht="24.75">
      <c r="A50" s="1963" t="s">
        <v>2049</v>
      </c>
      <c r="B50" s="1966">
        <f>估价对象房地状况!C4</f>
        <v>0</v>
      </c>
      <c r="C50" s="1880" t="s">
        <v>4164</v>
      </c>
      <c r="D50" s="997">
        <f t="shared" ref="D50:D58" si="7">SUMIF($J$49:$N$49,C50,J50:N50)</f>
        <v>0</v>
      </c>
      <c r="E50" s="698">
        <f>ROUND(SUM(D50:D58),4)</f>
        <v>4.3499999999999997E-2</v>
      </c>
      <c r="F50" s="1668">
        <f>IF(E2="商业",SUMIF(L1:L12,G2,N1:N12),"——")</f>
        <v>0.129</v>
      </c>
      <c r="G50" s="995">
        <f>H50</f>
        <v>1.9300000000000001E-2</v>
      </c>
      <c r="H50" s="998">
        <f t="shared" ref="H50:H58" si="8">IFERROR(ROUNDDOWN($F$50*I50/2,4),"——")</f>
        <v>1.9300000000000001E-2</v>
      </c>
      <c r="I50" s="3062">
        <v>0.3</v>
      </c>
      <c r="J50" s="996">
        <f t="shared" ref="J50:J58" si="9">K50+$G50</f>
        <v>3.8600000000000002E-2</v>
      </c>
      <c r="K50" s="996">
        <f t="shared" ref="K50:K58" si="10">$L50+$G50</f>
        <v>1.9300000000000001E-2</v>
      </c>
      <c r="L50" s="996">
        <v>0</v>
      </c>
      <c r="M50" s="996">
        <f t="shared" ref="M50:N58" si="11">L50-$G50</f>
        <v>-1.9300000000000001E-2</v>
      </c>
      <c r="N50" s="996">
        <f t="shared" si="11"/>
        <v>-3.8600000000000002E-2</v>
      </c>
      <c r="AA50" s="1052"/>
      <c r="AB50" s="1052"/>
      <c r="AC50" s="1052"/>
      <c r="AD50" s="1052"/>
      <c r="AE50" s="1052"/>
      <c r="AF50" s="1052"/>
      <c r="AG50" s="1052"/>
      <c r="AH50" s="1052"/>
      <c r="AI50" s="1052"/>
      <c r="AJ50" s="1052"/>
      <c r="AK50" s="1052"/>
    </row>
    <row r="51" spans="1:37" s="1051" customFormat="1" ht="14.25">
      <c r="A51" s="1963" t="s">
        <v>2050</v>
      </c>
      <c r="B51" s="1255">
        <f>估价对象房地状况!C18</f>
        <v>0</v>
      </c>
      <c r="C51" s="1880" t="s">
        <v>4165</v>
      </c>
      <c r="D51" s="997">
        <f t="shared" si="7"/>
        <v>1.41E-2</v>
      </c>
      <c r="E51" s="699"/>
      <c r="F51" s="1668"/>
      <c r="G51" s="995">
        <f t="shared" ref="G51:G58" si="12">H51</f>
        <v>1.41E-2</v>
      </c>
      <c r="H51" s="998">
        <f t="shared" si="8"/>
        <v>1.41E-2</v>
      </c>
      <c r="I51" s="3062">
        <v>0.22</v>
      </c>
      <c r="J51" s="996">
        <f t="shared" si="9"/>
        <v>2.8199999999999999E-2</v>
      </c>
      <c r="K51" s="996">
        <f t="shared" si="10"/>
        <v>1.41E-2</v>
      </c>
      <c r="L51" s="996">
        <v>0</v>
      </c>
      <c r="M51" s="996">
        <f t="shared" si="11"/>
        <v>-1.41E-2</v>
      </c>
      <c r="N51" s="996">
        <f t="shared" si="11"/>
        <v>-2.8199999999999999E-2</v>
      </c>
      <c r="AA51" s="1052"/>
      <c r="AB51" s="1052"/>
      <c r="AC51" s="1052"/>
      <c r="AD51" s="1052"/>
      <c r="AE51" s="1052"/>
      <c r="AF51" s="1052"/>
      <c r="AG51" s="1052"/>
      <c r="AH51" s="1052"/>
      <c r="AI51" s="1052"/>
      <c r="AJ51" s="1052"/>
      <c r="AK51" s="1052"/>
    </row>
    <row r="52" spans="1:37" s="1051" customFormat="1" ht="36">
      <c r="A52" s="3064" t="s">
        <v>3257</v>
      </c>
      <c r="B52" s="1255">
        <f>估价对象房地状况!C19</f>
        <v>0</v>
      </c>
      <c r="C52" s="1880" t="s">
        <v>4165</v>
      </c>
      <c r="D52" s="997">
        <f t="shared" si="7"/>
        <v>7.7000000000000002E-3</v>
      </c>
      <c r="E52" s="699"/>
      <c r="F52" s="1668"/>
      <c r="G52" s="995">
        <f t="shared" si="12"/>
        <v>7.7000000000000002E-3</v>
      </c>
      <c r="H52" s="998">
        <f t="shared" si="8"/>
        <v>7.7000000000000002E-3</v>
      </c>
      <c r="I52" s="3062">
        <v>0.12</v>
      </c>
      <c r="J52" s="996">
        <f t="shared" si="9"/>
        <v>1.54E-2</v>
      </c>
      <c r="K52" s="996">
        <f t="shared" si="10"/>
        <v>7.7000000000000002E-3</v>
      </c>
      <c r="L52" s="996">
        <v>0</v>
      </c>
      <c r="M52" s="996">
        <f t="shared" si="11"/>
        <v>-7.7000000000000002E-3</v>
      </c>
      <c r="N52" s="996">
        <f t="shared" si="11"/>
        <v>-1.54E-2</v>
      </c>
      <c r="AA52" s="1052"/>
      <c r="AB52" s="1052"/>
      <c r="AC52" s="1052"/>
      <c r="AD52" s="1052"/>
      <c r="AE52" s="1052"/>
      <c r="AF52" s="1052"/>
      <c r="AG52" s="1052"/>
      <c r="AH52" s="1052"/>
      <c r="AI52" s="1052"/>
      <c r="AJ52" s="1052"/>
      <c r="AK52" s="1052"/>
    </row>
    <row r="53" spans="1:37" s="1051" customFormat="1" ht="36.75">
      <c r="A53" s="1963" t="s">
        <v>2051</v>
      </c>
      <c r="B53" s="1967" t="s">
        <v>2052</v>
      </c>
      <c r="C53" s="1880" t="s">
        <v>4165</v>
      </c>
      <c r="D53" s="997">
        <f t="shared" si="7"/>
        <v>3.2000000000000002E-3</v>
      </c>
      <c r="E53" s="699"/>
      <c r="F53" s="1668"/>
      <c r="G53" s="995">
        <f t="shared" si="12"/>
        <v>3.2000000000000002E-3</v>
      </c>
      <c r="H53" s="998">
        <f t="shared" si="8"/>
        <v>3.2000000000000002E-3</v>
      </c>
      <c r="I53" s="3062">
        <v>0.05</v>
      </c>
      <c r="J53" s="996">
        <f t="shared" si="9"/>
        <v>6.4000000000000003E-3</v>
      </c>
      <c r="K53" s="996">
        <f t="shared" si="10"/>
        <v>3.2000000000000002E-3</v>
      </c>
      <c r="L53" s="996">
        <v>0</v>
      </c>
      <c r="M53" s="996">
        <f t="shared" si="11"/>
        <v>-3.2000000000000002E-3</v>
      </c>
      <c r="N53" s="996">
        <f t="shared" si="11"/>
        <v>-6.4000000000000003E-3</v>
      </c>
      <c r="AA53" s="1052"/>
      <c r="AB53" s="1052"/>
      <c r="AC53" s="1052"/>
      <c r="AD53" s="1052"/>
      <c r="AE53" s="1052"/>
      <c r="AF53" s="1052"/>
      <c r="AG53" s="1052"/>
      <c r="AH53" s="1052"/>
      <c r="AI53" s="1052"/>
      <c r="AJ53" s="1052"/>
      <c r="AK53" s="1052"/>
    </row>
    <row r="54" spans="1:37" s="1051" customFormat="1" ht="24">
      <c r="A54" s="1963" t="s">
        <v>2053</v>
      </c>
      <c r="B54" s="1255">
        <f>估价对象房地状况!C24</f>
        <v>0</v>
      </c>
      <c r="C54" s="1880" t="s">
        <v>4165</v>
      </c>
      <c r="D54" s="997">
        <f t="shared" si="7"/>
        <v>5.1000000000000004E-3</v>
      </c>
      <c r="E54" s="699"/>
      <c r="F54" s="1668"/>
      <c r="G54" s="995">
        <f t="shared" si="12"/>
        <v>5.1000000000000004E-3</v>
      </c>
      <c r="H54" s="998">
        <f t="shared" si="8"/>
        <v>5.1000000000000004E-3</v>
      </c>
      <c r="I54" s="3062">
        <v>0.08</v>
      </c>
      <c r="J54" s="996">
        <f t="shared" si="9"/>
        <v>1.0200000000000001E-2</v>
      </c>
      <c r="K54" s="996">
        <f t="shared" si="10"/>
        <v>5.1000000000000004E-3</v>
      </c>
      <c r="L54" s="996">
        <v>0</v>
      </c>
      <c r="M54" s="996">
        <f t="shared" si="11"/>
        <v>-5.1000000000000004E-3</v>
      </c>
      <c r="N54" s="996">
        <f t="shared" si="11"/>
        <v>-1.0200000000000001E-2</v>
      </c>
      <c r="AA54" s="1052"/>
      <c r="AB54" s="1052"/>
      <c r="AC54" s="1052"/>
      <c r="AD54" s="1052"/>
      <c r="AE54" s="1052"/>
      <c r="AF54" s="1052"/>
      <c r="AG54" s="1052"/>
      <c r="AH54" s="1052"/>
      <c r="AI54" s="1052"/>
      <c r="AJ54" s="1052"/>
      <c r="AK54" s="1052"/>
    </row>
    <row r="55" spans="1:37" s="1051" customFormat="1" ht="24">
      <c r="A55" s="1963" t="s">
        <v>2054</v>
      </c>
      <c r="B55" s="1968" t="s">
        <v>2055</v>
      </c>
      <c r="C55" s="1880" t="s">
        <v>4165</v>
      </c>
      <c r="D55" s="997">
        <f t="shared" si="7"/>
        <v>3.2000000000000002E-3</v>
      </c>
      <c r="E55" s="699"/>
      <c r="F55" s="1668"/>
      <c r="G55" s="995">
        <f t="shared" si="12"/>
        <v>3.2000000000000002E-3</v>
      </c>
      <c r="H55" s="998">
        <f t="shared" si="8"/>
        <v>3.2000000000000002E-3</v>
      </c>
      <c r="I55" s="3062">
        <v>0.05</v>
      </c>
      <c r="J55" s="996">
        <f t="shared" si="9"/>
        <v>6.4000000000000003E-3</v>
      </c>
      <c r="K55" s="996">
        <f t="shared" si="10"/>
        <v>3.2000000000000002E-3</v>
      </c>
      <c r="L55" s="996">
        <v>0</v>
      </c>
      <c r="M55" s="996">
        <f t="shared" si="11"/>
        <v>-3.2000000000000002E-3</v>
      </c>
      <c r="N55" s="996">
        <f t="shared" si="11"/>
        <v>-6.4000000000000003E-3</v>
      </c>
      <c r="AA55" s="1052"/>
      <c r="AB55" s="1052"/>
      <c r="AC55" s="1052"/>
      <c r="AD55" s="1052"/>
      <c r="AE55" s="1052"/>
      <c r="AF55" s="1052"/>
      <c r="AG55" s="1052"/>
      <c r="AH55" s="1052"/>
      <c r="AI55" s="1052"/>
      <c r="AJ55" s="1052"/>
      <c r="AK55" s="1052"/>
    </row>
    <row r="56" spans="1:37" s="1051" customFormat="1" ht="24">
      <c r="A56" s="1969" t="s">
        <v>2056</v>
      </c>
      <c r="B56" s="1233">
        <f>估价对象房地状况!C21</f>
        <v>0</v>
      </c>
      <c r="C56" s="1880" t="s">
        <v>4164</v>
      </c>
      <c r="D56" s="997">
        <f t="shared" si="7"/>
        <v>0</v>
      </c>
      <c r="E56" s="699"/>
      <c r="F56" s="1668"/>
      <c r="G56" s="995">
        <f t="shared" si="12"/>
        <v>3.2000000000000002E-3</v>
      </c>
      <c r="H56" s="998">
        <f t="shared" si="8"/>
        <v>3.2000000000000002E-3</v>
      </c>
      <c r="I56" s="3062">
        <v>0.05</v>
      </c>
      <c r="J56" s="996">
        <f t="shared" si="9"/>
        <v>6.4000000000000003E-3</v>
      </c>
      <c r="K56" s="996">
        <f t="shared" si="10"/>
        <v>3.2000000000000002E-3</v>
      </c>
      <c r="L56" s="996">
        <v>0</v>
      </c>
      <c r="M56" s="996">
        <f t="shared" si="11"/>
        <v>-3.2000000000000002E-3</v>
      </c>
      <c r="N56" s="996">
        <f t="shared" si="11"/>
        <v>-6.4000000000000003E-3</v>
      </c>
      <c r="AA56" s="1052"/>
      <c r="AB56" s="1052"/>
      <c r="AC56" s="1052"/>
      <c r="AD56" s="1052"/>
      <c r="AE56" s="1052"/>
      <c r="AF56" s="1052"/>
      <c r="AG56" s="1052"/>
      <c r="AH56" s="1052"/>
      <c r="AI56" s="1052"/>
      <c r="AJ56" s="1052"/>
      <c r="AK56" s="1052"/>
    </row>
    <row r="57" spans="1:37" s="1051" customFormat="1" ht="24">
      <c r="A57" s="1969" t="s">
        <v>2057</v>
      </c>
      <c r="B57" s="1255">
        <f>估价对象房地状况!C22</f>
        <v>0</v>
      </c>
      <c r="C57" s="1880" t="s">
        <v>4428</v>
      </c>
      <c r="D57" s="997">
        <f t="shared" si="7"/>
        <v>1.0200000000000001E-2</v>
      </c>
      <c r="E57" s="699"/>
      <c r="F57" s="1668"/>
      <c r="G57" s="995">
        <f t="shared" si="12"/>
        <v>5.1000000000000004E-3</v>
      </c>
      <c r="H57" s="998">
        <f t="shared" si="8"/>
        <v>5.1000000000000004E-3</v>
      </c>
      <c r="I57" s="3062">
        <v>0.08</v>
      </c>
      <c r="J57" s="996">
        <f t="shared" si="9"/>
        <v>1.0200000000000001E-2</v>
      </c>
      <c r="K57" s="996">
        <f t="shared" si="10"/>
        <v>5.1000000000000004E-3</v>
      </c>
      <c r="L57" s="996">
        <v>0</v>
      </c>
      <c r="M57" s="996">
        <f t="shared" si="11"/>
        <v>-5.1000000000000004E-3</v>
      </c>
      <c r="N57" s="996">
        <f t="shared" si="11"/>
        <v>-1.0200000000000001E-2</v>
      </c>
      <c r="AA57" s="1052"/>
      <c r="AB57" s="1052"/>
      <c r="AC57" s="1052"/>
      <c r="AD57" s="1052"/>
      <c r="AE57" s="1052"/>
      <c r="AF57" s="1052"/>
      <c r="AG57" s="1052"/>
      <c r="AH57" s="1052"/>
      <c r="AI57" s="1052"/>
      <c r="AJ57" s="1052"/>
      <c r="AK57" s="1052"/>
    </row>
    <row r="58" spans="1:37" s="1051" customFormat="1" ht="24.75" thickBot="1">
      <c r="A58" s="1970" t="s">
        <v>2058</v>
      </c>
      <c r="B58" s="1971">
        <f>估价对象房地状况!C20</f>
        <v>0</v>
      </c>
      <c r="C58" s="1880" t="s">
        <v>4164</v>
      </c>
      <c r="D58" s="997">
        <f t="shared" si="7"/>
        <v>0</v>
      </c>
      <c r="E58" s="700"/>
      <c r="F58" s="1668"/>
      <c r="G58" s="995">
        <f t="shared" si="12"/>
        <v>3.2000000000000002E-3</v>
      </c>
      <c r="H58" s="998">
        <f t="shared" si="8"/>
        <v>3.2000000000000002E-3</v>
      </c>
      <c r="I58" s="3063">
        <v>0.05</v>
      </c>
      <c r="J58" s="996">
        <f t="shared" si="9"/>
        <v>6.4000000000000003E-3</v>
      </c>
      <c r="K58" s="996">
        <f t="shared" si="10"/>
        <v>3.2000000000000002E-3</v>
      </c>
      <c r="L58" s="996">
        <v>0</v>
      </c>
      <c r="M58" s="996">
        <f t="shared" si="11"/>
        <v>-3.2000000000000002E-3</v>
      </c>
      <c r="N58" s="996">
        <f t="shared" si="11"/>
        <v>-6.4000000000000003E-3</v>
      </c>
      <c r="AA58" s="1052"/>
      <c r="AB58" s="1052"/>
      <c r="AC58" s="1052"/>
      <c r="AD58" s="1052"/>
      <c r="AE58" s="1052"/>
      <c r="AF58" s="1052"/>
      <c r="AG58" s="1052"/>
      <c r="AH58" s="1052"/>
      <c r="AI58" s="1052"/>
      <c r="AJ58" s="1052"/>
      <c r="AK58" s="1052"/>
    </row>
    <row r="59" spans="1:37" s="1051" customFormat="1" ht="15">
      <c r="A59" s="1960" t="s">
        <v>2059</v>
      </c>
      <c r="B59" s="1961">
        <f>1+E61</f>
        <v>1</v>
      </c>
      <c r="C59" s="695"/>
      <c r="D59" s="695"/>
      <c r="E59" s="696"/>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2041</v>
      </c>
      <c r="B60" s="1255"/>
      <c r="C60" s="1255" t="s">
        <v>2043</v>
      </c>
      <c r="D60" s="1255" t="s">
        <v>2044</v>
      </c>
      <c r="E60" s="697" t="s">
        <v>2045</v>
      </c>
      <c r="F60" s="1964" t="s">
        <v>2060</v>
      </c>
      <c r="G60" s="1255" t="s">
        <v>310</v>
      </c>
      <c r="H60" s="1965" t="s">
        <v>2047</v>
      </c>
      <c r="I60" s="1255" t="s">
        <v>2048</v>
      </c>
      <c r="J60" s="529" t="s">
        <v>1718</v>
      </c>
      <c r="K60" s="529" t="s">
        <v>1719</v>
      </c>
      <c r="L60" s="529" t="s">
        <v>1720</v>
      </c>
      <c r="M60" s="529" t="s">
        <v>1721</v>
      </c>
      <c r="N60" s="529" t="s">
        <v>1722</v>
      </c>
      <c r="AA60" s="1052"/>
      <c r="AB60" s="1052"/>
      <c r="AC60" s="1052"/>
      <c r="AD60" s="1052"/>
      <c r="AE60" s="1052"/>
      <c r="AF60" s="1052"/>
      <c r="AG60" s="1052"/>
      <c r="AH60" s="1052"/>
      <c r="AI60" s="1052"/>
      <c r="AJ60" s="1052"/>
      <c r="AK60" s="1052"/>
    </row>
    <row r="61" spans="1:37" s="1051" customFormat="1" ht="24">
      <c r="A61" s="1963" t="s">
        <v>2061</v>
      </c>
      <c r="B61" s="1966">
        <f>估价对象房地状况!C17</f>
        <v>0</v>
      </c>
      <c r="C61" s="1880"/>
      <c r="D61" s="997">
        <f t="shared" ref="D61:D69" si="13">SUMIF($J$60:$N$60,C61,J61:N61)</f>
        <v>0</v>
      </c>
      <c r="E61" s="698">
        <f>ROUND(SUM(D61:D69),4)</f>
        <v>0</v>
      </c>
      <c r="F61" s="1668" t="str">
        <f>IF(E2="办公",SUMIF(L1:L12,G2,N1:N12),"——")</f>
        <v>——</v>
      </c>
      <c r="G61" s="995"/>
      <c r="H61" s="998" t="str">
        <f t="shared" ref="H61:H69" si="14">IFERROR(ROUNDDOWN($F$61*I61/2,4),"——")</f>
        <v>——</v>
      </c>
      <c r="I61" s="3062">
        <v>0.25</v>
      </c>
      <c r="J61" s="996">
        <f t="shared" ref="J61:J69" si="15">K61+$G61</f>
        <v>0</v>
      </c>
      <c r="K61" s="996">
        <f t="shared" ref="K61:K69" si="16">$L61+$G61</f>
        <v>0</v>
      </c>
      <c r="L61" s="996">
        <v>0</v>
      </c>
      <c r="M61" s="996">
        <f t="shared" ref="M61:N69" si="17">L61-$G61</f>
        <v>0</v>
      </c>
      <c r="N61" s="996">
        <f t="shared" si="17"/>
        <v>0</v>
      </c>
      <c r="AA61" s="1052"/>
      <c r="AB61" s="1052"/>
      <c r="AC61" s="1052"/>
      <c r="AD61" s="1052"/>
      <c r="AE61" s="1052"/>
      <c r="AF61" s="1052"/>
      <c r="AG61" s="1052"/>
      <c r="AH61" s="1052"/>
      <c r="AI61" s="1052"/>
      <c r="AJ61" s="1052"/>
      <c r="AK61" s="1052"/>
    </row>
    <row r="62" spans="1:37" s="1051" customFormat="1" ht="14.25">
      <c r="A62" s="1963" t="s">
        <v>2050</v>
      </c>
      <c r="B62" s="1255">
        <f>估价对象房地状况!C18</f>
        <v>0</v>
      </c>
      <c r="C62" s="1880"/>
      <c r="D62" s="997">
        <f t="shared" si="13"/>
        <v>0</v>
      </c>
      <c r="E62" s="699"/>
      <c r="F62" s="1668"/>
      <c r="G62" s="995"/>
      <c r="H62" s="998" t="str">
        <f t="shared" si="14"/>
        <v>——</v>
      </c>
      <c r="I62" s="3062">
        <v>0.26</v>
      </c>
      <c r="J62" s="996">
        <f t="shared" si="15"/>
        <v>0</v>
      </c>
      <c r="K62" s="996">
        <f t="shared" si="16"/>
        <v>0</v>
      </c>
      <c r="L62" s="996">
        <v>0</v>
      </c>
      <c r="M62" s="996">
        <f t="shared" si="17"/>
        <v>0</v>
      </c>
      <c r="N62" s="996">
        <f t="shared" si="17"/>
        <v>0</v>
      </c>
      <c r="AA62" s="1052"/>
      <c r="AB62" s="1052"/>
      <c r="AC62" s="1052"/>
      <c r="AD62" s="1052"/>
      <c r="AE62" s="1052"/>
      <c r="AF62" s="1052"/>
      <c r="AG62" s="1052"/>
      <c r="AH62" s="1052"/>
      <c r="AI62" s="1052"/>
      <c r="AJ62" s="1052"/>
      <c r="AK62" s="1052"/>
    </row>
    <row r="63" spans="1:37" s="1051" customFormat="1" ht="36">
      <c r="A63" s="3064" t="s">
        <v>3257</v>
      </c>
      <c r="B63" s="1255">
        <f>估价对象房地状况!C19</f>
        <v>0</v>
      </c>
      <c r="C63" s="1880"/>
      <c r="D63" s="997">
        <f t="shared" si="13"/>
        <v>0</v>
      </c>
      <c r="E63" s="699"/>
      <c r="F63" s="1668"/>
      <c r="G63" s="995"/>
      <c r="H63" s="998" t="str">
        <f t="shared" si="14"/>
        <v>——</v>
      </c>
      <c r="I63" s="3062">
        <v>0.11</v>
      </c>
      <c r="J63" s="996">
        <f t="shared" si="15"/>
        <v>0</v>
      </c>
      <c r="K63" s="996">
        <f t="shared" si="16"/>
        <v>0</v>
      </c>
      <c r="L63" s="996">
        <v>0</v>
      </c>
      <c r="M63" s="996">
        <f t="shared" si="17"/>
        <v>0</v>
      </c>
      <c r="N63" s="996">
        <f t="shared" si="17"/>
        <v>0</v>
      </c>
      <c r="AA63" s="1052"/>
      <c r="AB63" s="1052"/>
      <c r="AC63" s="1052"/>
      <c r="AD63" s="1052"/>
      <c r="AE63" s="1052"/>
      <c r="AF63" s="1052"/>
      <c r="AG63" s="1052"/>
      <c r="AH63" s="1052"/>
      <c r="AI63" s="1052"/>
      <c r="AJ63" s="1052"/>
      <c r="AK63" s="1052"/>
    </row>
    <row r="64" spans="1:37" s="1051" customFormat="1" ht="36.75">
      <c r="A64" s="1963" t="s">
        <v>2051</v>
      </c>
      <c r="B64" s="1967" t="s">
        <v>2052</v>
      </c>
      <c r="C64" s="1880"/>
      <c r="D64" s="997">
        <f t="shared" si="13"/>
        <v>0</v>
      </c>
      <c r="E64" s="699"/>
      <c r="F64" s="1668"/>
      <c r="G64" s="995"/>
      <c r="H64" s="998" t="str">
        <f t="shared" si="14"/>
        <v>——</v>
      </c>
      <c r="I64" s="3062">
        <v>0.05</v>
      </c>
      <c r="J64" s="996">
        <f t="shared" si="15"/>
        <v>0</v>
      </c>
      <c r="K64" s="996">
        <f t="shared" si="16"/>
        <v>0</v>
      </c>
      <c r="L64" s="996">
        <v>0</v>
      </c>
      <c r="M64" s="996">
        <f t="shared" si="17"/>
        <v>0</v>
      </c>
      <c r="N64" s="996">
        <f t="shared" si="17"/>
        <v>0</v>
      </c>
      <c r="AA64" s="1052"/>
      <c r="AB64" s="1052"/>
      <c r="AC64" s="1052"/>
      <c r="AD64" s="1052"/>
      <c r="AE64" s="1052"/>
      <c r="AF64" s="1052"/>
      <c r="AG64" s="1052"/>
      <c r="AH64" s="1052"/>
      <c r="AI64" s="1052"/>
      <c r="AJ64" s="1052"/>
      <c r="AK64" s="1052"/>
    </row>
    <row r="65" spans="1:37" s="1051" customFormat="1" ht="24">
      <c r="A65" s="1963" t="s">
        <v>2053</v>
      </c>
      <c r="B65" s="1255">
        <f>估价对象房地状况!C24</f>
        <v>0</v>
      </c>
      <c r="C65" s="1880"/>
      <c r="D65" s="997">
        <f t="shared" si="13"/>
        <v>0</v>
      </c>
      <c r="E65" s="699"/>
      <c r="F65" s="1668"/>
      <c r="G65" s="995"/>
      <c r="H65" s="998" t="str">
        <f t="shared" si="14"/>
        <v>——</v>
      </c>
      <c r="I65" s="3062">
        <v>0.05</v>
      </c>
      <c r="J65" s="996">
        <f t="shared" si="15"/>
        <v>0</v>
      </c>
      <c r="K65" s="996">
        <f t="shared" si="16"/>
        <v>0</v>
      </c>
      <c r="L65" s="996">
        <v>0</v>
      </c>
      <c r="M65" s="996">
        <f t="shared" si="17"/>
        <v>0</v>
      </c>
      <c r="N65" s="996">
        <f t="shared" si="17"/>
        <v>0</v>
      </c>
      <c r="AA65" s="1052"/>
      <c r="AB65" s="1052"/>
      <c r="AC65" s="1052"/>
      <c r="AD65" s="1052"/>
      <c r="AE65" s="1052"/>
      <c r="AF65" s="1052"/>
      <c r="AG65" s="1052"/>
      <c r="AH65" s="1052"/>
      <c r="AI65" s="1052"/>
      <c r="AJ65" s="1052"/>
      <c r="AK65" s="1052"/>
    </row>
    <row r="66" spans="1:37" s="1051" customFormat="1" ht="24">
      <c r="A66" s="1963" t="s">
        <v>2054</v>
      </c>
      <c r="B66" s="1968" t="s">
        <v>2055</v>
      </c>
      <c r="C66" s="1880"/>
      <c r="D66" s="997">
        <f t="shared" si="13"/>
        <v>0</v>
      </c>
      <c r="E66" s="699"/>
      <c r="F66" s="1668"/>
      <c r="G66" s="995"/>
      <c r="H66" s="998" t="str">
        <f t="shared" si="14"/>
        <v>——</v>
      </c>
      <c r="I66" s="3062">
        <v>0.06</v>
      </c>
      <c r="J66" s="996">
        <f t="shared" si="15"/>
        <v>0</v>
      </c>
      <c r="K66" s="996">
        <f t="shared" si="16"/>
        <v>0</v>
      </c>
      <c r="L66" s="996">
        <v>0</v>
      </c>
      <c r="M66" s="996">
        <f t="shared" si="17"/>
        <v>0</v>
      </c>
      <c r="N66" s="996">
        <f t="shared" si="17"/>
        <v>0</v>
      </c>
      <c r="AA66" s="1052"/>
      <c r="AB66" s="1052"/>
      <c r="AC66" s="1052"/>
      <c r="AD66" s="1052"/>
      <c r="AE66" s="1052"/>
      <c r="AF66" s="1052"/>
      <c r="AG66" s="1052"/>
      <c r="AH66" s="1052"/>
      <c r="AI66" s="1052"/>
      <c r="AJ66" s="1052"/>
      <c r="AK66" s="1052"/>
    </row>
    <row r="67" spans="1:37" s="1051" customFormat="1" ht="24">
      <c r="A67" s="1963" t="s">
        <v>2056</v>
      </c>
      <c r="B67" s="1233">
        <f>估价对象房地状况!C21</f>
        <v>0</v>
      </c>
      <c r="C67" s="1880"/>
      <c r="D67" s="997">
        <f t="shared" si="13"/>
        <v>0</v>
      </c>
      <c r="E67" s="699"/>
      <c r="F67" s="1668"/>
      <c r="G67" s="995"/>
      <c r="H67" s="998" t="str">
        <f t="shared" si="14"/>
        <v>——</v>
      </c>
      <c r="I67" s="3062">
        <v>0.06</v>
      </c>
      <c r="J67" s="996">
        <f t="shared" si="15"/>
        <v>0</v>
      </c>
      <c r="K67" s="996">
        <f t="shared" si="16"/>
        <v>0</v>
      </c>
      <c r="L67" s="996">
        <v>0</v>
      </c>
      <c r="M67" s="996">
        <f t="shared" si="17"/>
        <v>0</v>
      </c>
      <c r="N67" s="996">
        <f t="shared" si="17"/>
        <v>0</v>
      </c>
      <c r="AA67" s="1052"/>
      <c r="AB67" s="1052"/>
      <c r="AC67" s="1052"/>
      <c r="AD67" s="1052"/>
      <c r="AE67" s="1052"/>
      <c r="AF67" s="1052"/>
      <c r="AG67" s="1052"/>
      <c r="AH67" s="1052"/>
      <c r="AI67" s="1052"/>
      <c r="AJ67" s="1052"/>
      <c r="AK67" s="1052"/>
    </row>
    <row r="68" spans="1:37" s="1051" customFormat="1" ht="24">
      <c r="A68" s="1963" t="s">
        <v>2057</v>
      </c>
      <c r="B68" s="1233">
        <f>估价对象房地状况!C22</f>
        <v>0</v>
      </c>
      <c r="C68" s="1880"/>
      <c r="D68" s="997">
        <f t="shared" si="13"/>
        <v>0</v>
      </c>
      <c r="E68" s="699"/>
      <c r="F68" s="1668"/>
      <c r="G68" s="995"/>
      <c r="H68" s="998" t="str">
        <f t="shared" si="14"/>
        <v>——</v>
      </c>
      <c r="I68" s="3062">
        <v>0.09</v>
      </c>
      <c r="J68" s="996">
        <f t="shared" si="15"/>
        <v>0</v>
      </c>
      <c r="K68" s="996">
        <f t="shared" si="16"/>
        <v>0</v>
      </c>
      <c r="L68" s="996">
        <v>0</v>
      </c>
      <c r="M68" s="996">
        <f t="shared" si="17"/>
        <v>0</v>
      </c>
      <c r="N68" s="996">
        <f t="shared" si="17"/>
        <v>0</v>
      </c>
      <c r="AA68" s="1052"/>
      <c r="AB68" s="1052"/>
      <c r="AC68" s="1052"/>
      <c r="AD68" s="1052"/>
      <c r="AE68" s="1052"/>
      <c r="AF68" s="1052"/>
      <c r="AG68" s="1052"/>
      <c r="AH68" s="1052"/>
      <c r="AI68" s="1052"/>
      <c r="AJ68" s="1052"/>
      <c r="AK68" s="1052"/>
    </row>
    <row r="69" spans="1:37" s="1051" customFormat="1" ht="24.75" thickBot="1">
      <c r="A69" s="1970" t="s">
        <v>2058</v>
      </c>
      <c r="B69" s="1972">
        <f>估价对象房地状况!C20</f>
        <v>0</v>
      </c>
      <c r="C69" s="1880"/>
      <c r="D69" s="997">
        <f t="shared" si="13"/>
        <v>0</v>
      </c>
      <c r="E69" s="700"/>
      <c r="F69" s="1668"/>
      <c r="G69" s="995"/>
      <c r="H69" s="998" t="str">
        <f t="shared" si="14"/>
        <v>——</v>
      </c>
      <c r="I69" s="3063">
        <v>7.0000000000000007E-2</v>
      </c>
      <c r="J69" s="996">
        <f t="shared" si="15"/>
        <v>0</v>
      </c>
      <c r="K69" s="996">
        <f t="shared" si="16"/>
        <v>0</v>
      </c>
      <c r="L69" s="996">
        <v>0</v>
      </c>
      <c r="M69" s="996">
        <f t="shared" si="17"/>
        <v>0</v>
      </c>
      <c r="N69" s="996">
        <f t="shared" si="17"/>
        <v>0</v>
      </c>
      <c r="AA69" s="1052"/>
      <c r="AB69" s="1052"/>
      <c r="AC69" s="1052"/>
      <c r="AD69" s="1052"/>
      <c r="AE69" s="1052"/>
      <c r="AF69" s="1052"/>
      <c r="AG69" s="1052"/>
      <c r="AH69" s="1052"/>
      <c r="AI69" s="1052"/>
      <c r="AJ69" s="1052"/>
      <c r="AK69" s="1052"/>
    </row>
    <row r="70" spans="1:37" s="1051" customFormat="1" ht="15">
      <c r="A70" s="1960" t="s">
        <v>2062</v>
      </c>
      <c r="B70" s="1961">
        <f>1+E72</f>
        <v>1</v>
      </c>
      <c r="C70" s="695"/>
      <c r="D70" s="695"/>
      <c r="E70" s="696"/>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2041</v>
      </c>
      <c r="B71" s="1255"/>
      <c r="C71" s="1255" t="s">
        <v>2043</v>
      </c>
      <c r="D71" s="1255" t="s">
        <v>2044</v>
      </c>
      <c r="E71" s="697" t="s">
        <v>2045</v>
      </c>
      <c r="F71" s="1964" t="s">
        <v>2060</v>
      </c>
      <c r="G71" s="1255" t="s">
        <v>310</v>
      </c>
      <c r="H71" s="1965" t="s">
        <v>2047</v>
      </c>
      <c r="I71" s="1255" t="s">
        <v>2048</v>
      </c>
      <c r="J71" s="529" t="s">
        <v>1718</v>
      </c>
      <c r="K71" s="529" t="s">
        <v>1719</v>
      </c>
      <c r="L71" s="529" t="s">
        <v>1720</v>
      </c>
      <c r="M71" s="529" t="s">
        <v>1721</v>
      </c>
      <c r="N71" s="529" t="s">
        <v>1722</v>
      </c>
      <c r="AA71" s="1052"/>
      <c r="AB71" s="1052"/>
      <c r="AC71" s="1052"/>
      <c r="AD71" s="1052"/>
      <c r="AE71" s="1052"/>
      <c r="AF71" s="1052"/>
      <c r="AG71" s="1052"/>
      <c r="AH71" s="1052"/>
      <c r="AI71" s="1052"/>
      <c r="AJ71" s="1052"/>
      <c r="AK71" s="1052"/>
    </row>
    <row r="72" spans="1:37" s="1051" customFormat="1" ht="24">
      <c r="A72" s="1963" t="s">
        <v>2063</v>
      </c>
      <c r="B72" s="1966">
        <f>估价对象房地状况!C15</f>
        <v>0</v>
      </c>
      <c r="C72" s="1880"/>
      <c r="D72" s="997">
        <f t="shared" ref="D72:D80" si="18">SUMIF($J$71:$N$71,C72,J72:N72)</f>
        <v>0</v>
      </c>
      <c r="E72" s="698">
        <f>ROUND(SUM(D72:D80),4)</f>
        <v>0</v>
      </c>
      <c r="F72" s="1668" t="str">
        <f>IF(E2="住宅",SUMIF(L1:L12,G2,N1:N12),"——")</f>
        <v>——</v>
      </c>
      <c r="G72" s="995"/>
      <c r="H72" s="998" t="str">
        <f t="shared" ref="H72:H80" si="19">IFERROR(ROUNDDOWN($F$72*I72/2,4),"——")</f>
        <v>——</v>
      </c>
      <c r="I72" s="3062">
        <v>0.2</v>
      </c>
      <c r="J72" s="996">
        <f t="shared" ref="J72:J80" si="20">K72+$G72</f>
        <v>0</v>
      </c>
      <c r="K72" s="996">
        <f t="shared" ref="K72:K80" si="21">$L72+$G72</f>
        <v>0</v>
      </c>
      <c r="L72" s="996">
        <v>0</v>
      </c>
      <c r="M72" s="996">
        <f t="shared" ref="M72:N80" si="22">L72-$G72</f>
        <v>0</v>
      </c>
      <c r="N72" s="996">
        <f t="shared" si="22"/>
        <v>0</v>
      </c>
      <c r="AA72" s="1052"/>
      <c r="AB72" s="1052"/>
      <c r="AC72" s="1052"/>
      <c r="AD72" s="1052"/>
      <c r="AE72" s="1052"/>
      <c r="AF72" s="1052"/>
      <c r="AG72" s="1052"/>
      <c r="AH72" s="1052"/>
      <c r="AI72" s="1052"/>
      <c r="AJ72" s="1052"/>
      <c r="AK72" s="1052"/>
    </row>
    <row r="73" spans="1:37" s="1051" customFormat="1" ht="14.25">
      <c r="A73" s="1963" t="s">
        <v>2050</v>
      </c>
      <c r="B73" s="1255">
        <f>估价对象房地状况!C18</f>
        <v>0</v>
      </c>
      <c r="C73" s="1880"/>
      <c r="D73" s="997">
        <f t="shared" si="18"/>
        <v>0</v>
      </c>
      <c r="E73" s="701"/>
      <c r="F73" s="1668"/>
      <c r="G73" s="995"/>
      <c r="H73" s="998" t="str">
        <f t="shared" si="19"/>
        <v>——</v>
      </c>
      <c r="I73" s="3062">
        <v>0.26</v>
      </c>
      <c r="J73" s="996">
        <f t="shared" si="20"/>
        <v>0</v>
      </c>
      <c r="K73" s="996">
        <f t="shared" si="21"/>
        <v>0</v>
      </c>
      <c r="L73" s="996">
        <v>0</v>
      </c>
      <c r="M73" s="996">
        <f t="shared" si="22"/>
        <v>0</v>
      </c>
      <c r="N73" s="996">
        <f t="shared" si="22"/>
        <v>0</v>
      </c>
      <c r="AA73" s="1052"/>
      <c r="AB73" s="1052"/>
      <c r="AC73" s="1052"/>
      <c r="AD73" s="1052"/>
      <c r="AE73" s="1052"/>
      <c r="AF73" s="1052"/>
      <c r="AG73" s="1052"/>
      <c r="AH73" s="1052"/>
      <c r="AI73" s="1052"/>
      <c r="AJ73" s="1052"/>
      <c r="AK73" s="1052"/>
    </row>
    <row r="74" spans="1:37" s="1837" customFormat="1" ht="36">
      <c r="A74" s="3064" t="s">
        <v>3257</v>
      </c>
      <c r="B74" s="1255">
        <f>估价对象房地状况!C19</f>
        <v>0</v>
      </c>
      <c r="C74" s="1880"/>
      <c r="D74" s="997">
        <f t="shared" si="18"/>
        <v>0</v>
      </c>
      <c r="E74" s="701"/>
      <c r="F74" s="1668"/>
      <c r="G74" s="995"/>
      <c r="H74" s="998" t="str">
        <f t="shared" si="19"/>
        <v>——</v>
      </c>
      <c r="I74" s="3062">
        <v>0.1</v>
      </c>
      <c r="J74" s="996">
        <f t="shared" si="20"/>
        <v>0</v>
      </c>
      <c r="K74" s="996">
        <f t="shared" si="21"/>
        <v>0</v>
      </c>
      <c r="L74" s="996">
        <v>0</v>
      </c>
      <c r="M74" s="996">
        <f t="shared" si="22"/>
        <v>0</v>
      </c>
      <c r="N74" s="996">
        <f t="shared" si="22"/>
        <v>0</v>
      </c>
      <c r="O74" s="1051"/>
      <c r="P74" s="1051"/>
      <c r="Q74" s="1051"/>
      <c r="AA74" s="1973"/>
      <c r="AB74" s="1052"/>
      <c r="AC74" s="1052"/>
      <c r="AD74" s="1052"/>
      <c r="AE74" s="1052"/>
      <c r="AF74" s="1052"/>
      <c r="AG74" s="1052"/>
      <c r="AH74" s="1973"/>
      <c r="AI74" s="1973"/>
      <c r="AJ74" s="1973"/>
      <c r="AK74" s="1973"/>
    </row>
    <row r="75" spans="1:37" ht="14.25">
      <c r="A75" s="1963" t="s">
        <v>2064</v>
      </c>
      <c r="B75" s="1255">
        <f>估价对象房地状况!C24</f>
        <v>0</v>
      </c>
      <c r="C75" s="1880"/>
      <c r="D75" s="997">
        <f t="shared" si="18"/>
        <v>0</v>
      </c>
      <c r="E75" s="701"/>
      <c r="F75" s="1668"/>
      <c r="G75" s="995"/>
      <c r="H75" s="998" t="str">
        <f t="shared" si="19"/>
        <v>——</v>
      </c>
      <c r="I75" s="3062">
        <v>0.05</v>
      </c>
      <c r="J75" s="996">
        <f t="shared" si="20"/>
        <v>0</v>
      </c>
      <c r="K75" s="996">
        <f t="shared" si="21"/>
        <v>0</v>
      </c>
      <c r="L75" s="996">
        <v>0</v>
      </c>
      <c r="M75" s="996">
        <f t="shared" si="22"/>
        <v>0</v>
      </c>
      <c r="N75" s="996">
        <f t="shared" si="22"/>
        <v>0</v>
      </c>
      <c r="O75" s="1051"/>
      <c r="P75" s="1051"/>
      <c r="Q75" s="1837"/>
      <c r="Z75" s="1838"/>
      <c r="AA75" s="1888"/>
      <c r="AG75" s="1053"/>
      <c r="AK75" s="1888"/>
    </row>
    <row r="76" spans="1:37" ht="24">
      <c r="A76" s="1963" t="s">
        <v>2056</v>
      </c>
      <c r="B76" s="1233">
        <f>估价对象房地状况!C21</f>
        <v>0</v>
      </c>
      <c r="C76" s="1880"/>
      <c r="D76" s="997">
        <f t="shared" si="18"/>
        <v>0</v>
      </c>
      <c r="E76" s="701"/>
      <c r="F76" s="1668"/>
      <c r="G76" s="995"/>
      <c r="H76" s="998" t="str">
        <f t="shared" si="19"/>
        <v>——</v>
      </c>
      <c r="I76" s="3062">
        <v>0.08</v>
      </c>
      <c r="J76" s="996">
        <f t="shared" si="20"/>
        <v>0</v>
      </c>
      <c r="K76" s="996">
        <f t="shared" si="21"/>
        <v>0</v>
      </c>
      <c r="L76" s="996">
        <v>0</v>
      </c>
      <c r="M76" s="996">
        <f t="shared" si="22"/>
        <v>0</v>
      </c>
      <c r="N76" s="996">
        <f t="shared" si="22"/>
        <v>0</v>
      </c>
      <c r="O76" s="1051"/>
      <c r="P76" s="1051"/>
      <c r="Z76" s="1838"/>
      <c r="AA76" s="1888"/>
      <c r="AG76" s="1053"/>
      <c r="AK76" s="1888"/>
    </row>
    <row r="77" spans="1:37" ht="24">
      <c r="A77" s="1963" t="s">
        <v>2057</v>
      </c>
      <c r="B77" s="1233">
        <f>估价对象房地状况!C22</f>
        <v>0</v>
      </c>
      <c r="C77" s="1880"/>
      <c r="D77" s="997">
        <f t="shared" si="18"/>
        <v>0</v>
      </c>
      <c r="E77" s="701"/>
      <c r="F77" s="1668"/>
      <c r="G77" s="995"/>
      <c r="H77" s="998" t="str">
        <f t="shared" si="19"/>
        <v>——</v>
      </c>
      <c r="I77" s="3062">
        <v>0.09</v>
      </c>
      <c r="J77" s="996">
        <f t="shared" si="20"/>
        <v>0</v>
      </c>
      <c r="K77" s="996">
        <f t="shared" si="21"/>
        <v>0</v>
      </c>
      <c r="L77" s="996">
        <v>0</v>
      </c>
      <c r="M77" s="996">
        <f t="shared" si="22"/>
        <v>0</v>
      </c>
      <c r="N77" s="996">
        <f t="shared" si="22"/>
        <v>0</v>
      </c>
      <c r="O77" s="1051"/>
      <c r="P77" s="1051"/>
      <c r="Z77" s="1838"/>
      <c r="AA77" s="1888"/>
      <c r="AG77" s="1053"/>
      <c r="AK77" s="1888"/>
    </row>
    <row r="78" spans="1:37" ht="24">
      <c r="A78" s="1963" t="s">
        <v>2054</v>
      </c>
      <c r="B78" s="1968" t="s">
        <v>2055</v>
      </c>
      <c r="C78" s="1880"/>
      <c r="D78" s="997">
        <f t="shared" si="18"/>
        <v>0</v>
      </c>
      <c r="E78" s="701"/>
      <c r="F78" s="1668"/>
      <c r="G78" s="995"/>
      <c r="H78" s="998" t="str">
        <f t="shared" si="19"/>
        <v>——</v>
      </c>
      <c r="I78" s="3062">
        <v>0.05</v>
      </c>
      <c r="J78" s="996">
        <f t="shared" si="20"/>
        <v>0</v>
      </c>
      <c r="K78" s="996">
        <f t="shared" si="21"/>
        <v>0</v>
      </c>
      <c r="L78" s="996">
        <v>0</v>
      </c>
      <c r="M78" s="996">
        <f t="shared" si="22"/>
        <v>0</v>
      </c>
      <c r="N78" s="996">
        <f t="shared" si="22"/>
        <v>0</v>
      </c>
      <c r="O78" s="1837"/>
      <c r="P78" s="1837"/>
      <c r="Z78" s="1838"/>
      <c r="AA78" s="1888"/>
      <c r="AG78" s="1053"/>
      <c r="AK78" s="1888"/>
    </row>
    <row r="79" spans="1:37" ht="24">
      <c r="A79" s="1963" t="s">
        <v>2058</v>
      </c>
      <c r="B79" s="1966">
        <f>估价对象房地状况!C20</f>
        <v>0</v>
      </c>
      <c r="C79" s="1880"/>
      <c r="D79" s="997">
        <f t="shared" si="18"/>
        <v>0</v>
      </c>
      <c r="E79" s="701"/>
      <c r="F79" s="1668"/>
      <c r="G79" s="995"/>
      <c r="H79" s="998" t="str">
        <f t="shared" si="19"/>
        <v>——</v>
      </c>
      <c r="I79" s="3062">
        <v>0.12</v>
      </c>
      <c r="J79" s="996">
        <f t="shared" si="20"/>
        <v>0</v>
      </c>
      <c r="K79" s="996">
        <f t="shared" si="21"/>
        <v>0</v>
      </c>
      <c r="L79" s="996">
        <v>0</v>
      </c>
      <c r="M79" s="996">
        <f t="shared" si="22"/>
        <v>0</v>
      </c>
      <c r="N79" s="996">
        <f t="shared" si="22"/>
        <v>0</v>
      </c>
      <c r="Z79" s="1838"/>
      <c r="AA79" s="1888"/>
      <c r="AG79" s="1053"/>
      <c r="AK79" s="1888"/>
    </row>
    <row r="80" spans="1:37" ht="24.75" thickBot="1">
      <c r="A80" s="1970" t="s">
        <v>2065</v>
      </c>
      <c r="B80" s="1974"/>
      <c r="C80" s="1880"/>
      <c r="D80" s="997">
        <f t="shared" si="18"/>
        <v>0</v>
      </c>
      <c r="E80" s="702"/>
      <c r="F80" s="1668"/>
      <c r="G80" s="995"/>
      <c r="H80" s="998" t="str">
        <f t="shared" si="19"/>
        <v>——</v>
      </c>
      <c r="I80" s="3063">
        <v>0.05</v>
      </c>
      <c r="J80" s="996">
        <f t="shared" si="20"/>
        <v>0</v>
      </c>
      <c r="K80" s="996">
        <f t="shared" si="21"/>
        <v>0</v>
      </c>
      <c r="L80" s="996">
        <v>0</v>
      </c>
      <c r="M80" s="996">
        <f t="shared" si="22"/>
        <v>0</v>
      </c>
      <c r="N80" s="996">
        <f t="shared" si="22"/>
        <v>0</v>
      </c>
      <c r="Z80" s="1838"/>
      <c r="AA80" s="1888"/>
      <c r="AG80" s="1053"/>
      <c r="AK80" s="1888"/>
    </row>
    <row r="81" spans="1:37" ht="15">
      <c r="A81" s="1960" t="s">
        <v>2066</v>
      </c>
      <c r="B81" s="1961">
        <f>1+E83</f>
        <v>1</v>
      </c>
      <c r="C81" s="695"/>
      <c r="D81" s="695"/>
      <c r="E81" s="696"/>
      <c r="F81" s="1962"/>
      <c r="G81" s="3"/>
      <c r="H81" s="3"/>
      <c r="I81" s="3"/>
      <c r="J81" s="4"/>
      <c r="K81" s="4"/>
      <c r="L81" s="4"/>
      <c r="M81" s="4"/>
      <c r="N81" s="4"/>
      <c r="Z81" s="1838"/>
      <c r="AA81" s="1888"/>
      <c r="AG81" s="1053"/>
      <c r="AK81" s="1888"/>
    </row>
    <row r="82" spans="1:37" ht="24.75">
      <c r="A82" s="1963" t="s">
        <v>2041</v>
      </c>
      <c r="B82" s="1255"/>
      <c r="C82" s="1255" t="s">
        <v>2043</v>
      </c>
      <c r="D82" s="1255" t="s">
        <v>2044</v>
      </c>
      <c r="E82" s="697" t="s">
        <v>2045</v>
      </c>
      <c r="F82" s="1964" t="s">
        <v>2060</v>
      </c>
      <c r="G82" s="1255" t="s">
        <v>310</v>
      </c>
      <c r="H82" s="1965" t="s">
        <v>2047</v>
      </c>
      <c r="I82" s="1255" t="s">
        <v>2048</v>
      </c>
      <c r="J82" s="529" t="s">
        <v>1718</v>
      </c>
      <c r="K82" s="529" t="s">
        <v>1719</v>
      </c>
      <c r="L82" s="529" t="s">
        <v>1720</v>
      </c>
      <c r="M82" s="529" t="s">
        <v>1721</v>
      </c>
      <c r="N82" s="529" t="s">
        <v>1722</v>
      </c>
      <c r="Z82" s="1838"/>
      <c r="AA82" s="1888"/>
      <c r="AG82" s="1053"/>
      <c r="AK82" s="1888"/>
    </row>
    <row r="83" spans="1:37" ht="24">
      <c r="A83" s="1963" t="s">
        <v>2067</v>
      </c>
      <c r="B83" s="1255">
        <f>估价对象房地状况!G15</f>
        <v>0</v>
      </c>
      <c r="C83" s="1880"/>
      <c r="D83" s="997">
        <f t="shared" ref="D83:D90" si="23">SUMIF($J$82:$N$82,C83,J83:N83)</f>
        <v>0</v>
      </c>
      <c r="E83" s="698">
        <f>ROUND(SUM(D83:D90),4)</f>
        <v>0</v>
      </c>
      <c r="F83" s="1668" t="str">
        <f>IF(E2="工业",SUMIF(L1:L12,G2,N1:N12),"——")</f>
        <v>——</v>
      </c>
      <c r="G83" s="995"/>
      <c r="H83" s="998" t="str">
        <f t="shared" ref="H83:H90" si="24">IFERROR(ROUNDDOWN($F$83*I83/2,4),"——")</f>
        <v>——</v>
      </c>
      <c r="I83" s="3062">
        <v>0.26</v>
      </c>
      <c r="J83" s="996">
        <f t="shared" ref="J83:J90" si="25">K83+$G83</f>
        <v>0</v>
      </c>
      <c r="K83" s="996">
        <f t="shared" ref="K83:K90" si="26">$L83+$G83</f>
        <v>0</v>
      </c>
      <c r="L83" s="996">
        <v>0</v>
      </c>
      <c r="M83" s="996">
        <f t="shared" ref="M83:N90" si="27">L83-$G83</f>
        <v>0</v>
      </c>
      <c r="N83" s="996">
        <f t="shared" si="27"/>
        <v>0</v>
      </c>
      <c r="Z83" s="1838"/>
      <c r="AA83" s="1888"/>
      <c r="AG83" s="1053"/>
      <c r="AK83" s="1888"/>
    </row>
    <row r="84" spans="1:37" ht="14.25">
      <c r="A84" s="1963" t="s">
        <v>2050</v>
      </c>
      <c r="B84" s="1255">
        <f>估价对象房地状况!G16</f>
        <v>0</v>
      </c>
      <c r="C84" s="1880"/>
      <c r="D84" s="997">
        <f t="shared" si="23"/>
        <v>0</v>
      </c>
      <c r="E84" s="701"/>
      <c r="F84" s="1668"/>
      <c r="G84" s="995"/>
      <c r="H84" s="998" t="str">
        <f t="shared" si="24"/>
        <v>——</v>
      </c>
      <c r="I84" s="3062">
        <v>0.3</v>
      </c>
      <c r="J84" s="996">
        <f t="shared" si="25"/>
        <v>0</v>
      </c>
      <c r="K84" s="996">
        <f t="shared" si="26"/>
        <v>0</v>
      </c>
      <c r="L84" s="996">
        <v>0</v>
      </c>
      <c r="M84" s="996">
        <f t="shared" si="27"/>
        <v>0</v>
      </c>
      <c r="N84" s="996">
        <f t="shared" si="27"/>
        <v>0</v>
      </c>
      <c r="Z84" s="1838"/>
      <c r="AA84" s="1888"/>
      <c r="AG84" s="1053"/>
      <c r="AK84" s="1888"/>
    </row>
    <row r="85" spans="1:37" ht="36">
      <c r="A85" s="3064" t="s">
        <v>3258</v>
      </c>
      <c r="B85" s="1255">
        <f>估价对象房地状况!G17</f>
        <v>0</v>
      </c>
      <c r="C85" s="1880"/>
      <c r="D85" s="997">
        <f t="shared" si="23"/>
        <v>0</v>
      </c>
      <c r="E85" s="701"/>
      <c r="F85" s="1668"/>
      <c r="G85" s="995"/>
      <c r="H85" s="998" t="str">
        <f t="shared" si="24"/>
        <v>——</v>
      </c>
      <c r="I85" s="3062">
        <v>0.1</v>
      </c>
      <c r="J85" s="996">
        <f t="shared" si="25"/>
        <v>0</v>
      </c>
      <c r="K85" s="996">
        <f t="shared" si="26"/>
        <v>0</v>
      </c>
      <c r="L85" s="996">
        <v>0</v>
      </c>
      <c r="M85" s="996">
        <f t="shared" si="27"/>
        <v>0</v>
      </c>
      <c r="N85" s="996">
        <f t="shared" si="27"/>
        <v>0</v>
      </c>
      <c r="Z85" s="1838"/>
      <c r="AA85" s="1888"/>
      <c r="AG85" s="1053"/>
      <c r="AK85" s="1888"/>
    </row>
    <row r="86" spans="1:37" ht="14.25">
      <c r="A86" s="1963" t="s">
        <v>2064</v>
      </c>
      <c r="B86" s="1255">
        <f>估价对象房地状况!G22</f>
        <v>0</v>
      </c>
      <c r="C86" s="1880"/>
      <c r="D86" s="997">
        <f t="shared" si="23"/>
        <v>0</v>
      </c>
      <c r="E86" s="701"/>
      <c r="F86" s="1668"/>
      <c r="G86" s="995"/>
      <c r="H86" s="998" t="str">
        <f t="shared" si="24"/>
        <v>——</v>
      </c>
      <c r="I86" s="3062">
        <v>0.05</v>
      </c>
      <c r="J86" s="996">
        <f t="shared" si="25"/>
        <v>0</v>
      </c>
      <c r="K86" s="996">
        <f t="shared" si="26"/>
        <v>0</v>
      </c>
      <c r="L86" s="996">
        <v>0</v>
      </c>
      <c r="M86" s="996">
        <f t="shared" si="27"/>
        <v>0</v>
      </c>
      <c r="N86" s="996">
        <f t="shared" si="27"/>
        <v>0</v>
      </c>
      <c r="Z86" s="1838"/>
      <c r="AA86" s="1888"/>
      <c r="AG86" s="1053"/>
      <c r="AK86" s="1888"/>
    </row>
    <row r="87" spans="1:37" ht="24">
      <c r="A87" s="1963" t="s">
        <v>2056</v>
      </c>
      <c r="B87" s="1233">
        <f>估价对象房地状况!G19</f>
        <v>0</v>
      </c>
      <c r="C87" s="1880"/>
      <c r="D87" s="997">
        <f t="shared" si="23"/>
        <v>0</v>
      </c>
      <c r="E87" s="701"/>
      <c r="F87" s="1668"/>
      <c r="G87" s="995"/>
      <c r="H87" s="998" t="str">
        <f t="shared" si="24"/>
        <v>——</v>
      </c>
      <c r="I87" s="3062">
        <v>0.06</v>
      </c>
      <c r="J87" s="996">
        <f t="shared" si="25"/>
        <v>0</v>
      </c>
      <c r="K87" s="996">
        <f t="shared" si="26"/>
        <v>0</v>
      </c>
      <c r="L87" s="996">
        <v>0</v>
      </c>
      <c r="M87" s="996">
        <f t="shared" si="27"/>
        <v>0</v>
      </c>
      <c r="N87" s="996">
        <f t="shared" si="27"/>
        <v>0</v>
      </c>
    </row>
    <row r="88" spans="1:37" ht="24">
      <c r="A88" s="1963" t="s">
        <v>2057</v>
      </c>
      <c r="B88" s="1233">
        <f>估价对象房地状况!G20</f>
        <v>0</v>
      </c>
      <c r="C88" s="1880"/>
      <c r="D88" s="997">
        <f t="shared" si="23"/>
        <v>0</v>
      </c>
      <c r="E88" s="701"/>
      <c r="F88" s="1668"/>
      <c r="G88" s="995"/>
      <c r="H88" s="998" t="str">
        <f t="shared" si="24"/>
        <v>——</v>
      </c>
      <c r="I88" s="3062">
        <v>0.12</v>
      </c>
      <c r="J88" s="996">
        <f t="shared" si="25"/>
        <v>0</v>
      </c>
      <c r="K88" s="996">
        <f t="shared" si="26"/>
        <v>0</v>
      </c>
      <c r="L88" s="996">
        <v>0</v>
      </c>
      <c r="M88" s="996">
        <f t="shared" si="27"/>
        <v>0</v>
      </c>
      <c r="N88" s="996">
        <f t="shared" si="27"/>
        <v>0</v>
      </c>
    </row>
    <row r="89" spans="1:37" ht="24">
      <c r="A89" s="1963" t="s">
        <v>2054</v>
      </c>
      <c r="B89" s="1968" t="s">
        <v>2068</v>
      </c>
      <c r="C89" s="1880"/>
      <c r="D89" s="997">
        <f t="shared" si="23"/>
        <v>0</v>
      </c>
      <c r="E89" s="701"/>
      <c r="F89" s="1668"/>
      <c r="G89" s="995"/>
      <c r="H89" s="998" t="str">
        <f t="shared" si="24"/>
        <v>——</v>
      </c>
      <c r="I89" s="3062">
        <v>0.06</v>
      </c>
      <c r="J89" s="996">
        <f t="shared" si="25"/>
        <v>0</v>
      </c>
      <c r="K89" s="996">
        <f t="shared" si="26"/>
        <v>0</v>
      </c>
      <c r="L89" s="996">
        <v>0</v>
      </c>
      <c r="M89" s="996">
        <f t="shared" si="27"/>
        <v>0</v>
      </c>
      <c r="N89" s="996">
        <f t="shared" si="27"/>
        <v>0</v>
      </c>
    </row>
    <row r="90" spans="1:37" ht="15" thickBot="1">
      <c r="A90" s="1970" t="s">
        <v>2069</v>
      </c>
      <c r="B90" s="1975">
        <f>估价对象房地状况!G18</f>
        <v>0</v>
      </c>
      <c r="C90" s="1880"/>
      <c r="D90" s="997">
        <f t="shared" si="23"/>
        <v>0</v>
      </c>
      <c r="E90" s="702"/>
      <c r="F90" s="1668"/>
      <c r="G90" s="995"/>
      <c r="H90" s="998" t="str">
        <f t="shared" si="24"/>
        <v>——</v>
      </c>
      <c r="I90" s="3063">
        <v>0.05</v>
      </c>
      <c r="J90" s="996">
        <f t="shared" si="25"/>
        <v>0</v>
      </c>
      <c r="K90" s="996">
        <f t="shared" si="26"/>
        <v>0</v>
      </c>
      <c r="L90" s="996">
        <v>0</v>
      </c>
      <c r="M90" s="996">
        <f t="shared" si="27"/>
        <v>0</v>
      </c>
      <c r="N90" s="996">
        <f t="shared" si="27"/>
        <v>0</v>
      </c>
    </row>
    <row r="91" spans="1:37" ht="15">
      <c r="A91" s="3072" t="s">
        <v>2601</v>
      </c>
      <c r="B91" s="3073">
        <f>1+E93</f>
        <v>1</v>
      </c>
      <c r="C91" s="3066"/>
      <c r="D91" s="3067"/>
      <c r="E91" s="1668"/>
      <c r="F91" s="1668"/>
      <c r="G91" s="3068"/>
      <c r="H91" s="3069"/>
      <c r="I91" s="3070"/>
      <c r="J91" s="3071"/>
      <c r="K91" s="3071"/>
      <c r="L91" s="3071"/>
      <c r="M91" s="3071"/>
      <c r="N91" s="3071"/>
    </row>
    <row r="92" spans="1:37" ht="24.75">
      <c r="A92" s="3074" t="s">
        <v>3259</v>
      </c>
      <c r="B92" s="2303"/>
      <c r="C92" s="2303" t="s">
        <v>3268</v>
      </c>
      <c r="D92" s="2303" t="s">
        <v>3269</v>
      </c>
      <c r="E92" s="3046" t="s">
        <v>3270</v>
      </c>
      <c r="F92" s="3076" t="s">
        <v>3271</v>
      </c>
      <c r="G92" s="2303" t="s">
        <v>3272</v>
      </c>
      <c r="H92" s="3083" t="s">
        <v>3275</v>
      </c>
      <c r="I92" s="2303" t="s">
        <v>3276</v>
      </c>
      <c r="J92" s="2143" t="s">
        <v>3277</v>
      </c>
      <c r="K92" s="2143" t="s">
        <v>3278</v>
      </c>
      <c r="L92" s="2143" t="s">
        <v>3279</v>
      </c>
      <c r="M92" s="2143" t="s">
        <v>3280</v>
      </c>
      <c r="N92" s="2143" t="s">
        <v>3281</v>
      </c>
    </row>
    <row r="93" spans="1:37" ht="24">
      <c r="A93" s="3064" t="s">
        <v>3260</v>
      </c>
      <c r="B93" s="1216"/>
      <c r="C93" s="1880"/>
      <c r="D93" s="2303">
        <f>SUMIF($J$92:$N$92,C93,J93:N93)</f>
        <v>0</v>
      </c>
      <c r="E93" s="3077">
        <f>ROUND(SUM(D93:D101),4)</f>
        <v>0</v>
      </c>
      <c r="F93" s="1668" t="str">
        <f>IF(E2="公共服务",SUMIF(L1:L12,G2,N1:N12),"——")</f>
        <v>——</v>
      </c>
      <c r="G93" s="3068"/>
      <c r="H93" s="3113" t="str">
        <f>IFERROR(ROUNDDOWN($F$93*I93/2,4),"——")</f>
        <v>——</v>
      </c>
      <c r="I93" s="3062">
        <v>0.25</v>
      </c>
      <c r="J93" s="1905">
        <f t="shared" ref="J93:J101" si="28">K93+$G93</f>
        <v>0</v>
      </c>
      <c r="K93" s="1905">
        <f t="shared" ref="K93:K101" si="29">$L93+$G93</f>
        <v>0</v>
      </c>
      <c r="L93" s="1905">
        <v>0</v>
      </c>
      <c r="M93" s="1905">
        <f t="shared" ref="M93:N101" si="30">L93-$G93</f>
        <v>0</v>
      </c>
      <c r="N93" s="1905">
        <f t="shared" si="30"/>
        <v>0</v>
      </c>
    </row>
    <row r="94" spans="1:37" ht="14.25">
      <c r="A94" s="3074" t="s">
        <v>3261</v>
      </c>
      <c r="B94" s="3065">
        <f>估价对象房地状况!C18</f>
        <v>0</v>
      </c>
      <c r="C94" s="1880"/>
      <c r="D94" s="2303">
        <f t="shared" ref="D94:D101" si="31">SUMIF($J$60:$N$60,C94,J94:N94)</f>
        <v>0</v>
      </c>
      <c r="E94" s="3078"/>
      <c r="F94" s="1668"/>
      <c r="G94" s="3068"/>
      <c r="H94" s="3113" t="str">
        <f>IFERROR(ROUNDDOWN($F$93*I94/2,4),"——")</f>
        <v>——</v>
      </c>
      <c r="I94" s="3062">
        <v>0.26</v>
      </c>
      <c r="J94" s="1905">
        <f t="shared" si="28"/>
        <v>0</v>
      </c>
      <c r="K94" s="1905">
        <f t="shared" si="29"/>
        <v>0</v>
      </c>
      <c r="L94" s="1905">
        <v>0</v>
      </c>
      <c r="M94" s="1905">
        <f t="shared" si="30"/>
        <v>0</v>
      </c>
      <c r="N94" s="1905">
        <f t="shared" si="30"/>
        <v>0</v>
      </c>
    </row>
    <row r="95" spans="1:37" ht="36">
      <c r="A95" s="3064" t="s">
        <v>3257</v>
      </c>
      <c r="B95" s="3065">
        <f>估价对象房地状况!C19</f>
        <v>0</v>
      </c>
      <c r="C95" s="1880"/>
      <c r="D95" s="2303">
        <f t="shared" si="31"/>
        <v>0</v>
      </c>
      <c r="E95" s="3078"/>
      <c r="F95" s="1668"/>
      <c r="G95" s="3068"/>
      <c r="H95" s="3113" t="str">
        <f t="shared" ref="H95:H101" si="32">IFERROR(ROUNDDOWN($F$93*I95/2,4),"——")</f>
        <v>——</v>
      </c>
      <c r="I95" s="3062">
        <v>0.11</v>
      </c>
      <c r="J95" s="1905">
        <f t="shared" si="28"/>
        <v>0</v>
      </c>
      <c r="K95" s="1905">
        <f t="shared" si="29"/>
        <v>0</v>
      </c>
      <c r="L95" s="1905">
        <v>0</v>
      </c>
      <c r="M95" s="1905">
        <f t="shared" si="30"/>
        <v>0</v>
      </c>
      <c r="N95" s="1905">
        <f t="shared" si="30"/>
        <v>0</v>
      </c>
    </row>
    <row r="96" spans="1:37" ht="36.75">
      <c r="A96" s="3074" t="s">
        <v>3262</v>
      </c>
      <c r="B96" s="3080" t="s">
        <v>3273</v>
      </c>
      <c r="C96" s="1880"/>
      <c r="D96" s="2303">
        <f t="shared" si="31"/>
        <v>0</v>
      </c>
      <c r="E96" s="3078"/>
      <c r="F96" s="1668"/>
      <c r="G96" s="3068"/>
      <c r="H96" s="3113" t="str">
        <f t="shared" si="32"/>
        <v>——</v>
      </c>
      <c r="I96" s="3062">
        <v>0.05</v>
      </c>
      <c r="J96" s="1905">
        <f t="shared" si="28"/>
        <v>0</v>
      </c>
      <c r="K96" s="1905">
        <f t="shared" si="29"/>
        <v>0</v>
      </c>
      <c r="L96" s="1905">
        <v>0</v>
      </c>
      <c r="M96" s="1905">
        <f t="shared" si="30"/>
        <v>0</v>
      </c>
      <c r="N96" s="1905">
        <f t="shared" si="30"/>
        <v>0</v>
      </c>
    </row>
    <row r="97" spans="1:14" ht="24">
      <c r="A97" s="3074" t="s">
        <v>3263</v>
      </c>
      <c r="B97" s="3065">
        <f>估价对象房地状况!C24</f>
        <v>0</v>
      </c>
      <c r="C97" s="1880"/>
      <c r="D97" s="2303">
        <f t="shared" si="31"/>
        <v>0</v>
      </c>
      <c r="E97" s="3078"/>
      <c r="F97" s="1668"/>
      <c r="G97" s="3068"/>
      <c r="H97" s="3113" t="str">
        <f t="shared" si="32"/>
        <v>——</v>
      </c>
      <c r="I97" s="3062">
        <v>0.05</v>
      </c>
      <c r="J97" s="1905">
        <f t="shared" si="28"/>
        <v>0</v>
      </c>
      <c r="K97" s="1905">
        <f t="shared" si="29"/>
        <v>0</v>
      </c>
      <c r="L97" s="1905">
        <v>0</v>
      </c>
      <c r="M97" s="1905">
        <f t="shared" si="30"/>
        <v>0</v>
      </c>
      <c r="N97" s="1905">
        <f t="shared" si="30"/>
        <v>0</v>
      </c>
    </row>
    <row r="98" spans="1:14" ht="24">
      <c r="A98" s="3074" t="s">
        <v>3264</v>
      </c>
      <c r="B98" s="3081" t="s">
        <v>3274</v>
      </c>
      <c r="C98" s="1880"/>
      <c r="D98" s="2303">
        <f t="shared" si="31"/>
        <v>0</v>
      </c>
      <c r="E98" s="3078"/>
      <c r="F98" s="1668"/>
      <c r="G98" s="3068"/>
      <c r="H98" s="3113" t="str">
        <f t="shared" si="32"/>
        <v>——</v>
      </c>
      <c r="I98" s="3062">
        <v>0.06</v>
      </c>
      <c r="J98" s="1905">
        <f t="shared" si="28"/>
        <v>0</v>
      </c>
      <c r="K98" s="1905">
        <f t="shared" si="29"/>
        <v>0</v>
      </c>
      <c r="L98" s="1905">
        <v>0</v>
      </c>
      <c r="M98" s="1905">
        <f t="shared" si="30"/>
        <v>0</v>
      </c>
      <c r="N98" s="1905">
        <f t="shared" si="30"/>
        <v>0</v>
      </c>
    </row>
    <row r="99" spans="1:14" ht="24">
      <c r="A99" s="3074" t="s">
        <v>3265</v>
      </c>
      <c r="B99" s="3065">
        <f>估价对象房地状况!C21</f>
        <v>0</v>
      </c>
      <c r="C99" s="1880"/>
      <c r="D99" s="2303">
        <f t="shared" si="31"/>
        <v>0</v>
      </c>
      <c r="E99" s="3078"/>
      <c r="F99" s="1668"/>
      <c r="G99" s="3068"/>
      <c r="H99" s="3113" t="str">
        <f t="shared" si="32"/>
        <v>——</v>
      </c>
      <c r="I99" s="3062">
        <v>0.06</v>
      </c>
      <c r="J99" s="1905">
        <f t="shared" si="28"/>
        <v>0</v>
      </c>
      <c r="K99" s="1905">
        <f t="shared" si="29"/>
        <v>0</v>
      </c>
      <c r="L99" s="1905">
        <v>0</v>
      </c>
      <c r="M99" s="1905">
        <f t="shared" si="30"/>
        <v>0</v>
      </c>
      <c r="N99" s="1905">
        <f t="shared" si="30"/>
        <v>0</v>
      </c>
    </row>
    <row r="100" spans="1:14" ht="24">
      <c r="A100" s="3074" t="s">
        <v>3266</v>
      </c>
      <c r="B100" s="3065">
        <f>估价对象房地状况!C22</f>
        <v>0</v>
      </c>
      <c r="C100" s="1880"/>
      <c r="D100" s="2303">
        <f t="shared" si="31"/>
        <v>0</v>
      </c>
      <c r="E100" s="3078"/>
      <c r="F100" s="1668"/>
      <c r="G100" s="3068"/>
      <c r="H100" s="3113" t="str">
        <f t="shared" si="32"/>
        <v>——</v>
      </c>
      <c r="I100" s="3062">
        <v>0.09</v>
      </c>
      <c r="J100" s="1905">
        <f t="shared" si="28"/>
        <v>0</v>
      </c>
      <c r="K100" s="1905">
        <f t="shared" si="29"/>
        <v>0</v>
      </c>
      <c r="L100" s="1905">
        <v>0</v>
      </c>
      <c r="M100" s="1905">
        <f t="shared" si="30"/>
        <v>0</v>
      </c>
      <c r="N100" s="1905">
        <f t="shared" si="30"/>
        <v>0</v>
      </c>
    </row>
    <row r="101" spans="1:14" ht="24.75" thickBot="1">
      <c r="A101" s="3075" t="s">
        <v>3267</v>
      </c>
      <c r="B101" s="3082">
        <f>估价对象房地状况!C20</f>
        <v>0</v>
      </c>
      <c r="C101" s="1880"/>
      <c r="D101" s="2303">
        <f t="shared" si="31"/>
        <v>0</v>
      </c>
      <c r="E101" s="3079"/>
      <c r="F101" s="1668"/>
      <c r="G101" s="3068"/>
      <c r="H101" s="3113" t="str">
        <f t="shared" si="32"/>
        <v>——</v>
      </c>
      <c r="I101" s="3063">
        <v>7.0000000000000007E-2</v>
      </c>
      <c r="J101" s="1905">
        <f t="shared" si="28"/>
        <v>0</v>
      </c>
      <c r="K101" s="1905">
        <f t="shared" si="29"/>
        <v>0</v>
      </c>
      <c r="L101" s="1905">
        <v>0</v>
      </c>
      <c r="M101" s="1905">
        <f t="shared" si="30"/>
        <v>0</v>
      </c>
      <c r="N101" s="1905">
        <f t="shared" si="30"/>
        <v>0</v>
      </c>
    </row>
    <row r="103" spans="1:14">
      <c r="A103" s="3401" t="s">
        <v>3282</v>
      </c>
      <c r="B103" s="3401"/>
      <c r="C103" s="3401"/>
      <c r="D103" s="3401"/>
      <c r="E103" s="3401"/>
      <c r="F103" s="3401"/>
      <c r="G103" s="3401"/>
      <c r="H103" s="3401"/>
      <c r="I103" s="3401"/>
      <c r="J103" s="3401"/>
      <c r="K103" s="1660"/>
      <c r="L103" s="1660"/>
      <c r="M103" s="1660"/>
      <c r="N103" s="1660"/>
    </row>
    <row r="104" spans="1:14">
      <c r="A104" s="3402" t="s">
        <v>3283</v>
      </c>
      <c r="B104" s="3402" t="s">
        <v>3284</v>
      </c>
      <c r="C104" s="3084" t="s">
        <v>3285</v>
      </c>
      <c r="D104" s="3085"/>
      <c r="E104" s="3085"/>
      <c r="F104" s="3085"/>
      <c r="G104" s="3085"/>
      <c r="H104" s="3085"/>
      <c r="I104" s="3085"/>
      <c r="J104" s="3086"/>
      <c r="K104" s="3087"/>
      <c r="L104" s="3087"/>
      <c r="M104" s="3087"/>
      <c r="N104" s="3087"/>
    </row>
    <row r="105" spans="1:14">
      <c r="A105" s="3402"/>
      <c r="B105" s="3402"/>
      <c r="C105" s="3088" t="s">
        <v>3286</v>
      </c>
      <c r="D105" s="3088" t="s">
        <v>3287</v>
      </c>
      <c r="E105" s="3088" t="s">
        <v>3288</v>
      </c>
      <c r="F105" s="3088" t="s">
        <v>3289</v>
      </c>
      <c r="G105" s="3088" t="s">
        <v>3290</v>
      </c>
      <c r="H105" s="3088" t="s">
        <v>3291</v>
      </c>
      <c r="I105" s="3088" t="s">
        <v>3292</v>
      </c>
      <c r="J105" s="3088" t="s">
        <v>3293</v>
      </c>
      <c r="K105" s="3088" t="s">
        <v>3294</v>
      </c>
      <c r="L105" s="3088" t="s">
        <v>3295</v>
      </c>
      <c r="M105" s="3088" t="s">
        <v>3296</v>
      </c>
      <c r="N105" s="3088" t="s">
        <v>3297</v>
      </c>
    </row>
    <row r="106" spans="1:14">
      <c r="A106" s="3388" t="s">
        <v>3298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8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8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8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8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89"/>
      <c r="B111" s="3088" t="s">
        <v>3256</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90"/>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91" t="s">
        <v>3299</v>
      </c>
      <c r="B113" s="3391"/>
      <c r="C113" s="3391"/>
      <c r="D113" s="3391"/>
      <c r="E113" s="3391"/>
      <c r="F113" s="3391"/>
      <c r="G113" s="3391"/>
      <c r="H113" s="3391"/>
      <c r="I113" s="3391"/>
      <c r="J113" s="3391"/>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3300</v>
      </c>
      <c r="B116" s="3108">
        <f>G3</f>
        <v>6.2</v>
      </c>
      <c r="C116" s="3093" t="s">
        <v>3301</v>
      </c>
      <c r="D116" s="3094">
        <f>SUMPRODUCT((A118:A122=F116)*(B117:M117=H116)*B118:M122)</f>
        <v>0.86219999999999997</v>
      </c>
      <c r="E116" s="161" t="s">
        <v>3302</v>
      </c>
      <c r="F116" s="3095" t="str">
        <f>E2</f>
        <v>商业</v>
      </c>
      <c r="G116" s="161" t="s">
        <v>3303</v>
      </c>
      <c r="H116" s="3095" t="str">
        <f>G2</f>
        <v>七级</v>
      </c>
      <c r="I116" s="161"/>
      <c r="J116" s="3096"/>
      <c r="K116" s="3096"/>
      <c r="L116" s="3096"/>
      <c r="M116" s="3096"/>
      <c r="N116" s="3091"/>
    </row>
    <row r="117" spans="1:14">
      <c r="A117" s="3097"/>
      <c r="B117" s="3098" t="s">
        <v>3304</v>
      </c>
      <c r="C117" s="3098" t="s">
        <v>3305</v>
      </c>
      <c r="D117" s="3098" t="s">
        <v>3306</v>
      </c>
      <c r="E117" s="3099" t="s">
        <v>3307</v>
      </c>
      <c r="F117" s="3099" t="s">
        <v>3308</v>
      </c>
      <c r="G117" s="3099" t="s">
        <v>3309</v>
      </c>
      <c r="H117" s="3100" t="s">
        <v>3310</v>
      </c>
      <c r="I117" s="3100" t="s">
        <v>3311</v>
      </c>
      <c r="J117" s="3101" t="s">
        <v>3312</v>
      </c>
      <c r="K117" s="3101" t="s">
        <v>3313</v>
      </c>
      <c r="L117" s="3101" t="s">
        <v>3314</v>
      </c>
      <c r="M117" s="3102" t="s">
        <v>3315</v>
      </c>
      <c r="N117" s="3091"/>
    </row>
    <row r="118" spans="1:14">
      <c r="A118" s="3051" t="s">
        <v>3316</v>
      </c>
      <c r="B118" s="3083">
        <f>ROUND(0.9968-0.011*B116,4)</f>
        <v>0.92859999999999998</v>
      </c>
      <c r="C118" s="3083">
        <f>B118</f>
        <v>0.92859999999999998</v>
      </c>
      <c r="D118" s="3083">
        <f>ROUND(0.949-0.014*B116,4)</f>
        <v>0.86219999999999997</v>
      </c>
      <c r="E118" s="3083">
        <f>D118</f>
        <v>0.86219999999999997</v>
      </c>
      <c r="F118" s="3083">
        <f>E118</f>
        <v>0.86219999999999997</v>
      </c>
      <c r="G118" s="3083">
        <f>F118</f>
        <v>0.86219999999999997</v>
      </c>
      <c r="H118" s="3083">
        <f>G118</f>
        <v>0.86219999999999997</v>
      </c>
      <c r="I118" s="3083">
        <f>ROUND(0.8486-0.018*B116,4)</f>
        <v>0.73699999999999999</v>
      </c>
      <c r="J118" s="3083">
        <f t="shared" ref="J118:M122" si="36">I118</f>
        <v>0.73699999999999999</v>
      </c>
      <c r="K118" s="3083">
        <f t="shared" si="36"/>
        <v>0.73699999999999999</v>
      </c>
      <c r="L118" s="3083">
        <f t="shared" si="36"/>
        <v>0.73699999999999999</v>
      </c>
      <c r="M118" s="3103">
        <f t="shared" si="36"/>
        <v>0.73699999999999999</v>
      </c>
      <c r="N118" s="3091"/>
    </row>
    <row r="119" spans="1:14">
      <c r="A119" s="3051" t="s">
        <v>3317</v>
      </c>
      <c r="B119" s="3083">
        <f>ROUND(0.993-0.0112*B116,4)</f>
        <v>0.92359999999999998</v>
      </c>
      <c r="C119" s="3083">
        <f>B119</f>
        <v>0.92359999999999998</v>
      </c>
      <c r="D119" s="3083">
        <f>ROUND(0.9415-0.0142*B116,4)</f>
        <v>0.85350000000000004</v>
      </c>
      <c r="E119" s="3083">
        <f t="shared" ref="E119:H120" si="37">D119</f>
        <v>0.85350000000000004</v>
      </c>
      <c r="F119" s="3083">
        <f t="shared" si="37"/>
        <v>0.85350000000000004</v>
      </c>
      <c r="G119" s="3083">
        <f t="shared" si="37"/>
        <v>0.85350000000000004</v>
      </c>
      <c r="H119" s="3083">
        <f t="shared" si="37"/>
        <v>0.85350000000000004</v>
      </c>
      <c r="I119" s="3083">
        <f>ROUND(0.838-0.0182*B116,4)</f>
        <v>0.72519999999999996</v>
      </c>
      <c r="J119" s="3083">
        <f t="shared" si="36"/>
        <v>0.72519999999999996</v>
      </c>
      <c r="K119" s="3083">
        <f t="shared" si="36"/>
        <v>0.72519999999999996</v>
      </c>
      <c r="L119" s="3083">
        <f t="shared" si="36"/>
        <v>0.72519999999999996</v>
      </c>
      <c r="M119" s="3103">
        <f t="shared" si="36"/>
        <v>0.72519999999999996</v>
      </c>
      <c r="N119" s="3091"/>
    </row>
    <row r="120" spans="1:14">
      <c r="A120" s="3051" t="s">
        <v>3318</v>
      </c>
      <c r="B120" s="3083">
        <f>ROUND(0.9448-0.0115*B116,4)</f>
        <v>0.87350000000000005</v>
      </c>
      <c r="C120" s="3083">
        <f>B120</f>
        <v>0.87350000000000005</v>
      </c>
      <c r="D120" s="3083">
        <f>ROUND(0.937-0.0145*B116,4)</f>
        <v>0.84709999999999996</v>
      </c>
      <c r="E120" s="3083">
        <f t="shared" si="37"/>
        <v>0.84709999999999996</v>
      </c>
      <c r="F120" s="3083">
        <f t="shared" si="37"/>
        <v>0.84709999999999996</v>
      </c>
      <c r="G120" s="3083">
        <f t="shared" si="37"/>
        <v>0.84709999999999996</v>
      </c>
      <c r="H120" s="3083">
        <f t="shared" si="37"/>
        <v>0.84709999999999996</v>
      </c>
      <c r="I120" s="3083">
        <f>ROUND(0.7965-0.0185*B116,4)</f>
        <v>0.68179999999999996</v>
      </c>
      <c r="J120" s="3083">
        <f t="shared" si="36"/>
        <v>0.68179999999999996</v>
      </c>
      <c r="K120" s="3083">
        <f t="shared" si="36"/>
        <v>0.68179999999999996</v>
      </c>
      <c r="L120" s="3083">
        <f t="shared" si="36"/>
        <v>0.68179999999999996</v>
      </c>
      <c r="M120" s="3103">
        <f t="shared" si="36"/>
        <v>0.68179999999999996</v>
      </c>
      <c r="N120" s="3091"/>
    </row>
    <row r="121" spans="1:14" ht="13.5" thickBot="1">
      <c r="A121" s="3104" t="s">
        <v>3319</v>
      </c>
      <c r="B121" s="3105">
        <f>ROUND(0.7836-0.012*B116,4)</f>
        <v>0.70920000000000005</v>
      </c>
      <c r="C121" s="3105">
        <f>B121</f>
        <v>0.70920000000000005</v>
      </c>
      <c r="D121" s="3105">
        <f>ROUND(0.753-0.015*B116,4)</f>
        <v>0.66</v>
      </c>
      <c r="E121" s="3105">
        <f>D121</f>
        <v>0.66</v>
      </c>
      <c r="F121" s="3105">
        <f>E121</f>
        <v>0.66</v>
      </c>
      <c r="G121" s="3105">
        <f>ROUND(0.6612-0.018*B116,4)</f>
        <v>0.54959999999999998</v>
      </c>
      <c r="H121" s="3105">
        <f>G121</f>
        <v>0.54959999999999998</v>
      </c>
      <c r="I121" s="3105">
        <f>ROUND(0.5905-0.019*B116,4)</f>
        <v>0.47270000000000001</v>
      </c>
      <c r="J121" s="3105">
        <f t="shared" si="36"/>
        <v>0.47270000000000001</v>
      </c>
      <c r="K121" s="3105">
        <f t="shared" si="36"/>
        <v>0.47270000000000001</v>
      </c>
      <c r="L121" s="3105">
        <f t="shared" si="36"/>
        <v>0.47270000000000001</v>
      </c>
      <c r="M121" s="3106">
        <f t="shared" si="36"/>
        <v>0.47270000000000001</v>
      </c>
      <c r="N121" s="3091"/>
    </row>
    <row r="122" spans="1:14">
      <c r="A122" s="3107" t="s">
        <v>2601</v>
      </c>
      <c r="B122" s="3083">
        <f>ROUND(0.9404-0.0106*B116,4)</f>
        <v>0.87470000000000003</v>
      </c>
      <c r="C122" s="3083">
        <f>B122</f>
        <v>0.87470000000000003</v>
      </c>
      <c r="D122" s="3083">
        <f>ROUND(0.8955-0.0135*B116,4)</f>
        <v>0.81179999999999997</v>
      </c>
      <c r="E122" s="3083">
        <f t="shared" ref="E122:H122" si="38">D122</f>
        <v>0.81179999999999997</v>
      </c>
      <c r="F122" s="3083">
        <f t="shared" si="38"/>
        <v>0.81179999999999997</v>
      </c>
      <c r="G122" s="3083">
        <f t="shared" si="38"/>
        <v>0.81179999999999997</v>
      </c>
      <c r="H122" s="3083">
        <f t="shared" si="38"/>
        <v>0.81179999999999997</v>
      </c>
      <c r="I122" s="3083">
        <f>ROUND(0.7632-0.0166*B116,4)</f>
        <v>0.6603</v>
      </c>
      <c r="J122" s="3083">
        <f t="shared" si="36"/>
        <v>0.6603</v>
      </c>
      <c r="K122" s="3083">
        <f t="shared" si="36"/>
        <v>0.6603</v>
      </c>
      <c r="L122" s="3083">
        <f t="shared" si="36"/>
        <v>0.6603</v>
      </c>
      <c r="M122" s="3103">
        <f t="shared" si="36"/>
        <v>0.6603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1D00-000000000000}">
      <formula1>"500米范围内,500-1000米,1000米以外"</formula1>
    </dataValidation>
    <dataValidation type="list" allowBlank="1" showInputMessage="1" showErrorMessage="1" sqref="C15:D15" xr:uid="{00000000-0002-0000-1D00-000001000000}">
      <formula1>"有,无"</formula1>
    </dataValidation>
    <dataValidation type="list" allowBlank="1" showInputMessage="1" showErrorMessage="1" sqref="B25" xr:uid="{00000000-0002-0000-1D00-000002000000}">
      <formula1>"容积率修正,楼层修正"</formula1>
    </dataValidation>
    <dataValidation type="list" allowBlank="1" showInputMessage="1" showErrorMessage="1" sqref="F21" xr:uid="{00000000-0002-0000-1D00-000003000000}">
      <formula1>"与级别开发程度一致,与级别开发程度不一致"</formula1>
    </dataValidation>
    <dataValidation type="list" allowBlank="1" showInputMessage="1" showErrorMessage="1" sqref="E2" xr:uid="{00000000-0002-0000-1D00-000004000000}">
      <formula1>"商业,办公,住宅,工业,公共服务"</formula1>
    </dataValidation>
    <dataValidation type="list" allowBlank="1" showInputMessage="1" showErrorMessage="1" sqref="F3" xr:uid="{00000000-0002-0000-1D00-000005000000}">
      <formula1>"宗地容积率,估价对象容积率,自定义容积率"</formula1>
    </dataValidation>
    <dataValidation type="list" allowBlank="1" showInputMessage="1" showErrorMessage="1" sqref="C8" xr:uid="{00000000-0002-0000-1D00-000006000000}">
      <formula1>商业街名称</formula1>
    </dataValidation>
    <dataValidation type="list" allowBlank="1" showInputMessage="1" showErrorMessage="1" sqref="E3" xr:uid="{00000000-0002-0000-1D00-000007000000}">
      <formula1>二级分类</formula1>
    </dataValidation>
    <dataValidation type="list" allowBlank="1" showInputMessage="1" showErrorMessage="1" sqref="C61:C69 C72:C80 C50:C58 C83:C91 C93:C101" xr:uid="{00000000-0002-0000-1D00-000008000000}">
      <formula1>五等判定</formula1>
    </dataValidation>
    <dataValidation type="list" allowBlank="1" showInputMessage="1" showErrorMessage="1" sqref="H23" xr:uid="{00000000-0002-0000-1D00-000009000000}">
      <formula1>"地价指数,季度增幅（自定义）,按公示增长率计算"</formula1>
    </dataValidation>
    <dataValidation type="list" allowBlank="1" showInputMessage="1" showErrorMessage="1" sqref="H20:O20" xr:uid="{00000000-0002-0000-1D00-00000A000000}">
      <formula1>七通一平</formula1>
    </dataValidation>
    <dataValidation type="list" allowBlank="1" showInputMessage="1" showErrorMessage="1" sqref="J23" xr:uid="{00000000-0002-0000-1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P42" sqref="P4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5" customWidth="1"/>
    <col min="12" max="12" width="16.375" style="249" customWidth="1"/>
    <col min="13" max="13" width="13" style="249"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9"/>
  </cols>
  <sheetData>
    <row r="1" spans="1:37" s="284" customFormat="1" ht="21">
      <c r="A1" s="1276" t="s">
        <v>874</v>
      </c>
      <c r="B1" s="661"/>
      <c r="C1" s="1280" t="s">
        <v>670</v>
      </c>
      <c r="D1" s="1264" t="s">
        <v>43</v>
      </c>
      <c r="E1" s="1265" t="s">
        <v>675</v>
      </c>
      <c r="F1" s="994">
        <f ca="1">J53</f>
        <v>31.46</v>
      </c>
      <c r="G1" s="1279">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6" t="s">
        <v>801</v>
      </c>
      <c r="B2" s="1287">
        <f ca="1">C40+J29+L46</f>
        <v>65148</v>
      </c>
      <c r="C2" s="1282" t="s">
        <v>802</v>
      </c>
      <c r="D2" s="1282"/>
      <c r="E2" s="1288"/>
      <c r="F2" s="1289"/>
      <c r="G2" s="2472"/>
      <c r="H2" s="2462"/>
      <c r="I2" s="2462"/>
      <c r="J2" s="2462"/>
      <c r="K2" s="2463"/>
      <c r="L2" s="2462"/>
      <c r="M2" s="2462"/>
    </row>
    <row r="3" spans="1:37" ht="18" customHeight="1" thickBot="1">
      <c r="A3" s="1290" t="s">
        <v>803</v>
      </c>
      <c r="B3" s="1291">
        <f ca="1">IF(ISERROR(B2*10000/F43),0,ROUND(B2*10000/F43,0))</f>
        <v>11562</v>
      </c>
      <c r="C3" s="1282" t="s">
        <v>804</v>
      </c>
      <c r="D3" s="1282"/>
      <c r="E3" s="1288"/>
      <c r="F3" s="1289"/>
      <c r="G3" s="2472"/>
      <c r="H3" s="647" t="s">
        <v>873</v>
      </c>
      <c r="I3" s="1283"/>
      <c r="J3" s="1283"/>
      <c r="K3" s="1284"/>
      <c r="L3" s="1283"/>
      <c r="M3" s="1283"/>
    </row>
    <row r="4" spans="1:37" ht="18" customHeight="1">
      <c r="A4" s="286" t="s">
        <v>684</v>
      </c>
      <c r="B4" s="287" t="s">
        <v>685</v>
      </c>
      <c r="C4" s="287" t="s">
        <v>686</v>
      </c>
      <c r="D4" s="287" t="s">
        <v>687</v>
      </c>
      <c r="E4" s="288" t="s">
        <v>688</v>
      </c>
      <c r="F4" s="289"/>
      <c r="G4" s="1285"/>
      <c r="H4" s="286" t="s">
        <v>684</v>
      </c>
      <c r="I4" s="287" t="s">
        <v>685</v>
      </c>
      <c r="J4" s="287" t="s">
        <v>686</v>
      </c>
      <c r="K4" s="287" t="s">
        <v>687</v>
      </c>
      <c r="L4" s="288" t="s">
        <v>688</v>
      </c>
      <c r="M4" s="289"/>
    </row>
    <row r="5" spans="1:37" ht="18" customHeight="1">
      <c r="A5" s="290">
        <v>1</v>
      </c>
      <c r="B5" s="291" t="s">
        <v>689</v>
      </c>
      <c r="C5" s="1002">
        <f ca="1">C6+C10+C12</f>
        <v>4262</v>
      </c>
      <c r="D5" s="1266" t="s">
        <v>690</v>
      </c>
      <c r="E5" s="1003"/>
      <c r="F5" s="1004"/>
      <c r="G5" s="1285"/>
      <c r="H5" s="290">
        <v>1</v>
      </c>
      <c r="I5" s="291" t="s">
        <v>689</v>
      </c>
      <c r="J5" s="1002">
        <f ca="1">J6+J10+J12</f>
        <v>0</v>
      </c>
      <c r="K5" s="1266" t="s">
        <v>690</v>
      </c>
      <c r="L5" s="1003"/>
      <c r="M5" s="1004"/>
    </row>
    <row r="6" spans="1:37" ht="18" customHeight="1">
      <c r="A6" s="1001" t="s">
        <v>398</v>
      </c>
      <c r="B6" s="3409" t="s">
        <v>691</v>
      </c>
      <c r="C6" s="1006">
        <f ca="1">ROUND(F6*F8*F7*(1-F9)/10000,0)</f>
        <v>4257</v>
      </c>
      <c r="D6" s="146" t="s">
        <v>2105</v>
      </c>
      <c r="E6" s="293" t="s">
        <v>693</v>
      </c>
      <c r="F6" s="294">
        <f ca="1">INDIRECT("'数据-取费表'!u"&amp;$G$1)</f>
        <v>2.2999999999999998</v>
      </c>
      <c r="G6" s="1285"/>
      <c r="H6" s="1001" t="s">
        <v>398</v>
      </c>
      <c r="I6" s="3409" t="s">
        <v>691</v>
      </c>
      <c r="J6" s="292">
        <f ca="1">ROUND(M6*M8*M7*(1-M9)/10000,0)</f>
        <v>0</v>
      </c>
      <c r="K6" s="146" t="s">
        <v>2104</v>
      </c>
      <c r="L6" s="293" t="s">
        <v>693</v>
      </c>
      <c r="M6" s="294">
        <f ca="1">INDIRECT("'数据-取费表'!z"&amp;$G$1)</f>
        <v>0</v>
      </c>
    </row>
    <row r="7" spans="1:37" ht="18" customHeight="1">
      <c r="A7" s="1005"/>
      <c r="B7" s="3410"/>
      <c r="C7" s="1007"/>
      <c r="D7" s="298"/>
      <c r="E7" s="1008" t="s">
        <v>694</v>
      </c>
      <c r="F7" s="294">
        <f ca="1">IF(INDIRECT("'数据-取费表'!ah"&amp;$G$1)="",INDIRECT("'数据-取费表'!k"&amp;$G$1),INDIRECT("'数据-取费表'!ah"&amp;$G$1))</f>
        <v>56346.270000000004</v>
      </c>
      <c r="G7" s="1285"/>
      <c r="H7" s="295"/>
      <c r="I7" s="3410"/>
      <c r="J7" s="297"/>
      <c r="K7" s="298"/>
      <c r="L7" s="293" t="s">
        <v>694</v>
      </c>
      <c r="M7" s="294">
        <f ca="1">F7</f>
        <v>56346.270000000004</v>
      </c>
    </row>
    <row r="8" spans="1:37" ht="18" customHeight="1">
      <c r="A8" s="295"/>
      <c r="B8" s="3410"/>
      <c r="C8" s="297"/>
      <c r="D8" s="298"/>
      <c r="E8" s="293" t="s">
        <v>695</v>
      </c>
      <c r="F8" s="294">
        <f ca="1">INDIRECT("'数据-取费表'!ai"&amp;$G$1)</f>
        <v>365</v>
      </c>
      <c r="G8" s="1285"/>
      <c r="H8" s="295"/>
      <c r="I8" s="3410"/>
      <c r="J8" s="297"/>
      <c r="K8" s="298"/>
      <c r="L8" s="293" t="s">
        <v>695</v>
      </c>
      <c r="M8" s="294">
        <f ca="1">INDIRECT("'数据-取费表'!ai"&amp;$G$1)</f>
        <v>365</v>
      </c>
    </row>
    <row r="9" spans="1:37" ht="18" customHeight="1">
      <c r="A9" s="295"/>
      <c r="B9" s="3411"/>
      <c r="C9" s="297"/>
      <c r="D9" s="298"/>
      <c r="E9" s="293" t="s">
        <v>696</v>
      </c>
      <c r="F9" s="303">
        <f ca="1">INDIRECT("'数据-取费表'!w"&amp;$G$1)</f>
        <v>0.1</v>
      </c>
      <c r="G9" s="1285"/>
      <c r="H9" s="295"/>
      <c r="I9" s="3411"/>
      <c r="J9" s="297"/>
      <c r="K9" s="298"/>
      <c r="L9" s="304" t="s">
        <v>696</v>
      </c>
      <c r="M9" s="305">
        <f ca="1">INDIRECT("'数据-取费表'!ab"&amp;$G$1)</f>
        <v>0</v>
      </c>
    </row>
    <row r="10" spans="1:37" ht="18" customHeight="1">
      <c r="A10" s="1001" t="s">
        <v>402</v>
      </c>
      <c r="B10" s="1267" t="s">
        <v>697</v>
      </c>
      <c r="C10" s="307">
        <f ca="1">ROUND(IF(F10="押一",C6/12*F11,IF(F10="押二",C6/12*2*F11,IF(F10="押三",C6/12*3*F11,C11*F11))),0)</f>
        <v>5</v>
      </c>
      <c r="D10" s="149" t="s">
        <v>2113</v>
      </c>
      <c r="E10" s="304" t="s">
        <v>698</v>
      </c>
      <c r="F10" s="1048" t="s">
        <v>4183</v>
      </c>
      <c r="G10" s="1285"/>
      <c r="H10" s="1001" t="s">
        <v>402</v>
      </c>
      <c r="I10" s="1267" t="s">
        <v>697</v>
      </c>
      <c r="J10" s="292">
        <f ca="1">ROUND(IF(M10="押一",J6/12*M11,IF(M10="押二",J6/12*2*M11,IF(M10="押三",J6/12*3*M11,J11*M11))),0)</f>
        <v>0</v>
      </c>
      <c r="K10" s="149" t="s">
        <v>2112</v>
      </c>
      <c r="L10" s="304" t="s">
        <v>698</v>
      </c>
      <c r="M10" s="1048"/>
    </row>
    <row r="11" spans="1:37" ht="18" customHeight="1">
      <c r="A11" s="299"/>
      <c r="B11" s="1268" t="s">
        <v>676</v>
      </c>
      <c r="C11" s="901"/>
      <c r="D11" s="1269"/>
      <c r="E11" s="304" t="s">
        <v>699</v>
      </c>
      <c r="F11" s="305">
        <f ca="1">'数据-取费表'!B39</f>
        <v>1.4999999999999999E-2</v>
      </c>
      <c r="G11" s="1285"/>
      <c r="H11" s="1009"/>
      <c r="I11" s="1268" t="s">
        <v>676</v>
      </c>
      <c r="J11" s="901"/>
      <c r="K11" s="644"/>
      <c r="L11" s="304" t="s">
        <v>699</v>
      </c>
      <c r="M11" s="805">
        <f ca="1">'数据-取费表'!B39</f>
        <v>1.4999999999999999E-2</v>
      </c>
    </row>
    <row r="12" spans="1:37" ht="18" customHeight="1" thickBot="1">
      <c r="A12" s="1015" t="s">
        <v>437</v>
      </c>
      <c r="B12" s="1270" t="s">
        <v>700</v>
      </c>
      <c r="C12" s="1016"/>
      <c r="D12" s="1017"/>
      <c r="E12" s="1022"/>
      <c r="F12" s="1018"/>
      <c r="G12" s="1285"/>
      <c r="H12" s="1015" t="s">
        <v>437</v>
      </c>
      <c r="I12" s="1270" t="s">
        <v>700</v>
      </c>
      <c r="J12" s="1016"/>
      <c r="K12" s="1030"/>
      <c r="L12" s="1022"/>
      <c r="M12" s="1031"/>
    </row>
    <row r="13" spans="1:37" ht="18" customHeight="1" thickTop="1">
      <c r="A13" s="1011">
        <v>2</v>
      </c>
      <c r="B13" s="1012" t="s">
        <v>701</v>
      </c>
      <c r="C13" s="301">
        <f ca="1">ROUND(C29*F13,0)</f>
        <v>49045</v>
      </c>
      <c r="D13" s="1013" t="s">
        <v>702</v>
      </c>
      <c r="E13" s="1013" t="s">
        <v>703</v>
      </c>
      <c r="F13" s="1014">
        <f ca="1">INDIRECT("'数据-取费表'!y"&amp;$G$1)</f>
        <v>0.98</v>
      </c>
      <c r="G13" s="1285"/>
      <c r="H13" s="1011">
        <v>2</v>
      </c>
      <c r="I13" s="1012" t="s">
        <v>701</v>
      </c>
      <c r="J13" s="1000">
        <f ca="1">ROUND(J14*J15,0)</f>
        <v>0</v>
      </c>
      <c r="K13" s="1019" t="s">
        <v>702</v>
      </c>
      <c r="L13" s="1292"/>
      <c r="M13" s="1293"/>
    </row>
    <row r="14" spans="1:37" ht="18" customHeight="1">
      <c r="A14" s="924" t="s">
        <v>397</v>
      </c>
      <c r="B14" s="293" t="s">
        <v>704</v>
      </c>
      <c r="C14" s="309">
        <f ca="1">INDIRECT("'数据-取费表'!m"&amp;$G$1)+INDIRECT("'数据-取费表'!t"&amp;$G$1)</f>
        <v>30990</v>
      </c>
      <c r="D14" s="1250" t="s">
        <v>705</v>
      </c>
      <c r="E14" s="1248"/>
      <c r="F14" s="310"/>
      <c r="G14" s="1285"/>
      <c r="H14" s="924" t="s">
        <v>398</v>
      </c>
      <c r="I14" s="293" t="s">
        <v>706</v>
      </c>
      <c r="J14" s="21">
        <f ca="1">C29</f>
        <v>50046</v>
      </c>
      <c r="K14" s="12"/>
      <c r="L14" s="755"/>
      <c r="M14" s="756"/>
    </row>
    <row r="15" spans="1:37" s="1297" customFormat="1" ht="18" customHeight="1" thickBot="1">
      <c r="A15" s="924" t="s">
        <v>399</v>
      </c>
      <c r="B15" s="293" t="s">
        <v>707</v>
      </c>
      <c r="C15" s="21">
        <f ca="1">ROUND(C14*F15,0)</f>
        <v>3099</v>
      </c>
      <c r="D15" s="311" t="s">
        <v>708</v>
      </c>
      <c r="E15" s="311" t="s">
        <v>709</v>
      </c>
      <c r="F15" s="312">
        <f>'数据-取费表'!B33</f>
        <v>0.1</v>
      </c>
      <c r="G15" s="1296"/>
      <c r="H15" s="1021" t="s">
        <v>402</v>
      </c>
      <c r="I15" s="1022" t="s">
        <v>703</v>
      </c>
      <c r="J15" s="1031">
        <f ca="1">INDIRECT("'数据-取费表'!ad"&amp;$G$1)</f>
        <v>0</v>
      </c>
      <c r="K15" s="1032"/>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4" t="s">
        <v>677</v>
      </c>
      <c r="B16" s="293" t="s">
        <v>710</v>
      </c>
      <c r="C16" s="21">
        <f ca="1">ROUND(INDIRECT("'数据-取费表'!m"&amp;$G$1)*F16,0)</f>
        <v>0</v>
      </c>
      <c r="D16" s="293" t="s">
        <v>708</v>
      </c>
      <c r="E16" s="293" t="s">
        <v>709</v>
      </c>
      <c r="F16" s="313">
        <f ca="1">IF(INDIRECT("'数据-取费表'!c"&amp;$G$1)="住宅",'数据-取费表'!B34,0)</f>
        <v>0</v>
      </c>
      <c r="G16" s="1285"/>
      <c r="H16" s="1011" t="s">
        <v>393</v>
      </c>
      <c r="I16" s="1012" t="s">
        <v>711</v>
      </c>
      <c r="J16" s="301">
        <f ca="1">ROUND(J17+J22+J23+J24,0)</f>
        <v>101</v>
      </c>
      <c r="K16" s="1019" t="s">
        <v>712</v>
      </c>
      <c r="L16" s="1020"/>
      <c r="M16" s="1004"/>
    </row>
    <row r="17" spans="1:37" s="1297" customFormat="1" ht="18" customHeight="1">
      <c r="A17" s="924" t="s">
        <v>678</v>
      </c>
      <c r="B17" s="293" t="s">
        <v>713</v>
      </c>
      <c r="C17" s="21">
        <f ca="1">ROUND(F17*(F43+INDIRECT("'数据-取费表'!S"&amp;$G$1))/10000,0)</f>
        <v>1127</v>
      </c>
      <c r="D17" s="293" t="s">
        <v>714</v>
      </c>
      <c r="E17" s="293" t="s">
        <v>715</v>
      </c>
      <c r="F17" s="23">
        <f>'数据-取费表'!B35</f>
        <v>200</v>
      </c>
      <c r="G17" s="1296"/>
      <c r="H17" s="924" t="s">
        <v>398</v>
      </c>
      <c r="I17" s="293" t="s">
        <v>716</v>
      </c>
      <c r="J17" s="2133">
        <f ca="1">ROUND(IF(AND(项目基本情况!B11="自然人",项目基本情况!B10="北京市"),J6*M17/(1+'数据-取费表'!C42),J18+J19+J20),2)</f>
        <v>1.04</v>
      </c>
      <c r="K17" s="1250" t="s">
        <v>717</v>
      </c>
      <c r="L17" s="1249" t="s">
        <v>718</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4" t="s">
        <v>679</v>
      </c>
      <c r="B18" s="293" t="s">
        <v>719</v>
      </c>
      <c r="C18" s="21">
        <f ca="1">ROUND(C14*F18,0)</f>
        <v>775</v>
      </c>
      <c r="D18" s="293" t="s">
        <v>708</v>
      </c>
      <c r="E18" s="293" t="s">
        <v>709</v>
      </c>
      <c r="F18" s="313">
        <f>'数据-取费表'!B36</f>
        <v>2.5000000000000001E-2</v>
      </c>
      <c r="G18" s="1296"/>
      <c r="H18" s="924" t="s">
        <v>397</v>
      </c>
      <c r="I18" s="293" t="s">
        <v>720</v>
      </c>
      <c r="J18" s="21">
        <f ca="1">ROUND(J6*M18/(1+'数据-取费表'!C42),2)</f>
        <v>0</v>
      </c>
      <c r="K18" s="1249" t="s">
        <v>721</v>
      </c>
      <c r="L18" s="293" t="s">
        <v>709</v>
      </c>
      <c r="M18" s="313">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4" t="s">
        <v>398</v>
      </c>
      <c r="B19" s="293" t="s">
        <v>722</v>
      </c>
      <c r="C19" s="21">
        <f ca="1">SUM(C14:C18)</f>
        <v>35991</v>
      </c>
      <c r="D19" s="122" t="s">
        <v>723</v>
      </c>
      <c r="E19" s="1262"/>
      <c r="F19" s="23"/>
      <c r="G19" s="1285"/>
      <c r="H19" s="924" t="s">
        <v>399</v>
      </c>
      <c r="I19" s="293" t="s">
        <v>724</v>
      </c>
      <c r="J19" s="21">
        <f ca="1">IF(K19="按租金收入计税",ROUND(J6*M19/(1+'数据-取费表'!C42),2),ROUND(C29*M19*0.7,2))</f>
        <v>0</v>
      </c>
      <c r="K19" s="1271" t="s">
        <v>3324</v>
      </c>
      <c r="L19" s="293" t="s">
        <v>709</v>
      </c>
      <c r="M19" s="313">
        <f>IF(K19="按租金收入计税",'数据-取费表'!B51,'数据-取费表'!B50)</f>
        <v>0.12</v>
      </c>
    </row>
    <row r="20" spans="1:37" s="1297" customFormat="1" ht="18" customHeight="1">
      <c r="A20" s="924" t="s">
        <v>402</v>
      </c>
      <c r="B20" s="293" t="s">
        <v>725</v>
      </c>
      <c r="C20" s="21">
        <f ca="1">ROUND(C19*F20,0)</f>
        <v>900</v>
      </c>
      <c r="D20" s="314" t="s">
        <v>726</v>
      </c>
      <c r="E20" s="293" t="s">
        <v>709</v>
      </c>
      <c r="F20" s="313">
        <f>'数据-取费表'!B37</f>
        <v>2.5000000000000001E-2</v>
      </c>
      <c r="G20" s="1296"/>
      <c r="H20" s="924" t="s">
        <v>677</v>
      </c>
      <c r="I20" s="146" t="s">
        <v>727</v>
      </c>
      <c r="J20" s="22">
        <f ca="1">ROUND(M20*M21/10000,2)</f>
        <v>1.04</v>
      </c>
      <c r="K20" s="315" t="s">
        <v>728</v>
      </c>
      <c r="L20" s="293" t="s">
        <v>729</v>
      </c>
      <c r="M20" s="316">
        <f>'数据-取费表'!B52</f>
        <v>1.5</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4" t="s">
        <v>437</v>
      </c>
      <c r="B21" s="293" t="s">
        <v>730</v>
      </c>
      <c r="C21" s="21" t="s">
        <v>15</v>
      </c>
      <c r="D21" s="314" t="s">
        <v>731</v>
      </c>
      <c r="E21" s="293" t="s">
        <v>732</v>
      </c>
      <c r="F21" s="313">
        <f>'数据-取费表'!B38</f>
        <v>2.5000000000000001E-2</v>
      </c>
      <c r="G21" s="1296"/>
      <c r="H21" s="317"/>
      <c r="I21" s="302"/>
      <c r="J21" s="26"/>
      <c r="K21" s="318"/>
      <c r="L21" s="293" t="s">
        <v>733</v>
      </c>
      <c r="M21" s="294">
        <f ca="1">INDIRECT("'数据-取费表'!r"&amp;$G$1)</f>
        <v>6949.44</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4" t="s">
        <v>680</v>
      </c>
      <c r="B22" s="293" t="s">
        <v>734</v>
      </c>
      <c r="C22" s="21"/>
      <c r="D22" s="122" t="str">
        <f>IF(F23&lt;=1,"单利计息。","复利计息。")&amp;"建造成本、管理费用、销售费用产生的利息。"</f>
        <v>复利计息。建造成本、管理费用、销售费用产生的利息。</v>
      </c>
      <c r="E22" s="1262"/>
      <c r="F22" s="23"/>
      <c r="G22" s="1285"/>
      <c r="H22" s="924" t="s">
        <v>402</v>
      </c>
      <c r="I22" s="293" t="s">
        <v>735</v>
      </c>
      <c r="J22" s="21">
        <f ca="1">ROUND(J14*M22,2)</f>
        <v>100.09</v>
      </c>
      <c r="K22" s="1249" t="s">
        <v>736</v>
      </c>
      <c r="L22" s="293" t="s">
        <v>709</v>
      </c>
      <c r="M22" s="319">
        <f ca="1">INDIRECT("'数据-取费表'!Ak"&amp;$G$1)</f>
        <v>2E-3</v>
      </c>
    </row>
    <row r="23" spans="1:37" s="1297" customFormat="1" ht="18" customHeight="1">
      <c r="A23" s="924" t="s">
        <v>397</v>
      </c>
      <c r="B23" s="293" t="s">
        <v>737</v>
      </c>
      <c r="C23" s="21">
        <f ca="1">IF('数据-取费表'!B22&lt;=1,ROUND(C19*F24*F23/2,0)+ROUND(C20*F24*F23/2,0),ROUND(C19*(POWER((1+F24),F23/2)-1),0)+ROUND(C20*(POWER((1+F24),F23/2)-1),0))</f>
        <v>1598</v>
      </c>
      <c r="D23" s="137" t="str">
        <f>IF(F23&lt;=1,"(建造成本+管理费用)×利率×(建设周期÷2)","(建造成本+管理费用)×((1+利率)^(建设周期÷2)-1)")</f>
        <v>(建造成本+管理费用)×((1+利率)^(建设周期÷2)-1)</v>
      </c>
      <c r="E23" s="293" t="s">
        <v>738</v>
      </c>
      <c r="F23" s="316">
        <f>'数据-取费表'!B20</f>
        <v>2.5</v>
      </c>
      <c r="G23" s="1296"/>
      <c r="H23" s="924" t="s">
        <v>437</v>
      </c>
      <c r="I23" s="293" t="s">
        <v>739</v>
      </c>
      <c r="J23" s="21">
        <f ca="1">ROUND(J13*M23,2)</f>
        <v>0</v>
      </c>
      <c r="K23" s="1249" t="s">
        <v>740</v>
      </c>
      <c r="L23" s="293" t="s">
        <v>741</v>
      </c>
      <c r="M23" s="320">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4" t="s">
        <v>742</v>
      </c>
      <c r="B24" s="293" t="s">
        <v>743</v>
      </c>
      <c r="C24" s="21">
        <f ca="1">ROUND(IF('数据-取费表'!B22&lt;=1,F21*F24*F23/2,F21*(POWER((1+F24),F23/2)-1)),4)</f>
        <v>1.1000000000000001E-3</v>
      </c>
      <c r="D24" s="137" t="str">
        <f>IF(F23&lt;=1,"销售费用×利率×(建设周期÷2)","销售费用×((1+利率)^(建设周期÷2)-1)")</f>
        <v>销售费用×((1+利率)^(建设周期÷2)-1)</v>
      </c>
      <c r="E24" s="293" t="s">
        <v>744</v>
      </c>
      <c r="F24" s="321">
        <f ca="1">'数据-取费表'!B40</f>
        <v>3.4500000000000003E-2</v>
      </c>
      <c r="G24" s="1296"/>
      <c r="H24" s="1021" t="s">
        <v>681</v>
      </c>
      <c r="I24" s="1022" t="s">
        <v>725</v>
      </c>
      <c r="J24" s="1023">
        <f ca="1">ROUND(J5*M24,2)</f>
        <v>0</v>
      </c>
      <c r="K24" s="1024" t="s">
        <v>745</v>
      </c>
      <c r="L24" s="1022" t="s">
        <v>741</v>
      </c>
      <c r="M24" s="1018">
        <f ca="1">INDIRECT("'数据-取费表'!Am"&amp;$G$1)</f>
        <v>0.01</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4" t="s">
        <v>746</v>
      </c>
      <c r="B25" s="293" t="s">
        <v>747</v>
      </c>
      <c r="C25" s="21"/>
      <c r="D25" s="122" t="s">
        <v>748</v>
      </c>
      <c r="E25" s="1262"/>
      <c r="F25" s="23"/>
      <c r="G25" s="1285"/>
      <c r="H25" s="1011" t="s">
        <v>394</v>
      </c>
      <c r="I25" s="1026" t="s">
        <v>749</v>
      </c>
      <c r="J25" s="301">
        <f ca="1">J5-J16</f>
        <v>-101</v>
      </c>
      <c r="K25" s="1027" t="s">
        <v>750</v>
      </c>
      <c r="L25" s="1028"/>
      <c r="M25" s="1029"/>
    </row>
    <row r="26" spans="1:37">
      <c r="A26" s="924" t="s">
        <v>397</v>
      </c>
      <c r="B26" s="293" t="s">
        <v>751</v>
      </c>
      <c r="C26" s="21">
        <f ca="1">ROUND((C19+C20)*F26,0)</f>
        <v>7378</v>
      </c>
      <c r="D26" s="314" t="s">
        <v>752</v>
      </c>
      <c r="E26" s="304" t="s">
        <v>753</v>
      </c>
      <c r="F26" s="303">
        <f ca="1">INDIRECT("'数据-取费表'!q"&amp;$G$1)</f>
        <v>0.2</v>
      </c>
      <c r="G26" s="1285"/>
      <c r="H26" s="290" t="s">
        <v>395</v>
      </c>
      <c r="I26" s="291" t="s">
        <v>754</v>
      </c>
      <c r="J26" s="292">
        <f ca="1">IF(J5&lt;&gt;0,ROUND(J25*(1-((1+M28)/(1+M26))^M27)/(M26-M28),0),0)</f>
        <v>0</v>
      </c>
      <c r="K26" s="315" t="s">
        <v>755</v>
      </c>
      <c r="L26" s="293" t="s">
        <v>756</v>
      </c>
      <c r="M26" s="303">
        <f ca="1">INDIRECT("'数据-取费表'!I"&amp;$G$1)</f>
        <v>5.5E-2</v>
      </c>
    </row>
    <row r="27" spans="1:37" ht="18" customHeight="1">
      <c r="A27" s="924" t="s">
        <v>399</v>
      </c>
      <c r="B27" s="293" t="s">
        <v>757</v>
      </c>
      <c r="C27" s="21">
        <f ca="1">ROUND(F21*F26,4)</f>
        <v>5.0000000000000001E-3</v>
      </c>
      <c r="D27" s="314" t="s">
        <v>758</v>
      </c>
      <c r="E27" s="311"/>
      <c r="F27" s="312"/>
      <c r="G27" s="1285"/>
      <c r="H27" s="295"/>
      <c r="I27" s="296"/>
      <c r="J27" s="297"/>
      <c r="K27" s="322" t="s">
        <v>759</v>
      </c>
      <c r="L27" s="293" t="s">
        <v>760</v>
      </c>
      <c r="M27" s="323">
        <f ca="1">INDIRECT("'数据-取费表'!ag"&amp;$G$1)</f>
        <v>0</v>
      </c>
    </row>
    <row r="28" spans="1:37" s="1297" customFormat="1" ht="18" customHeight="1">
      <c r="A28" s="924" t="s">
        <v>400</v>
      </c>
      <c r="B28" s="293" t="s">
        <v>761</v>
      </c>
      <c r="C28" s="21">
        <f>ROUND(F28/(1+'数据-取费表'!C42),4)</f>
        <v>5.2400000000000002E-2</v>
      </c>
      <c r="D28" s="314" t="s">
        <v>762</v>
      </c>
      <c r="E28" s="293" t="s">
        <v>709</v>
      </c>
      <c r="F28" s="313">
        <f>'数据-取费表'!B41</f>
        <v>5.5000000000000007E-2</v>
      </c>
      <c r="G28" s="1296"/>
      <c r="H28" s="299"/>
      <c r="I28" s="300"/>
      <c r="J28" s="301"/>
      <c r="K28" s="318"/>
      <c r="L28" s="293" t="s">
        <v>763</v>
      </c>
      <c r="M28" s="303">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1" t="s">
        <v>401</v>
      </c>
      <c r="B29" s="1022" t="s">
        <v>764</v>
      </c>
      <c r="C29" s="1023">
        <f ca="1">ROUND((C19+C20+C23+C26)/(1-F21-C24-C27-C28),0)</f>
        <v>50046</v>
      </c>
      <c r="D29" s="1024"/>
      <c r="E29" s="1022"/>
      <c r="F29" s="1025"/>
      <c r="G29" s="1296"/>
      <c r="H29" s="324" t="s">
        <v>396</v>
      </c>
      <c r="I29" s="325" t="s">
        <v>765</v>
      </c>
      <c r="J29" s="326">
        <f ca="1">ROUND(J26/(1+F40)^F41,0)</f>
        <v>0</v>
      </c>
      <c r="K29" s="327" t="s">
        <v>766</v>
      </c>
      <c r="L29" s="328"/>
      <c r="M29" s="329">
        <f ca="1">INDIRECT("'数据-取费表'!k"&amp;$G$1)</f>
        <v>56346.270000000004</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1" t="s">
        <v>393</v>
      </c>
      <c r="B30" s="1012" t="s">
        <v>711</v>
      </c>
      <c r="C30" s="301">
        <f ca="1">ROUND(C31+C36+C37+C38,0)</f>
        <v>902</v>
      </c>
      <c r="D30" s="1019" t="s">
        <v>712</v>
      </c>
      <c r="E30" s="1020"/>
      <c r="F30" s="1004"/>
      <c r="G30" s="1285"/>
      <c r="H30" s="2464"/>
      <c r="I30" s="1298"/>
      <c r="J30" s="1299"/>
      <c r="K30" s="120"/>
      <c r="L30" s="2465"/>
      <c r="M30" s="2466"/>
    </row>
    <row r="31" spans="1:37" ht="18" customHeight="1">
      <c r="A31" s="924" t="s">
        <v>398</v>
      </c>
      <c r="B31" s="293" t="s">
        <v>716</v>
      </c>
      <c r="C31" s="2133">
        <f ca="1">ROUND(IF(AND(项目基本情况!B11="自然人",项目基本情况!B10="北京市"),C6*F31/(1+'数据-取费表'!C42),C32+C33+C34),2)</f>
        <v>710.54</v>
      </c>
      <c r="D31" s="1250" t="s">
        <v>717</v>
      </c>
      <c r="E31" s="1249" t="s">
        <v>767</v>
      </c>
      <c r="F31" s="2132" t="str">
        <f>IF(项目基本情况!B11="企业","——",IF(M47="住宅",IF(F6*F7*F8/12/(1+'数据-取费表'!F30)&gt;100000,4%,2.5%),IF(F6*F7*F8/12/(1+'数据-取费表'!F30)&gt;100000,12%,7%)))</f>
        <v>——</v>
      </c>
      <c r="G31" s="1285"/>
      <c r="H31" s="2563" t="s">
        <v>2295</v>
      </c>
      <c r="I31" s="1298"/>
      <c r="J31" s="1299"/>
      <c r="K31" s="120"/>
      <c r="L31" s="2465"/>
      <c r="M31" s="2466"/>
    </row>
    <row r="32" spans="1:37" ht="18" customHeight="1">
      <c r="A32" s="924" t="s">
        <v>397</v>
      </c>
      <c r="B32" s="293" t="s">
        <v>720</v>
      </c>
      <c r="C32" s="21">
        <f ca="1">IF(项目基本情况!B11="自然人","——",ROUND(C6*F32/(1+'数据-取费表'!C42),2))</f>
        <v>222.99</v>
      </c>
      <c r="D32" s="1249" t="s">
        <v>721</v>
      </c>
      <c r="E32" s="293" t="s">
        <v>709</v>
      </c>
      <c r="F32" s="321">
        <f>'数据-取费表'!B41</f>
        <v>5.5000000000000007E-2</v>
      </c>
      <c r="G32" s="1285"/>
      <c r="H32" s="2464"/>
      <c r="I32" s="1298"/>
      <c r="J32" s="1299"/>
      <c r="K32" s="120"/>
      <c r="L32" s="2465"/>
      <c r="M32" s="2466"/>
    </row>
    <row r="33" spans="1:18" ht="18" customHeight="1">
      <c r="A33" s="924" t="s">
        <v>399</v>
      </c>
      <c r="B33" s="293" t="s">
        <v>724</v>
      </c>
      <c r="C33" s="21">
        <f ca="1">IF(项目基本情况!B11="自然人","——",IF(D33="按租金收入计税",ROUND(C6*F33/(1+'数据-取费表'!C42),2),IF(D33="按房产原值计税",ROUND(C29*F33*0.7,2),INDIRECT("'数据-取费表'!Aj"&amp;$G$1))))</f>
        <v>486.51</v>
      </c>
      <c r="D33" s="1271" t="s">
        <v>3324</v>
      </c>
      <c r="E33" s="293" t="s">
        <v>709</v>
      </c>
      <c r="F33" s="313">
        <f>IF(D33="按票据","——",IF(D33="按租金收入计税",'数据-取费表'!B51,'数据-取费表'!B50))</f>
        <v>0.12</v>
      </c>
      <c r="G33" s="1285"/>
      <c r="H33" s="2467"/>
      <c r="I33" s="1298"/>
      <c r="J33" s="1299"/>
      <c r="K33" s="2468"/>
      <c r="L33" s="2467"/>
      <c r="M33" s="2467"/>
    </row>
    <row r="34" spans="1:18" ht="18" customHeight="1">
      <c r="A34" s="1001" t="s">
        <v>677</v>
      </c>
      <c r="B34" s="146" t="s">
        <v>727</v>
      </c>
      <c r="C34" s="22">
        <f ca="1">IF(项目基本情况!B11="自然人","——",ROUND(F34*F35/10000,2))</f>
        <v>1.04</v>
      </c>
      <c r="D34" s="315" t="s">
        <v>728</v>
      </c>
      <c r="E34" s="293" t="s">
        <v>729</v>
      </c>
      <c r="F34" s="316">
        <f>'数据-取费表'!B52</f>
        <v>1.5</v>
      </c>
      <c r="G34" s="1285"/>
      <c r="H34" s="2464"/>
      <c r="I34" s="1298"/>
      <c r="J34" s="1299"/>
      <c r="K34" s="2469"/>
      <c r="L34" s="2470"/>
      <c r="M34" s="2470"/>
    </row>
    <row r="35" spans="1:18" ht="18" customHeight="1">
      <c r="A35" s="1035"/>
      <c r="B35" s="1033"/>
      <c r="C35" s="26"/>
      <c r="D35" s="318"/>
      <c r="E35" s="293" t="s">
        <v>733</v>
      </c>
      <c r="F35" s="294">
        <f ca="1">INDIRECT("'数据-取费表'!r"&amp;$G$1)</f>
        <v>6949.44</v>
      </c>
      <c r="G35" s="1285"/>
      <c r="H35" s="2464"/>
      <c r="I35" s="1298"/>
      <c r="J35" s="1299"/>
      <c r="K35" s="2468"/>
      <c r="L35" s="2467"/>
      <c r="M35" s="2467"/>
    </row>
    <row r="36" spans="1:18" ht="18" customHeight="1">
      <c r="A36" s="1034" t="s">
        <v>402</v>
      </c>
      <c r="B36" s="293" t="s">
        <v>735</v>
      </c>
      <c r="C36" s="21">
        <f ca="1">ROUND(C29*F36,2)</f>
        <v>100.09</v>
      </c>
      <c r="D36" s="1249" t="s">
        <v>768</v>
      </c>
      <c r="E36" s="293" t="s">
        <v>709</v>
      </c>
      <c r="F36" s="319">
        <f ca="1">INDIRECT("'数据-取费表'!Ak"&amp;$G$1)</f>
        <v>2E-3</v>
      </c>
      <c r="G36" s="1285"/>
      <c r="H36" s="2467"/>
      <c r="I36" s="1298"/>
      <c r="J36" s="1299"/>
      <c r="K36" s="2324"/>
      <c r="L36" s="2467"/>
      <c r="M36" s="2467"/>
    </row>
    <row r="37" spans="1:18" ht="18" customHeight="1">
      <c r="A37" s="924" t="s">
        <v>437</v>
      </c>
      <c r="B37" s="293" t="s">
        <v>739</v>
      </c>
      <c r="C37" s="21">
        <f ca="1">ROUND(C13*F37,2)</f>
        <v>49.05</v>
      </c>
      <c r="D37" s="1249" t="s">
        <v>740</v>
      </c>
      <c r="E37" s="293" t="s">
        <v>741</v>
      </c>
      <c r="F37" s="320">
        <f ca="1">INDIRECT("'数据-取费表'!Al"&amp;$G$1)</f>
        <v>1E-3</v>
      </c>
      <c r="G37" s="1285"/>
      <c r="H37" s="2467"/>
      <c r="I37" s="1298"/>
      <c r="J37" s="1299"/>
      <c r="K37" s="2324"/>
      <c r="L37" s="2467"/>
      <c r="M37" s="2467"/>
    </row>
    <row r="38" spans="1:18" ht="18" customHeight="1" thickBot="1">
      <c r="A38" s="1021" t="s">
        <v>681</v>
      </c>
      <c r="B38" s="1022" t="s">
        <v>725</v>
      </c>
      <c r="C38" s="1023">
        <f ca="1">ROUND(C5*F38,2)</f>
        <v>42.62</v>
      </c>
      <c r="D38" s="1024" t="s">
        <v>745</v>
      </c>
      <c r="E38" s="1022" t="s">
        <v>741</v>
      </c>
      <c r="F38" s="1018">
        <f ca="1">INDIRECT("'数据-取费表'!Am"&amp;$G$1)</f>
        <v>0.01</v>
      </c>
      <c r="G38" s="1285"/>
      <c r="H38" s="2467"/>
      <c r="I38" s="1298"/>
      <c r="J38" s="1299"/>
      <c r="K38" s="2465"/>
      <c r="L38" s="2467"/>
      <c r="M38" s="2467"/>
    </row>
    <row r="39" spans="1:18" ht="24.6" customHeight="1" thickTop="1">
      <c r="A39" s="1011" t="s">
        <v>394</v>
      </c>
      <c r="B39" s="1026" t="s">
        <v>769</v>
      </c>
      <c r="C39" s="301">
        <f ca="1">C5-C30</f>
        <v>3360</v>
      </c>
      <c r="D39" s="1027" t="s">
        <v>770</v>
      </c>
      <c r="E39" s="1028"/>
      <c r="F39" s="1029"/>
      <c r="G39" s="1285"/>
      <c r="H39" s="2467"/>
      <c r="I39" s="1298">
        <f ca="1">C39/C6</f>
        <v>0.78928823114869628</v>
      </c>
      <c r="J39" s="1299"/>
      <c r="K39" s="2465"/>
      <c r="L39" s="2467"/>
      <c r="M39" s="2467"/>
    </row>
    <row r="40" spans="1:18" ht="18" customHeight="1">
      <c r="A40" s="290" t="s">
        <v>395</v>
      </c>
      <c r="B40" s="291" t="s">
        <v>771</v>
      </c>
      <c r="C40" s="292">
        <f ca="1">ROUND(C39*(1-((1+F42)/(1+F40))^F41)/(F40-F42),0)</f>
        <v>62787</v>
      </c>
      <c r="D40" s="315" t="s">
        <v>755</v>
      </c>
      <c r="E40" s="293" t="s">
        <v>756</v>
      </c>
      <c r="F40" s="303">
        <f ca="1">INDIRECT("'数据-取费表'!I"&amp;$G$1)</f>
        <v>5.5E-2</v>
      </c>
      <c r="G40" s="1285"/>
      <c r="H40" s="1359"/>
      <c r="I40" s="1298"/>
      <c r="J40" s="1299"/>
      <c r="K40" s="2465"/>
      <c r="L40" s="1359"/>
      <c r="M40" s="1359"/>
    </row>
    <row r="41" spans="1:18" ht="18" customHeight="1">
      <c r="A41" s="295"/>
      <c r="B41" s="296"/>
      <c r="C41" s="297"/>
      <c r="D41" s="322" t="s">
        <v>772</v>
      </c>
      <c r="E41" s="293" t="s">
        <v>760</v>
      </c>
      <c r="F41" s="323">
        <f ca="1">IF(INDIRECT("'数据-取费表'!af"&amp;$G$1)=0,INDIRECT("'数据-取费表'!ae"&amp;$G$1),INDIRECT("'数据-取费表'!af"&amp;$G$1))</f>
        <v>31.46</v>
      </c>
      <c r="G41" s="1285"/>
      <c r="H41" s="120"/>
      <c r="I41" s="1298"/>
      <c r="J41" s="1299"/>
      <c r="K41" s="2324"/>
      <c r="L41" s="120"/>
      <c r="M41" s="120"/>
    </row>
    <row r="42" spans="1:18" ht="18" customHeight="1">
      <c r="A42" s="299"/>
      <c r="B42" s="300"/>
      <c r="C42" s="301"/>
      <c r="D42" s="318"/>
      <c r="E42" s="293" t="s">
        <v>763</v>
      </c>
      <c r="F42" s="303">
        <f ca="1">INDIRECT("'数据-取费表'!v"&amp;$G$1)</f>
        <v>0.02</v>
      </c>
      <c r="G42" s="1285"/>
      <c r="H42" s="120"/>
      <c r="I42" s="1298"/>
      <c r="J42" s="1299"/>
      <c r="K42" s="2324"/>
      <c r="L42" s="120"/>
      <c r="M42" s="120"/>
    </row>
    <row r="43" spans="1:18" ht="18" customHeight="1" thickBot="1">
      <c r="A43" s="324" t="s">
        <v>396</v>
      </c>
      <c r="B43" s="325" t="s">
        <v>773</v>
      </c>
      <c r="C43" s="326">
        <f ca="1">ROUND(C40*10000/F43,0)</f>
        <v>11143</v>
      </c>
      <c r="D43" s="327" t="s">
        <v>774</v>
      </c>
      <c r="E43" s="328" t="s">
        <v>775</v>
      </c>
      <c r="F43" s="329">
        <f ca="1">INDIRECT("'数据-取费表'!k"&amp;$G$1)</f>
        <v>56346.270000000004</v>
      </c>
      <c r="G43" s="1285"/>
      <c r="H43" s="120"/>
      <c r="I43" s="120"/>
      <c r="J43" s="120"/>
      <c r="K43" s="2324"/>
      <c r="L43" s="120"/>
      <c r="M43" s="120"/>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3"/>
      <c r="O45" s="2471" t="s">
        <v>805</v>
      </c>
      <c r="P45" s="1359"/>
      <c r="Q45" s="1359"/>
      <c r="R45" s="1359"/>
    </row>
    <row r="46" spans="1:18" s="1285" customFormat="1" ht="13.5" thickBot="1">
      <c r="A46" s="1304" t="s">
        <v>806</v>
      </c>
      <c r="C46" s="1305">
        <f ca="1">C68-C40</f>
        <v>-65008</v>
      </c>
      <c r="D46" s="1306" t="str">
        <f>C2</f>
        <v>万元</v>
      </c>
      <c r="E46" s="1300"/>
      <c r="F46" s="1300"/>
      <c r="I46" s="1307" t="s">
        <v>807</v>
      </c>
      <c r="J46" s="1308"/>
      <c r="K46" s="1309"/>
      <c r="L46" s="1310">
        <f ca="1">IF(M47="住宅",0,IF(L48&gt;J51,L60,J60))</f>
        <v>2361</v>
      </c>
      <c r="O46" s="1311" t="s">
        <v>808</v>
      </c>
      <c r="P46" s="1312" t="s">
        <v>809</v>
      </c>
      <c r="Q46" s="1313" t="s">
        <v>810</v>
      </c>
      <c r="R46" s="1313" t="s">
        <v>811</v>
      </c>
    </row>
    <row r="47" spans="1:18" s="1285" customFormat="1" ht="13.5" thickBot="1">
      <c r="A47" s="888" t="s">
        <v>684</v>
      </c>
      <c r="B47" s="920" t="s">
        <v>685</v>
      </c>
      <c r="C47" s="1049" t="s">
        <v>686</v>
      </c>
      <c r="D47" s="920" t="s">
        <v>687</v>
      </c>
      <c r="E47" s="990" t="s">
        <v>688</v>
      </c>
      <c r="F47" s="991"/>
      <c r="G47" s="679"/>
      <c r="I47" s="1314" t="s">
        <v>812</v>
      </c>
      <c r="J47" s="1315" t="s">
        <v>4184</v>
      </c>
      <c r="K47" s="1316" t="s">
        <v>813</v>
      </c>
      <c r="L47" s="1317">
        <f ca="1">INDIRECT("'数据-取费表'!d"&amp;$G$1)</f>
        <v>40</v>
      </c>
      <c r="M47" s="1281" t="str">
        <f>IF(ISNUMBER(FIND("住宅",C1)),"住宅","非住宅")</f>
        <v>非住宅</v>
      </c>
      <c r="O47" s="1318" t="s">
        <v>403</v>
      </c>
      <c r="P47" s="1319" t="s">
        <v>814</v>
      </c>
      <c r="Q47" s="1320">
        <f ca="1">C40+J29</f>
        <v>62787</v>
      </c>
      <c r="R47" s="1320" t="s">
        <v>815</v>
      </c>
    </row>
    <row r="48" spans="1:18" s="1285" customFormat="1" ht="28.5" thickBot="1">
      <c r="A48" s="1042" t="s">
        <v>438</v>
      </c>
      <c r="B48" s="291" t="s">
        <v>689</v>
      </c>
      <c r="C48" s="1261">
        <f ca="1">C49+C53+C55</f>
        <v>0</v>
      </c>
      <c r="D48" s="1044"/>
      <c r="E48" s="1045"/>
      <c r="F48" s="904"/>
      <c r="G48" s="679"/>
      <c r="H48" s="680"/>
      <c r="I48" s="1321" t="s">
        <v>816</v>
      </c>
      <c r="J48" s="1322" t="s">
        <v>4185</v>
      </c>
      <c r="K48" s="1323" t="s">
        <v>817</v>
      </c>
      <c r="L48" s="1324">
        <f ca="1">INDIRECT("'数据-取费表'!f"&amp;$G$1)</f>
        <v>31.46</v>
      </c>
      <c r="O48" s="1318" t="s">
        <v>404</v>
      </c>
      <c r="P48" s="1319" t="s">
        <v>818</v>
      </c>
      <c r="Q48" s="1320">
        <f ca="1">J60</f>
        <v>2361</v>
      </c>
      <c r="R48" s="1320" t="s">
        <v>819</v>
      </c>
    </row>
    <row r="49" spans="1:18" s="1285" customFormat="1" ht="13.5" thickBot="1">
      <c r="A49" s="917" t="s">
        <v>439</v>
      </c>
      <c r="B49" s="1272" t="s">
        <v>776</v>
      </c>
      <c r="C49" s="1046">
        <f ca="1">ROUND(F49*F51*F50*(1-F52)/10000,0)</f>
        <v>0</v>
      </c>
      <c r="D49" s="987" t="s">
        <v>2106</v>
      </c>
      <c r="E49" s="1273" t="s">
        <v>777</v>
      </c>
      <c r="F49" s="992"/>
      <c r="H49" s="680"/>
      <c r="I49" s="1321" t="s">
        <v>820</v>
      </c>
      <c r="J49" s="1325">
        <v>2023</v>
      </c>
      <c r="K49" s="1323" t="s">
        <v>821</v>
      </c>
      <c r="L49" s="1326"/>
      <c r="O49" s="1327" t="s">
        <v>405</v>
      </c>
      <c r="P49" s="1319" t="s">
        <v>822</v>
      </c>
      <c r="Q49" s="1320">
        <f ca="1">C29</f>
        <v>50046</v>
      </c>
      <c r="R49" s="1320" t="s">
        <v>815</v>
      </c>
    </row>
    <row r="50" spans="1:18" s="1285" customFormat="1" ht="13.5" thickBot="1">
      <c r="A50" s="918"/>
      <c r="B50" s="921"/>
      <c r="C50" s="1050"/>
      <c r="D50" s="895"/>
      <c r="E50" s="988" t="s">
        <v>694</v>
      </c>
      <c r="F50" s="989">
        <f ca="1">F7</f>
        <v>56346.270000000004</v>
      </c>
      <c r="H50" s="680"/>
      <c r="I50" s="1321" t="s">
        <v>823</v>
      </c>
      <c r="J50" s="1328">
        <f>SUMPRODUCT((I63:I65=J47)*(J62:L62=J48)*(J63:L65))</f>
        <v>60</v>
      </c>
      <c r="K50" s="1323" t="s">
        <v>824</v>
      </c>
      <c r="L50" s="1326"/>
      <c r="M50" s="1329"/>
      <c r="O50" s="1327" t="s">
        <v>406</v>
      </c>
      <c r="P50" s="1319" t="s">
        <v>825</v>
      </c>
      <c r="Q50" s="1330">
        <f ca="1">J58</f>
        <v>0.45900000000000002</v>
      </c>
      <c r="R50" s="1320"/>
    </row>
    <row r="51" spans="1:18" s="1285" customFormat="1" ht="13.5" thickBot="1">
      <c r="A51" s="919"/>
      <c r="B51" s="921"/>
      <c r="C51" s="922"/>
      <c r="D51" s="895"/>
      <c r="E51" s="923" t="s">
        <v>695</v>
      </c>
      <c r="F51" s="294">
        <f ca="1">F8</f>
        <v>365</v>
      </c>
      <c r="I51" s="1331" t="s">
        <v>826</v>
      </c>
      <c r="J51" s="1324">
        <f>IF(J49="",J50,J49+J50-YEAR('数据-取费表'!B2))</f>
        <v>59</v>
      </c>
      <c r="K51" s="1332" t="s">
        <v>827</v>
      </c>
      <c r="L51" s="1333">
        <f ca="1">ROUND(-PV(INDIRECT("'数据-取费表'!h"&amp;$G$1),J51,(C39-C13*C76),0),0)</f>
        <v>-1381</v>
      </c>
      <c r="M51" s="1334"/>
      <c r="O51" s="1327" t="s">
        <v>407</v>
      </c>
      <c r="P51" s="1319" t="s">
        <v>828</v>
      </c>
      <c r="Q51" s="1330">
        <f>J52</f>
        <v>7.4999999999999997E-2</v>
      </c>
      <c r="R51" s="1320"/>
    </row>
    <row r="52" spans="1:18" s="1285" customFormat="1" ht="13.5" thickBot="1">
      <c r="A52" s="919"/>
      <c r="B52" s="921"/>
      <c r="C52" s="922"/>
      <c r="D52" s="895"/>
      <c r="E52" s="923" t="s">
        <v>696</v>
      </c>
      <c r="F52" s="986"/>
      <c r="I52" s="1335" t="s">
        <v>829</v>
      </c>
      <c r="J52" s="1336">
        <v>7.4999999999999997E-2</v>
      </c>
      <c r="K52" s="1335" t="s">
        <v>830</v>
      </c>
      <c r="L52" s="1336"/>
      <c r="O52" s="1327" t="s">
        <v>408</v>
      </c>
      <c r="P52" s="1319" t="s">
        <v>831</v>
      </c>
      <c r="Q52" s="1320">
        <f ca="1">J53</f>
        <v>31.46</v>
      </c>
      <c r="R52" s="1320" t="s">
        <v>832</v>
      </c>
    </row>
    <row r="53" spans="1:18" s="1285" customFormat="1" ht="24.75" thickBot="1">
      <c r="A53" s="1074" t="s">
        <v>440</v>
      </c>
      <c r="B53" s="1274" t="s">
        <v>697</v>
      </c>
      <c r="C53" s="307">
        <f ca="1">ROUND(IF(F53="押一",C49/12*F11,IF(F53="押二",C49/12*2*F11,IF(F53="押三",C49/12*3*F11,C54*F11))),0)</f>
        <v>0</v>
      </c>
      <c r="D53" s="149" t="s">
        <v>2112</v>
      </c>
      <c r="E53" s="304" t="s">
        <v>698</v>
      </c>
      <c r="F53" s="1048"/>
      <c r="I53" s="1337" t="s">
        <v>833</v>
      </c>
      <c r="J53" s="1999">
        <f ca="1">IF(M47="住宅",IF(D1="——",MAX(J51,L48),MAX(J51,L48-'数据-取费表'!B24)),IF(D1="——",MIN(J51,L48),MIN(J51,L48-'数据-取费表'!B24)))</f>
        <v>31.46</v>
      </c>
      <c r="K53" s="3407" t="s">
        <v>834</v>
      </c>
      <c r="L53" s="3408"/>
      <c r="O53" s="1318" t="s">
        <v>409</v>
      </c>
      <c r="P53" s="1319" t="s">
        <v>835</v>
      </c>
      <c r="Q53" s="1320">
        <f ca="1">Q47+Q48</f>
        <v>65148</v>
      </c>
      <c r="R53" s="1320" t="s">
        <v>410</v>
      </c>
    </row>
    <row r="54" spans="1:18" s="1285" customFormat="1" ht="13.5" thickBot="1">
      <c r="A54" s="1075"/>
      <c r="B54" s="1268" t="s">
        <v>676</v>
      </c>
      <c r="C54" s="901"/>
      <c r="D54" s="149"/>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836</v>
      </c>
      <c r="P54" s="1282"/>
      <c r="Q54" s="1282"/>
      <c r="R54" s="1282"/>
    </row>
    <row r="55" spans="1:18" s="1285" customFormat="1" ht="13.5" thickBot="1">
      <c r="A55" s="1015" t="s">
        <v>437</v>
      </c>
      <c r="B55" s="1270" t="s">
        <v>700</v>
      </c>
      <c r="C55" s="1016"/>
      <c r="D55" s="149"/>
      <c r="E55" s="1275"/>
      <c r="F55" s="1338"/>
      <c r="I55" s="1341" t="s">
        <v>837</v>
      </c>
      <c r="J55" s="1342">
        <f ca="1">ROUND(IF(J47="钢混",J57/J50,1-(1-2%)*(J50-J57)/J50),3)</f>
        <v>0.45900000000000002</v>
      </c>
      <c r="K55" s="1343" t="s">
        <v>838</v>
      </c>
      <c r="L55" s="1344"/>
      <c r="O55" s="1311" t="s">
        <v>808</v>
      </c>
      <c r="P55" s="1312" t="s">
        <v>809</v>
      </c>
      <c r="Q55" s="1313" t="s">
        <v>810</v>
      </c>
      <c r="R55" s="1313" t="s">
        <v>811</v>
      </c>
    </row>
    <row r="56" spans="1:18" s="1285" customFormat="1" ht="25.5" thickTop="1" thickBot="1">
      <c r="A56" s="899">
        <v>2</v>
      </c>
      <c r="B56" s="900" t="s">
        <v>701</v>
      </c>
      <c r="C56" s="223">
        <f ca="1">C13</f>
        <v>49045</v>
      </c>
      <c r="D56" s="1345"/>
      <c r="E56" s="1346"/>
      <c r="F56" s="1338"/>
      <c r="I56" s="1347" t="s">
        <v>839</v>
      </c>
      <c r="J56" s="1348" t="s">
        <v>4156</v>
      </c>
      <c r="K56" s="1321" t="s">
        <v>840</v>
      </c>
      <c r="L56" s="1324" t="str">
        <f ca="1">IF(L48&lt;J51,"——",L48-J53)</f>
        <v>——</v>
      </c>
      <c r="O56" s="1318" t="s">
        <v>403</v>
      </c>
      <c r="P56" s="1319" t="s">
        <v>814</v>
      </c>
      <c r="Q56" s="1320">
        <f ca="1">C40+J29</f>
        <v>62787</v>
      </c>
      <c r="R56" s="1320" t="s">
        <v>815</v>
      </c>
    </row>
    <row r="57" spans="1:18" s="1285" customFormat="1" ht="24.75" thickBot="1">
      <c r="A57" s="1349"/>
      <c r="B57" s="892" t="s">
        <v>764</v>
      </c>
      <c r="C57" s="229">
        <f ca="1">C29</f>
        <v>50046</v>
      </c>
      <c r="D57" s="1350"/>
      <c r="E57" s="1351"/>
      <c r="F57" s="1352"/>
      <c r="I57" s="1353" t="s">
        <v>841</v>
      </c>
      <c r="J57" s="1354">
        <f ca="1">IF(OR(M47="住宅",J51&lt;L48,J56="是"),"——",J51-L48)</f>
        <v>27.54</v>
      </c>
      <c r="K57" s="1321" t="s">
        <v>842</v>
      </c>
      <c r="L57" s="1324" t="str">
        <f ca="1">IF(L48&lt;J51,"——",IF(L55="比较法",L49,IF(L55="基准地价",L50,L51)))</f>
        <v>——</v>
      </c>
      <c r="O57" s="1318" t="s">
        <v>404</v>
      </c>
      <c r="P57" s="1319" t="s">
        <v>843</v>
      </c>
      <c r="Q57" s="1320">
        <f ca="1">L60</f>
        <v>0</v>
      </c>
      <c r="R57" s="1320" t="s">
        <v>844</v>
      </c>
    </row>
    <row r="58" spans="1:18" s="1285" customFormat="1" ht="24.75" thickBot="1">
      <c r="A58" s="306" t="s">
        <v>393</v>
      </c>
      <c r="B58" s="900" t="s">
        <v>711</v>
      </c>
      <c r="C58" s="307">
        <f ca="1">ROUND(C59+C64+C65+C66,0)</f>
        <v>150</v>
      </c>
      <c r="D58" s="902" t="s">
        <v>712</v>
      </c>
      <c r="E58" s="903"/>
      <c r="F58" s="904"/>
      <c r="I58" s="1353" t="s">
        <v>845</v>
      </c>
      <c r="J58" s="1355">
        <f ca="1">IF(J55&lt;0.4,0.4,J55)</f>
        <v>0.45900000000000002</v>
      </c>
      <c r="K58" s="1332" t="s">
        <v>846</v>
      </c>
      <c r="L58" s="1324" t="e">
        <f ca="1">ROUND(POWER(1+L52,L47-L48)*(POWER(1+L52,L48)-1)/(POWER(1+L52,L47)-1),4)</f>
        <v>#DIV/0!</v>
      </c>
      <c r="O58" s="1327" t="s">
        <v>405</v>
      </c>
      <c r="P58" s="1319" t="s">
        <v>847</v>
      </c>
      <c r="Q58" s="1320">
        <f>IF(L55="比较法",L49,IF(L55="基准地价",L50,0))</f>
        <v>0</v>
      </c>
      <c r="R58" s="1320" t="s">
        <v>815</v>
      </c>
    </row>
    <row r="59" spans="1:18" s="1285" customFormat="1" ht="24.75" thickBot="1">
      <c r="A59" s="924" t="s">
        <v>398</v>
      </c>
      <c r="B59" s="892" t="s">
        <v>716</v>
      </c>
      <c r="C59" s="2133">
        <f ca="1">ROUND(IF(AND(项目基本情况!B11="自然人",项目基本情况!B10="北京市"),C49*F59/(1+'数据-取费表'!C42),C60+C61+C62),0)</f>
        <v>1</v>
      </c>
      <c r="D59" s="905" t="s">
        <v>717</v>
      </c>
      <c r="E59" s="906" t="s">
        <v>718</v>
      </c>
      <c r="F59" s="2132" t="str">
        <f>IF(项目基本情况!B11="企业","——",IF('数据-取费表'!B10="住宅",IF(F49*F50*F51/12/(1+'数据-取费表'!F30)&gt;100000,4%,2.5%),IF(F49*F50*F51/12/(1+'数据-取费表'!F30)&gt;100000,12%,7%)))</f>
        <v>——</v>
      </c>
      <c r="I59" s="1353" t="s">
        <v>848</v>
      </c>
      <c r="J59" s="1354">
        <f ca="1">IF(OR(M47="住宅",J51&lt;L48,J56="是"),"——",ROUND(C29*J58,0))</f>
        <v>22971</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849</v>
      </c>
      <c r="Q59" s="1330">
        <f>L52</f>
        <v>0</v>
      </c>
      <c r="R59" s="1320"/>
    </row>
    <row r="60" spans="1:18" s="1285" customFormat="1" ht="16.5" thickBot="1">
      <c r="A60" s="924" t="s">
        <v>397</v>
      </c>
      <c r="B60" s="892" t="s">
        <v>720</v>
      </c>
      <c r="C60" s="21">
        <f ca="1">IF(项目基本情况!B11="自然人","——",ROUND(C48*F60/(1+'数据-取费表'!C42),2))</f>
        <v>0</v>
      </c>
      <c r="D60" s="906" t="s">
        <v>721</v>
      </c>
      <c r="E60" s="892" t="s">
        <v>709</v>
      </c>
      <c r="F60" s="321">
        <f t="shared" ref="F60:F66" si="0">F32</f>
        <v>5.5000000000000007E-2</v>
      </c>
      <c r="I60" s="1356" t="s">
        <v>850</v>
      </c>
      <c r="J60" s="1357">
        <f ca="1">IF(OR(M47="住宅",J51&lt;L48,J56="是"),"0",ROUND(J59/(1+J52)^J53,0))</f>
        <v>2361</v>
      </c>
      <c r="K60" s="1358" t="s">
        <v>851</v>
      </c>
      <c r="L60" s="1357">
        <f ca="1">IF(OR(M47="住宅",L48&lt;J51),0,ROUND(L57*(L58/L59-1),0))</f>
        <v>0</v>
      </c>
      <c r="O60" s="1327" t="s">
        <v>407</v>
      </c>
      <c r="P60" s="1319" t="s">
        <v>852</v>
      </c>
      <c r="Q60" s="1320" t="e">
        <f ca="1">L58</f>
        <v>#DIV/0!</v>
      </c>
      <c r="R60" s="1320" t="s">
        <v>853</v>
      </c>
    </row>
    <row r="61" spans="1:18" s="1285" customFormat="1" ht="13.5" thickBot="1">
      <c r="A61" s="924" t="s">
        <v>778</v>
      </c>
      <c r="B61" s="892" t="s">
        <v>779</v>
      </c>
      <c r="C61" s="21">
        <f ca="1">IF(项目基本情况!B11="自然人","——",IF(D61="按租金收入计税",ROUND(C49*F61/(1+'数据-取费表'!C42),2),IF(D61="按房产原值计税",ROUND(C57*F61*0.7,2),INDIRECT("'数据-取费表'!Aj"&amp;$G$1))))</f>
        <v>0</v>
      </c>
      <c r="D61" s="1271" t="s">
        <v>3324</v>
      </c>
      <c r="E61" s="892" t="s">
        <v>780</v>
      </c>
      <c r="F61" s="313">
        <f t="shared" si="0"/>
        <v>0.12</v>
      </c>
      <c r="I61" s="1359"/>
      <c r="J61" s="1359"/>
      <c r="K61" s="1359"/>
      <c r="L61" s="1359"/>
      <c r="O61" s="1327" t="s">
        <v>408</v>
      </c>
      <c r="P61" s="1319" t="str">
        <f>K59</f>
        <v>建筑物剩余耐用年限下的土地年期修正系数Kn</v>
      </c>
      <c r="Q61" s="1320" t="e">
        <f ca="1">L59</f>
        <v>#DIV/0!</v>
      </c>
      <c r="R61" s="1320" t="s">
        <v>854</v>
      </c>
    </row>
    <row r="62" spans="1:18" s="1285" customFormat="1" ht="13.5" thickBot="1">
      <c r="A62" s="924" t="s">
        <v>781</v>
      </c>
      <c r="B62" s="891" t="s">
        <v>782</v>
      </c>
      <c r="C62" s="22">
        <f ca="1">IF(项目基本情况!B11="自然人","——",ROUND(F62*F63/10000,2))</f>
        <v>1.04</v>
      </c>
      <c r="D62" s="907" t="s">
        <v>783</v>
      </c>
      <c r="E62" s="892" t="s">
        <v>784</v>
      </c>
      <c r="F62" s="316">
        <f t="shared" si="0"/>
        <v>1.5</v>
      </c>
      <c r="I62" s="1360" t="s">
        <v>855</v>
      </c>
      <c r="J62" s="608" t="s">
        <v>856</v>
      </c>
      <c r="K62" s="608" t="s">
        <v>857</v>
      </c>
      <c r="L62" s="608" t="s">
        <v>858</v>
      </c>
      <c r="M62" s="1361" t="s">
        <v>859</v>
      </c>
      <c r="O62" s="1318" t="s">
        <v>409</v>
      </c>
      <c r="P62" s="1319" t="s">
        <v>860</v>
      </c>
      <c r="Q62" s="1320">
        <f ca="1">Q56+Q57</f>
        <v>62787</v>
      </c>
      <c r="R62" s="1320" t="s">
        <v>410</v>
      </c>
    </row>
    <row r="63" spans="1:18" s="1285" customFormat="1" ht="13.5" thickBot="1">
      <c r="A63" s="317"/>
      <c r="B63" s="898"/>
      <c r="C63" s="26"/>
      <c r="D63" s="908"/>
      <c r="E63" s="892" t="s">
        <v>785</v>
      </c>
      <c r="F63" s="294">
        <f t="shared" ca="1" si="0"/>
        <v>6949.44</v>
      </c>
      <c r="I63" s="1360" t="s">
        <v>861</v>
      </c>
      <c r="J63" s="608">
        <v>70</v>
      </c>
      <c r="K63" s="608">
        <v>50</v>
      </c>
      <c r="L63" s="608">
        <v>80</v>
      </c>
      <c r="M63" s="1362">
        <v>0.02</v>
      </c>
      <c r="O63" s="1303" t="s">
        <v>862</v>
      </c>
      <c r="P63" s="1282"/>
      <c r="Q63" s="1282"/>
      <c r="R63" s="1282"/>
    </row>
    <row r="64" spans="1:18" s="1285" customFormat="1" ht="13.5" thickBot="1">
      <c r="A64" s="924" t="s">
        <v>786</v>
      </c>
      <c r="B64" s="892" t="s">
        <v>787</v>
      </c>
      <c r="C64" s="21">
        <f ca="1">ROUND(C57*F64,2)</f>
        <v>100.09</v>
      </c>
      <c r="D64" s="906" t="s">
        <v>788</v>
      </c>
      <c r="E64" s="892" t="s">
        <v>780</v>
      </c>
      <c r="F64" s="319">
        <f t="shared" ca="1" si="0"/>
        <v>2E-3</v>
      </c>
      <c r="I64" s="1360" t="s">
        <v>863</v>
      </c>
      <c r="J64" s="608">
        <v>50</v>
      </c>
      <c r="K64" s="608">
        <v>35</v>
      </c>
      <c r="L64" s="608">
        <v>60</v>
      </c>
      <c r="M64" s="1361">
        <v>0</v>
      </c>
      <c r="O64" s="1311" t="s">
        <v>808</v>
      </c>
      <c r="P64" s="1312" t="s">
        <v>809</v>
      </c>
      <c r="Q64" s="1313" t="s">
        <v>810</v>
      </c>
      <c r="R64" s="1313" t="s">
        <v>811</v>
      </c>
    </row>
    <row r="65" spans="1:18" s="1285" customFormat="1" ht="13.5" thickBot="1">
      <c r="A65" s="924" t="s">
        <v>789</v>
      </c>
      <c r="B65" s="892" t="s">
        <v>739</v>
      </c>
      <c r="C65" s="21">
        <f ca="1">ROUND(C56*F65,2)</f>
        <v>49.05</v>
      </c>
      <c r="D65" s="906" t="s">
        <v>740</v>
      </c>
      <c r="E65" s="892" t="s">
        <v>741</v>
      </c>
      <c r="F65" s="320">
        <f t="shared" ca="1" si="0"/>
        <v>1E-3</v>
      </c>
      <c r="I65" s="1360" t="s">
        <v>864</v>
      </c>
      <c r="J65" s="608">
        <v>40</v>
      </c>
      <c r="K65" s="608">
        <v>30</v>
      </c>
      <c r="L65" s="608">
        <v>50</v>
      </c>
      <c r="M65" s="1362">
        <v>0.02</v>
      </c>
      <c r="O65" s="1318" t="s">
        <v>403</v>
      </c>
      <c r="P65" s="1319" t="s">
        <v>865</v>
      </c>
      <c r="Q65" s="1320">
        <f ca="1">C40+J29</f>
        <v>62787</v>
      </c>
      <c r="R65" s="1320" t="s">
        <v>815</v>
      </c>
    </row>
    <row r="66" spans="1:18" s="1285" customFormat="1" ht="16.5" thickBot="1">
      <c r="A66" s="924" t="s">
        <v>790</v>
      </c>
      <c r="B66" s="892" t="s">
        <v>725</v>
      </c>
      <c r="C66" s="21">
        <f ca="1">ROUND(C48*F66,2)</f>
        <v>0</v>
      </c>
      <c r="D66" s="906" t="s">
        <v>791</v>
      </c>
      <c r="E66" s="892" t="s">
        <v>709</v>
      </c>
      <c r="F66" s="303">
        <f t="shared" ca="1" si="0"/>
        <v>0.01</v>
      </c>
      <c r="O66" s="1318" t="s">
        <v>404</v>
      </c>
      <c r="P66" s="1319" t="s">
        <v>843</v>
      </c>
      <c r="Q66" s="1320">
        <f ca="1">L60</f>
        <v>0</v>
      </c>
      <c r="R66" s="1320" t="s">
        <v>866</v>
      </c>
    </row>
    <row r="67" spans="1:18" s="1285" customFormat="1" ht="16.5" thickBot="1">
      <c r="A67" s="899" t="s">
        <v>394</v>
      </c>
      <c r="B67" s="909" t="s">
        <v>749</v>
      </c>
      <c r="C67" s="307">
        <f ca="1">C48-C58</f>
        <v>-150</v>
      </c>
      <c r="D67" s="905" t="s">
        <v>750</v>
      </c>
      <c r="E67" s="910"/>
      <c r="F67" s="911"/>
      <c r="O67" s="1327" t="s">
        <v>405</v>
      </c>
      <c r="P67" s="1319" t="s">
        <v>847</v>
      </c>
      <c r="Q67" s="1363">
        <f ca="1">L51</f>
        <v>-1381</v>
      </c>
      <c r="R67" s="1320" t="s">
        <v>867</v>
      </c>
    </row>
    <row r="68" spans="1:18" s="1285" customFormat="1" ht="16.5" thickBot="1">
      <c r="A68" s="889" t="s">
        <v>395</v>
      </c>
      <c r="B68" s="890" t="s">
        <v>771</v>
      </c>
      <c r="C68" s="292">
        <f ca="1">ROUND(C67*(1-((1+F70)/(1+F68))^F69)/(F68-F70),0)</f>
        <v>-2221</v>
      </c>
      <c r="D68" s="907" t="s">
        <v>755</v>
      </c>
      <c r="E68" s="892" t="s">
        <v>756</v>
      </c>
      <c r="F68" s="303">
        <f ca="1">F40</f>
        <v>5.5E-2</v>
      </c>
      <c r="O68" s="1327" t="s">
        <v>406</v>
      </c>
      <c r="P68" s="1364" t="s">
        <v>868</v>
      </c>
      <c r="Q68" s="1320">
        <f ca="1">ROUND(Q69-Q70*Q71,0)</f>
        <v>-73</v>
      </c>
      <c r="R68" s="1320" t="s">
        <v>414</v>
      </c>
    </row>
    <row r="69" spans="1:18" s="1285" customFormat="1" ht="13.5" thickBot="1">
      <c r="A69" s="893"/>
      <c r="B69" s="894"/>
      <c r="C69" s="297"/>
      <c r="D69" s="912" t="s">
        <v>759</v>
      </c>
      <c r="E69" s="892" t="s">
        <v>760</v>
      </c>
      <c r="F69" s="323">
        <f ca="1">F41</f>
        <v>31.46</v>
      </c>
      <c r="O69" s="1327" t="s">
        <v>411</v>
      </c>
      <c r="P69" s="1364" t="s">
        <v>869</v>
      </c>
      <c r="Q69" s="1320">
        <f ca="1">C39</f>
        <v>3360</v>
      </c>
      <c r="R69" s="1320" t="s">
        <v>815</v>
      </c>
    </row>
    <row r="70" spans="1:18" s="1285" customFormat="1" ht="13.5" thickBot="1">
      <c r="A70" s="896"/>
      <c r="B70" s="897"/>
      <c r="C70" s="301"/>
      <c r="D70" s="908"/>
      <c r="E70" s="892" t="s">
        <v>763</v>
      </c>
      <c r="F70" s="986"/>
      <c r="O70" s="1327" t="s">
        <v>412</v>
      </c>
      <c r="P70" s="1364" t="s">
        <v>870</v>
      </c>
      <c r="Q70" s="1320">
        <f ca="1">C13</f>
        <v>49045</v>
      </c>
      <c r="R70" s="1320" t="s">
        <v>815</v>
      </c>
    </row>
    <row r="71" spans="1:18" s="1285" customFormat="1" ht="13.5" thickBot="1">
      <c r="A71" s="913" t="s">
        <v>396</v>
      </c>
      <c r="B71" s="914" t="s">
        <v>773</v>
      </c>
      <c r="C71" s="326">
        <f ca="1">ROUND(C68*10000/F71,0)</f>
        <v>-394</v>
      </c>
      <c r="D71" s="915" t="s">
        <v>774</v>
      </c>
      <c r="E71" s="916" t="s">
        <v>775</v>
      </c>
      <c r="F71" s="329">
        <f ca="1">F43</f>
        <v>56346.270000000004</v>
      </c>
      <c r="O71" s="1327" t="s">
        <v>413</v>
      </c>
      <c r="P71" s="1364" t="s">
        <v>871</v>
      </c>
      <c r="Q71" s="1330">
        <f ca="1">C76</f>
        <v>7.0000000000000007E-2</v>
      </c>
      <c r="R71" s="1320"/>
    </row>
    <row r="72" spans="1:18" s="1285" customFormat="1" ht="13.5" thickBot="1">
      <c r="B72" s="683"/>
      <c r="C72" s="683"/>
      <c r="O72" s="1327" t="s">
        <v>407</v>
      </c>
      <c r="P72" s="1319" t="s">
        <v>849</v>
      </c>
      <c r="Q72" s="1330">
        <f>L52</f>
        <v>0</v>
      </c>
      <c r="R72" s="1320"/>
    </row>
    <row r="73" spans="1:18" ht="16.5" thickBot="1">
      <c r="A73" s="1285"/>
      <c r="B73" s="683"/>
      <c r="C73" s="683"/>
      <c r="D73" s="1285"/>
      <c r="E73" s="1285"/>
      <c r="F73" s="1285"/>
      <c r="O73" s="1327" t="s">
        <v>408</v>
      </c>
      <c r="P73" s="1319" t="s">
        <v>852</v>
      </c>
      <c r="Q73" s="1320" t="e">
        <f ca="1">L58</f>
        <v>#DIV/0!</v>
      </c>
      <c r="R73" s="1320" t="s">
        <v>853</v>
      </c>
    </row>
    <row r="74" spans="1:18" ht="13.5" thickBot="1">
      <c r="A74" s="1285"/>
      <c r="B74" s="264" t="s">
        <v>872</v>
      </c>
      <c r="C74" s="1366"/>
      <c r="D74" s="1285"/>
      <c r="E74" s="1285"/>
      <c r="F74" s="1285"/>
      <c r="O74" s="1327" t="s">
        <v>415</v>
      </c>
      <c r="P74" s="1319" t="str">
        <f>K59</f>
        <v>建筑物剩余耐用年限下的土地年期修正系数Kn</v>
      </c>
      <c r="Q74" s="1320" t="e">
        <f ca="1">L59</f>
        <v>#DIV/0!</v>
      </c>
      <c r="R74" s="1320" t="s">
        <v>854</v>
      </c>
    </row>
    <row r="75" spans="1:18" ht="13.5" thickBot="1">
      <c r="A75" s="1285"/>
      <c r="B75" s="330" t="s">
        <v>792</v>
      </c>
      <c r="C75" s="331">
        <f ca="1">ROUND(C13*C76,0)</f>
        <v>3433</v>
      </c>
      <c r="D75" s="1285"/>
      <c r="E75" s="1285"/>
      <c r="F75" s="1285"/>
      <c r="K75" s="1302"/>
      <c r="L75" s="1285"/>
      <c r="O75" s="1318" t="s">
        <v>409</v>
      </c>
      <c r="P75" s="1319" t="s">
        <v>835</v>
      </c>
      <c r="Q75" s="1320">
        <f ca="1">Q65+Q66</f>
        <v>62787</v>
      </c>
      <c r="R75" s="1320" t="s">
        <v>410</v>
      </c>
    </row>
    <row r="76" spans="1:18">
      <c r="B76" s="332" t="s">
        <v>793</v>
      </c>
      <c r="C76" s="333">
        <f ca="1">INDIRECT("'数据-取费表'!j"&amp;$G$1)</f>
        <v>7.0000000000000007E-2</v>
      </c>
      <c r="I76" s="1285"/>
      <c r="J76" s="1285"/>
      <c r="K76" s="1302"/>
      <c r="L76" s="1285"/>
    </row>
    <row r="77" spans="1:18">
      <c r="B77" s="334" t="s">
        <v>794</v>
      </c>
      <c r="C77" s="335"/>
      <c r="I77" s="1285"/>
      <c r="J77" s="1285"/>
      <c r="K77" s="1302"/>
      <c r="L77" s="1285"/>
    </row>
    <row r="78" spans="1:18">
      <c r="B78" s="261" t="s">
        <v>795</v>
      </c>
      <c r="C78" s="336"/>
    </row>
    <row r="79" spans="1:18">
      <c r="B79" s="330" t="s">
        <v>796</v>
      </c>
      <c r="C79" s="265">
        <f ca="1">1-C80</f>
        <v>-2.200000000000002E-2</v>
      </c>
    </row>
    <row r="80" spans="1:18">
      <c r="B80" s="330" t="s">
        <v>797</v>
      </c>
      <c r="C80" s="265">
        <f ca="1">ROUND(C75/C39,3)</f>
        <v>1.022</v>
      </c>
    </row>
    <row r="81" spans="2:3">
      <c r="B81" s="261" t="s">
        <v>798</v>
      </c>
      <c r="C81" s="229"/>
    </row>
    <row r="82" spans="2:3">
      <c r="B82" s="264" t="s">
        <v>799</v>
      </c>
      <c r="C82" s="266">
        <f ca="1">1-C83</f>
        <v>0.21899999999999997</v>
      </c>
    </row>
    <row r="83" spans="2:3">
      <c r="B83" s="264" t="s">
        <v>800</v>
      </c>
      <c r="C83" s="265">
        <f ca="1">ROUND(C13/C40,3)</f>
        <v>0.78100000000000003</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2424</v>
      </c>
      <c r="B1" s="2577"/>
      <c r="C1" s="2589"/>
      <c r="D1" s="2589"/>
      <c r="E1" s="2578"/>
      <c r="F1" s="2579"/>
      <c r="G1" s="2580"/>
      <c r="J1" s="2583" t="s">
        <v>2303</v>
      </c>
      <c r="K1" s="2584"/>
      <c r="L1" s="2584"/>
      <c r="M1" s="2584"/>
      <c r="N1" s="2584"/>
      <c r="O1" s="2584"/>
      <c r="P1" s="2584"/>
      <c r="Q1" s="2584"/>
      <c r="R1" s="2585"/>
      <c r="S1" s="2586"/>
      <c r="T1" s="2586"/>
      <c r="U1" s="2586"/>
    </row>
    <row r="2" spans="1:22" s="2598" customFormat="1" ht="13.15" customHeight="1">
      <c r="A2" s="1286" t="s">
        <v>2304</v>
      </c>
      <c r="B2" s="2588" t="e">
        <f>IF(D2="——",C40,C40+E2)</f>
        <v>#DIV/0!</v>
      </c>
      <c r="C2" s="2589" t="s">
        <v>2305</v>
      </c>
      <c r="D2" s="3132" t="s">
        <v>3347</v>
      </c>
      <c r="E2" s="3133"/>
      <c r="F2" s="2591"/>
      <c r="G2" s="2592"/>
      <c r="H2" s="2593"/>
      <c r="I2" s="2594"/>
      <c r="J2" s="3418" t="s">
        <v>2306</v>
      </c>
      <c r="K2" s="3419"/>
      <c r="L2" s="2595" t="s">
        <v>2307</v>
      </c>
      <c r="M2" s="2595" t="s">
        <v>2308</v>
      </c>
      <c r="N2" s="2595" t="s">
        <v>2309</v>
      </c>
      <c r="O2" s="2595" t="s">
        <v>2310</v>
      </c>
      <c r="P2" s="2595" t="s">
        <v>2311</v>
      </c>
      <c r="Q2" s="2596" t="s">
        <v>2312</v>
      </c>
      <c r="R2" s="2597" t="s">
        <v>2313</v>
      </c>
      <c r="S2" s="2586"/>
      <c r="T2" s="2586"/>
      <c r="U2" s="2586"/>
      <c r="V2" s="2594"/>
    </row>
    <row r="3" spans="1:22" s="2598" customFormat="1" ht="13.15" customHeight="1">
      <c r="A3" s="2599" t="s">
        <v>2314</v>
      </c>
      <c r="B3" s="2600" t="e">
        <f>ROUND(B2*10000/B4,0)</f>
        <v>#DIV/0!</v>
      </c>
      <c r="C3" s="2589" t="s">
        <v>2315</v>
      </c>
      <c r="D3" s="2589"/>
      <c r="E3" s="2590"/>
      <c r="F3" s="2591"/>
      <c r="G3" s="2592"/>
      <c r="H3" s="2593"/>
      <c r="I3" s="2594"/>
      <c r="J3" s="3420" t="s">
        <v>2316</v>
      </c>
      <c r="K3" s="3421"/>
      <c r="L3" s="2601"/>
      <c r="M3" s="2601"/>
      <c r="N3" s="2601"/>
      <c r="O3" s="2601"/>
      <c r="P3" s="2601"/>
      <c r="Q3" s="2602"/>
      <c r="R3" s="2603">
        <f>SUM(L3:Q3)</f>
        <v>0</v>
      </c>
      <c r="S3" s="2586"/>
      <c r="T3" s="2586"/>
      <c r="U3" s="2586"/>
      <c r="V3" s="2594"/>
    </row>
    <row r="4" spans="1:22" s="2598" customFormat="1" ht="13.15" customHeight="1">
      <c r="A4" s="2604" t="s">
        <v>2317</v>
      </c>
      <c r="B4" s="2605"/>
      <c r="C4" s="2589"/>
      <c r="D4" s="2589"/>
      <c r="E4" s="2590"/>
      <c r="F4" s="2591"/>
      <c r="G4" s="2592"/>
      <c r="H4" s="2593"/>
      <c r="I4" s="2594"/>
      <c r="J4" s="3420" t="s">
        <v>2318</v>
      </c>
      <c r="K4" s="3421"/>
      <c r="L4" s="2606"/>
      <c r="M4" s="2606"/>
      <c r="N4" s="2606"/>
      <c r="O4" s="2606"/>
      <c r="P4" s="2606"/>
      <c r="Q4" s="2607"/>
      <c r="R4" s="2608">
        <f>SUM(L4:Q4)</f>
        <v>0</v>
      </c>
      <c r="S4" s="2586"/>
      <c r="T4" s="2586"/>
      <c r="U4" s="2586"/>
      <c r="V4" s="2594"/>
    </row>
    <row r="5" spans="1:22" s="2598" customFormat="1" ht="13.15" customHeight="1" thickBot="1">
      <c r="A5" s="2609" t="s">
        <v>2319</v>
      </c>
      <c r="B5" s="2610"/>
      <c r="C5" s="2589"/>
      <c r="D5" s="2611"/>
      <c r="E5" s="2591"/>
      <c r="F5" s="2591"/>
      <c r="G5" s="2592"/>
      <c r="H5" s="2593"/>
      <c r="I5" s="2594"/>
      <c r="J5" s="2612" t="s">
        <v>2320</v>
      </c>
      <c r="K5" s="2613"/>
      <c r="L5" s="2613"/>
      <c r="M5" s="2614"/>
      <c r="N5" s="2614"/>
      <c r="O5" s="2614"/>
      <c r="P5" s="2614"/>
      <c r="Q5" s="2614"/>
      <c r="R5" s="2597">
        <f>SUM(R14,R19,R24,R25,R27,R28)</f>
        <v>0</v>
      </c>
      <c r="S5" s="2586"/>
      <c r="T5" s="2586" t="s">
        <v>2321</v>
      </c>
      <c r="U5" s="2586" t="e">
        <f>ROUND(R5*10000/365/R3,1)</f>
        <v>#DIV/0!</v>
      </c>
      <c r="V5" s="2594"/>
    </row>
    <row r="6" spans="1:22" s="2598" customFormat="1" ht="13.15" customHeight="1" thickBot="1">
      <c r="A6" s="3426" t="s">
        <v>2322</v>
      </c>
      <c r="B6" s="3427"/>
      <c r="C6" s="3428"/>
      <c r="D6" s="2615"/>
      <c r="E6" s="2616"/>
      <c r="F6" s="2617"/>
      <c r="G6" s="2618"/>
      <c r="H6" s="2593"/>
      <c r="I6" s="2594"/>
      <c r="J6" s="3412">
        <v>1</v>
      </c>
      <c r="K6" s="3413" t="s">
        <v>2323</v>
      </c>
      <c r="L6" s="2619" t="s">
        <v>2324</v>
      </c>
      <c r="M6" s="2620" t="s">
        <v>2325</v>
      </c>
      <c r="N6" s="2620" t="s">
        <v>2326</v>
      </c>
      <c r="O6" s="2620" t="s">
        <v>2327</v>
      </c>
      <c r="P6" s="2620" t="s">
        <v>2328</v>
      </c>
      <c r="Q6" s="2620" t="s">
        <v>2329</v>
      </c>
      <c r="R6" s="2603" t="s">
        <v>2330</v>
      </c>
      <c r="S6" s="2586"/>
      <c r="T6" s="2586" t="s">
        <v>2331</v>
      </c>
      <c r="U6" s="2586"/>
      <c r="V6" s="2594"/>
    </row>
    <row r="7" spans="1:22" s="2598" customFormat="1" ht="13.15" customHeight="1">
      <c r="A7" s="2621" t="s">
        <v>2332</v>
      </c>
      <c r="B7" s="2622"/>
      <c r="C7" s="2623"/>
      <c r="D7" s="2624">
        <f>SUM(D9,D10,D11,D17,0)</f>
        <v>0</v>
      </c>
      <c r="E7" s="2625" t="e">
        <f>E9+E10+E11+E17</f>
        <v>#DIV/0!</v>
      </c>
      <c r="F7" s="2626"/>
      <c r="G7" s="2627"/>
      <c r="H7" s="2593"/>
      <c r="I7" s="2594"/>
      <c r="J7" s="3412"/>
      <c r="K7" s="3414"/>
      <c r="L7" s="2628" t="s">
        <v>2333</v>
      </c>
      <c r="M7" s="2629"/>
      <c r="N7" s="2605"/>
      <c r="O7" s="2630"/>
      <c r="P7" s="2630"/>
      <c r="Q7" s="2631">
        <v>365</v>
      </c>
      <c r="R7" s="2632">
        <f>ROUND(M7*N7*O7*P7*Q7/10000,0)</f>
        <v>0</v>
      </c>
      <c r="S7" s="2586"/>
      <c r="T7" s="2586" t="s">
        <v>2334</v>
      </c>
      <c r="U7" s="2586"/>
      <c r="V7" s="2594"/>
    </row>
    <row r="8" spans="1:22" s="2598" customFormat="1" ht="13.15" customHeight="1">
      <c r="A8" s="2633" t="s">
        <v>2335</v>
      </c>
      <c r="B8" s="3429" t="s">
        <v>2336</v>
      </c>
      <c r="C8" s="3430"/>
      <c r="D8" s="2634" t="s">
        <v>2337</v>
      </c>
      <c r="E8" s="2635" t="s">
        <v>2338</v>
      </c>
      <c r="F8" s="2636" t="s">
        <v>2339</v>
      </c>
      <c r="G8" s="2637"/>
      <c r="H8" s="2593"/>
      <c r="I8" s="2594"/>
      <c r="J8" s="3412"/>
      <c r="K8" s="3414"/>
      <c r="L8" s="2628" t="s">
        <v>2340</v>
      </c>
      <c r="M8" s="2629"/>
      <c r="N8" s="2605"/>
      <c r="O8" s="2630"/>
      <c r="P8" s="2630"/>
      <c r="Q8" s="2631">
        <v>365</v>
      </c>
      <c r="R8" s="2632">
        <f t="shared" ref="R8:R13" si="0">ROUND(M8*N8*O8*P8*Q8/10000,0)</f>
        <v>0</v>
      </c>
      <c r="S8" s="2586"/>
      <c r="T8" s="2586" t="s">
        <v>2341</v>
      </c>
      <c r="U8" s="2586"/>
      <c r="V8" s="2594"/>
    </row>
    <row r="9" spans="1:22" s="2598" customFormat="1" ht="13.15" customHeight="1">
      <c r="A9" s="2633">
        <v>1</v>
      </c>
      <c r="B9" s="3429" t="s">
        <v>2342</v>
      </c>
      <c r="C9" s="3430"/>
      <c r="D9" s="2634">
        <f>ROUND(D6*E9,0)</f>
        <v>0</v>
      </c>
      <c r="E9" s="2638"/>
      <c r="F9" s="2639" t="s">
        <v>2343</v>
      </c>
      <c r="G9" s="2618"/>
      <c r="H9" s="2593"/>
      <c r="I9" s="2594"/>
      <c r="J9" s="3412"/>
      <c r="K9" s="3414"/>
      <c r="L9" s="2628" t="s">
        <v>2344</v>
      </c>
      <c r="M9" s="2629"/>
      <c r="N9" s="2605"/>
      <c r="O9" s="2630"/>
      <c r="P9" s="2630"/>
      <c r="Q9" s="2631">
        <v>365</v>
      </c>
      <c r="R9" s="2632">
        <f t="shared" si="0"/>
        <v>0</v>
      </c>
      <c r="S9" s="2586"/>
      <c r="T9" s="2586"/>
      <c r="U9" s="2586"/>
      <c r="V9" s="2594"/>
    </row>
    <row r="10" spans="1:22" s="2598" customFormat="1" ht="13.15" customHeight="1">
      <c r="A10" s="2633">
        <v>2</v>
      </c>
      <c r="B10" s="3429" t="s">
        <v>2345</v>
      </c>
      <c r="C10" s="3430"/>
      <c r="D10" s="2634">
        <f>ROUND(D6*E10,0)</f>
        <v>0</v>
      </c>
      <c r="E10" s="2638"/>
      <c r="F10" s="2639" t="s">
        <v>2346</v>
      </c>
      <c r="G10" s="2618"/>
      <c r="H10" s="2593"/>
      <c r="I10" s="2594"/>
      <c r="J10" s="3412"/>
      <c r="K10" s="3414"/>
      <c r="L10" s="2628" t="s">
        <v>2347</v>
      </c>
      <c r="M10" s="2629"/>
      <c r="N10" s="2605"/>
      <c r="O10" s="2630"/>
      <c r="P10" s="2630"/>
      <c r="Q10" s="2631">
        <v>365</v>
      </c>
      <c r="R10" s="2632">
        <f t="shared" si="0"/>
        <v>0</v>
      </c>
      <c r="S10" s="2586"/>
      <c r="T10" s="2586"/>
      <c r="U10" s="2586"/>
      <c r="V10" s="2594"/>
    </row>
    <row r="11" spans="1:22" s="2598" customFormat="1" ht="13.15" customHeight="1">
      <c r="A11" s="2633">
        <v>3</v>
      </c>
      <c r="B11" s="3429" t="s">
        <v>2348</v>
      </c>
      <c r="C11" s="3430"/>
      <c r="D11" s="2634">
        <f>D12+D14+D15+D16</f>
        <v>0</v>
      </c>
      <c r="E11" s="2640" t="e">
        <f>D11/D6</f>
        <v>#DIV/0!</v>
      </c>
      <c r="F11" s="2636"/>
      <c r="G11" s="2637"/>
      <c r="H11" s="2593"/>
      <c r="I11" s="2594"/>
      <c r="J11" s="3412"/>
      <c r="K11" s="3414"/>
      <c r="L11" s="2628" t="s">
        <v>2349</v>
      </c>
      <c r="M11" s="2629"/>
      <c r="N11" s="2605"/>
      <c r="O11" s="2630"/>
      <c r="P11" s="2630"/>
      <c r="Q11" s="2631">
        <v>365</v>
      </c>
      <c r="R11" s="2632">
        <f t="shared" si="0"/>
        <v>0</v>
      </c>
      <c r="S11" s="2586"/>
      <c r="T11" s="2586"/>
      <c r="U11" s="2586"/>
      <c r="V11" s="2594"/>
    </row>
    <row r="12" spans="1:22" s="2598" customFormat="1" ht="13.15" customHeight="1">
      <c r="A12" s="2641" t="s">
        <v>2350</v>
      </c>
      <c r="B12" s="3422" t="s">
        <v>2351</v>
      </c>
      <c r="C12" s="3423"/>
      <c r="D12" s="2642">
        <f>ROUND(D13*1.2%*(1-30%),0)</f>
        <v>0</v>
      </c>
      <c r="E12" s="2643">
        <v>1.2E-2</v>
      </c>
      <c r="F12" s="2636" t="s">
        <v>2352</v>
      </c>
      <c r="G12" s="2637"/>
      <c r="H12" s="2593"/>
      <c r="I12" s="2594"/>
      <c r="J12" s="3412"/>
      <c r="K12" s="3414"/>
      <c r="L12" s="2628" t="s">
        <v>2353</v>
      </c>
      <c r="M12" s="2629"/>
      <c r="N12" s="2605"/>
      <c r="O12" s="2630"/>
      <c r="P12" s="2630"/>
      <c r="Q12" s="2631">
        <v>365</v>
      </c>
      <c r="R12" s="2632">
        <f t="shared" si="0"/>
        <v>0</v>
      </c>
      <c r="S12" s="2586"/>
      <c r="T12" s="2586"/>
      <c r="U12" s="2586"/>
      <c r="V12" s="2594"/>
    </row>
    <row r="13" spans="1:22" s="2598" customFormat="1" ht="13.15" customHeight="1">
      <c r="A13" s="2641"/>
      <c r="B13" s="2644"/>
      <c r="C13" s="2645" t="s">
        <v>2354</v>
      </c>
      <c r="D13" s="2646"/>
      <c r="E13" s="2647"/>
      <c r="F13" s="2636"/>
      <c r="G13" s="2637"/>
      <c r="H13" s="2593"/>
      <c r="I13" s="2594"/>
      <c r="J13" s="3412"/>
      <c r="K13" s="3414"/>
      <c r="L13" s="2628" t="s">
        <v>2355</v>
      </c>
      <c r="M13" s="2629"/>
      <c r="N13" s="2605"/>
      <c r="O13" s="2630"/>
      <c r="P13" s="2630"/>
      <c r="Q13" s="2631">
        <v>365</v>
      </c>
      <c r="R13" s="2632">
        <f t="shared" si="0"/>
        <v>0</v>
      </c>
      <c r="S13" s="2586"/>
      <c r="T13" s="2586"/>
      <c r="U13" s="2586"/>
      <c r="V13" s="2594"/>
    </row>
    <row r="14" spans="1:22" s="2598" customFormat="1" ht="13.15" customHeight="1">
      <c r="A14" s="2641" t="s">
        <v>2356</v>
      </c>
      <c r="B14" s="3422" t="s">
        <v>2357</v>
      </c>
      <c r="C14" s="3423"/>
      <c r="D14" s="2642">
        <f>ROUND(E14*B5/10000,0)</f>
        <v>0</v>
      </c>
      <c r="E14" s="2631"/>
      <c r="F14" s="2636" t="s">
        <v>2358</v>
      </c>
      <c r="G14" s="2637"/>
      <c r="H14" s="2593"/>
      <c r="I14" s="2594"/>
      <c r="J14" s="3412"/>
      <c r="K14" s="3415"/>
      <c r="L14" s="2648" t="s">
        <v>2359</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2360</v>
      </c>
      <c r="B15" s="3422" t="s">
        <v>2361</v>
      </c>
      <c r="C15" s="3423"/>
      <c r="D15" s="2642">
        <f>ROUND(D6*E15,0)</f>
        <v>0</v>
      </c>
      <c r="E15" s="2643">
        <v>5.5E-2</v>
      </c>
      <c r="F15" s="2636" t="s">
        <v>2362</v>
      </c>
      <c r="G15" s="2618"/>
      <c r="H15" s="2593"/>
      <c r="I15" s="2594"/>
      <c r="J15" s="3412">
        <v>2</v>
      </c>
      <c r="K15" s="3413" t="s">
        <v>2363</v>
      </c>
      <c r="L15" s="2628" t="s">
        <v>2364</v>
      </c>
      <c r="M15" s="2629" t="s">
        <v>2365</v>
      </c>
      <c r="N15" s="2629" t="s">
        <v>2366</v>
      </c>
      <c r="O15" s="2630" t="s">
        <v>2367</v>
      </c>
      <c r="P15" s="2630" t="s">
        <v>2329</v>
      </c>
      <c r="Q15" s="2605" t="s">
        <v>2368</v>
      </c>
      <c r="R15" s="2652" t="s">
        <v>2330</v>
      </c>
      <c r="S15" s="2586"/>
      <c r="T15" s="2586"/>
      <c r="U15" s="2586"/>
      <c r="V15" s="2594"/>
    </row>
    <row r="16" spans="1:22" s="2598" customFormat="1" ht="13.15" customHeight="1">
      <c r="A16" s="2641" t="s">
        <v>2369</v>
      </c>
      <c r="B16" s="3422" t="s">
        <v>2370</v>
      </c>
      <c r="C16" s="3423"/>
      <c r="D16" s="2653">
        <f>D6*E16</f>
        <v>0</v>
      </c>
      <c r="E16" s="2654"/>
      <c r="F16" s="2639" t="s">
        <v>2371</v>
      </c>
      <c r="G16" s="2618"/>
      <c r="H16" s="2593"/>
      <c r="I16" s="2594"/>
      <c r="J16" s="3412"/>
      <c r="K16" s="3414"/>
      <c r="L16" s="2628" t="s">
        <v>2372</v>
      </c>
      <c r="M16" s="2629"/>
      <c r="N16" s="2629"/>
      <c r="O16" s="2630"/>
      <c r="P16" s="2631">
        <v>365</v>
      </c>
      <c r="Q16" s="2605"/>
      <c r="R16" s="2652">
        <f>ROUND(M16*N16*O16*P16/10000,0)</f>
        <v>0</v>
      </c>
      <c r="S16" s="2586"/>
      <c r="T16" s="2586"/>
      <c r="U16" s="2586"/>
      <c r="V16" s="2594"/>
    </row>
    <row r="17" spans="1:22" s="2598" customFormat="1" ht="13.15" customHeight="1" thickBot="1">
      <c r="A17" s="2655">
        <v>4</v>
      </c>
      <c r="B17" s="3424" t="s">
        <v>2373</v>
      </c>
      <c r="C17" s="3425"/>
      <c r="D17" s="2656">
        <f>ROUND(D6*E17,0)</f>
        <v>0</v>
      </c>
      <c r="E17" s="2657"/>
      <c r="F17" s="2658" t="s">
        <v>2374</v>
      </c>
      <c r="G17" s="2618"/>
      <c r="H17" s="2593"/>
      <c r="I17" s="2594"/>
      <c r="J17" s="3412"/>
      <c r="K17" s="3414"/>
      <c r="L17" s="2628" t="s">
        <v>2375</v>
      </c>
      <c r="M17" s="2629"/>
      <c r="N17" s="2629"/>
      <c r="O17" s="2630"/>
      <c r="P17" s="2631">
        <v>365</v>
      </c>
      <c r="Q17" s="2605"/>
      <c r="R17" s="2652">
        <f>ROUND(M17*N17*O17*P17/10000,0)</f>
        <v>0</v>
      </c>
      <c r="S17" s="2586"/>
      <c r="T17" s="2586"/>
      <c r="U17" s="2586"/>
      <c r="V17" s="2594"/>
    </row>
    <row r="18" spans="1:22" s="2598" customFormat="1" ht="13.15" customHeight="1" thickBot="1">
      <c r="A18" s="2621" t="s">
        <v>2376</v>
      </c>
      <c r="B18" s="2622"/>
      <c r="C18" s="2622"/>
      <c r="D18" s="2659">
        <f>ROUND(D6*E18,0)</f>
        <v>0</v>
      </c>
      <c r="E18" s="2660"/>
      <c r="F18" s="2661" t="s">
        <v>2377</v>
      </c>
      <c r="G18" s="2618"/>
      <c r="H18" s="2593"/>
      <c r="I18" s="2594"/>
      <c r="J18" s="3412"/>
      <c r="K18" s="3414"/>
      <c r="L18" s="2628" t="s">
        <v>2378</v>
      </c>
      <c r="M18" s="2629"/>
      <c r="N18" s="2629"/>
      <c r="O18" s="2630"/>
      <c r="P18" s="2631">
        <v>365</v>
      </c>
      <c r="Q18" s="2605"/>
      <c r="R18" s="2652">
        <f>ROUND(M18*N18*O18*P18/10000,0)</f>
        <v>0</v>
      </c>
      <c r="S18" s="2586"/>
      <c r="T18" s="2586"/>
      <c r="U18" s="2586"/>
      <c r="V18" s="2594"/>
    </row>
    <row r="19" spans="1:22" s="2598" customFormat="1" ht="13.15" customHeight="1" thickBot="1">
      <c r="A19" s="2662" t="s">
        <v>2379</v>
      </c>
      <c r="B19" s="2616"/>
      <c r="C19" s="2616"/>
      <c r="D19" s="2616"/>
      <c r="E19" s="2616"/>
      <c r="F19" s="2617"/>
      <c r="G19" s="2637"/>
      <c r="H19" s="2593"/>
      <c r="I19" s="2594"/>
      <c r="J19" s="3412"/>
      <c r="K19" s="3415"/>
      <c r="L19" s="2648" t="s">
        <v>2359</v>
      </c>
      <c r="M19" s="2649"/>
      <c r="N19" s="2649">
        <f>SUM(N16:N18)</f>
        <v>0</v>
      </c>
      <c r="O19" s="2650"/>
      <c r="P19" s="2663" t="s">
        <v>2423</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12">
        <v>3</v>
      </c>
      <c r="K20" s="3413" t="s">
        <v>2380</v>
      </c>
      <c r="L20" s="2628" t="s">
        <v>2381</v>
      </c>
      <c r="M20" s="2629" t="s">
        <v>2382</v>
      </c>
      <c r="N20" s="2666" t="s">
        <v>2383</v>
      </c>
      <c r="O20" s="2630" t="s">
        <v>2384</v>
      </c>
      <c r="P20" s="2631" t="s">
        <v>2385</v>
      </c>
      <c r="Q20" s="2605" t="s">
        <v>2386</v>
      </c>
      <c r="R20" s="2652" t="s">
        <v>2387</v>
      </c>
      <c r="S20" s="2586"/>
      <c r="T20" s="2586"/>
      <c r="U20" s="2586"/>
      <c r="V20" s="2594"/>
    </row>
    <row r="21" spans="1:22" s="2598" customFormat="1" ht="13.15" customHeight="1">
      <c r="A21" s="2621"/>
      <c r="B21" s="2622"/>
      <c r="C21" s="2667" t="s">
        <v>2388</v>
      </c>
      <c r="D21" s="2668" t="s">
        <v>2389</v>
      </c>
      <c r="E21" s="2669" t="s">
        <v>2390</v>
      </c>
      <c r="F21" s="2665"/>
      <c r="G21" s="2637"/>
      <c r="H21" s="2593"/>
      <c r="I21" s="2594"/>
      <c r="J21" s="3412"/>
      <c r="K21" s="3414"/>
      <c r="L21" s="2628" t="s">
        <v>2391</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2392</v>
      </c>
      <c r="D22" s="2672" t="s">
        <v>2393</v>
      </c>
      <c r="E22" s="2673" t="s">
        <v>2394</v>
      </c>
      <c r="F22" s="2665"/>
      <c r="G22" s="2586"/>
      <c r="H22" s="2593"/>
      <c r="I22" s="2594"/>
      <c r="J22" s="3412"/>
      <c r="K22" s="3414"/>
      <c r="L22" s="2628" t="s">
        <v>2395</v>
      </c>
      <c r="M22" s="2629"/>
      <c r="N22" s="2629"/>
      <c r="O22" s="2630"/>
      <c r="P22" s="2631">
        <v>365</v>
      </c>
      <c r="Q22" s="2605"/>
      <c r="R22" s="2670">
        <f>ROUND(M22*N22*O22*P22/10000,0)</f>
        <v>0</v>
      </c>
      <c r="S22" s="2586"/>
      <c r="T22" s="2586"/>
      <c r="U22" s="2586"/>
      <c r="V22" s="2594"/>
    </row>
    <row r="23" spans="1:22" s="2598" customFormat="1" ht="13.15" customHeight="1">
      <c r="A23" s="2674">
        <v>1</v>
      </c>
      <c r="B23" s="2675" t="s">
        <v>2396</v>
      </c>
      <c r="C23" s="2676">
        <f>D6</f>
        <v>0</v>
      </c>
      <c r="D23" s="2677">
        <f>C23*(1+D24)</f>
        <v>0</v>
      </c>
      <c r="E23" s="2678">
        <f>D23*(1+E24)</f>
        <v>0</v>
      </c>
      <c r="F23" s="2679"/>
      <c r="G23" s="2680"/>
      <c r="H23" s="2593"/>
      <c r="I23" s="2594"/>
      <c r="J23" s="3412"/>
      <c r="K23" s="3414"/>
      <c r="L23" s="2628" t="s">
        <v>2397</v>
      </c>
      <c r="M23" s="2629"/>
      <c r="N23" s="2629"/>
      <c r="O23" s="2630"/>
      <c r="P23" s="2631">
        <v>365</v>
      </c>
      <c r="Q23" s="2605"/>
      <c r="R23" s="2670">
        <f>ROUND(M23*N23*O23*P23/10000,0)</f>
        <v>0</v>
      </c>
      <c r="S23" s="2586"/>
      <c r="T23" s="2586"/>
      <c r="U23" s="2586"/>
      <c r="V23" s="2594"/>
    </row>
    <row r="24" spans="1:22" s="2598" customFormat="1" ht="13.15" customHeight="1">
      <c r="A24" s="2681"/>
      <c r="B24" s="2682" t="s">
        <v>2398</v>
      </c>
      <c r="C24" s="2683"/>
      <c r="D24" s="2684"/>
      <c r="E24" s="2685"/>
      <c r="F24" s="2686"/>
      <c r="G24" s="2680"/>
      <c r="H24" s="2593"/>
      <c r="I24" s="2594"/>
      <c r="J24" s="3412"/>
      <c r="K24" s="3415"/>
      <c r="L24" s="2648" t="s">
        <v>2359</v>
      </c>
      <c r="M24" s="2649">
        <f>SUM(M21:M23)</f>
        <v>0</v>
      </c>
      <c r="N24" s="2649"/>
      <c r="O24" s="2650"/>
      <c r="P24" s="2663" t="s">
        <v>2423</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2399</v>
      </c>
      <c r="L25" s="2689"/>
      <c r="M25" s="2689"/>
      <c r="N25" s="2689"/>
      <c r="O25" s="2689"/>
      <c r="P25" s="2690"/>
      <c r="Q25" s="2691">
        <v>0</v>
      </c>
      <c r="R25" s="2664">
        <f>ROUND(R14*Q25,0)</f>
        <v>0</v>
      </c>
      <c r="S25" s="2586"/>
      <c r="T25" s="2586"/>
      <c r="U25" s="2586"/>
      <c r="V25" s="2692"/>
    </row>
    <row r="26" spans="1:22" s="2693" customFormat="1" ht="13.15" customHeight="1">
      <c r="A26" s="2674">
        <v>2</v>
      </c>
      <c r="B26" s="2675" t="s">
        <v>2400</v>
      </c>
      <c r="C26" s="2676">
        <f>D7</f>
        <v>0</v>
      </c>
      <c r="D26" s="2677">
        <f>D23*D27</f>
        <v>0</v>
      </c>
      <c r="E26" s="2678">
        <f>E23*E27</f>
        <v>0</v>
      </c>
      <c r="F26" s="2679"/>
      <c r="G26" s="2680"/>
      <c r="H26" s="2593"/>
      <c r="I26" s="2594"/>
      <c r="J26" s="3416">
        <v>5</v>
      </c>
      <c r="K26" s="2694" t="s">
        <v>2401</v>
      </c>
      <c r="L26" s="2695"/>
      <c r="M26" s="2696"/>
      <c r="N26" s="2697" t="s">
        <v>2402</v>
      </c>
      <c r="O26" s="2697" t="s">
        <v>2403</v>
      </c>
      <c r="P26" s="2698" t="s">
        <v>2404</v>
      </c>
      <c r="Q26" s="2698" t="s">
        <v>2405</v>
      </c>
      <c r="R26" s="2603" t="s">
        <v>2330</v>
      </c>
      <c r="S26" s="2637"/>
      <c r="T26" s="2637"/>
      <c r="U26" s="2637"/>
      <c r="V26" s="2692"/>
    </row>
    <row r="27" spans="1:22" s="2598" customFormat="1" ht="13.15" customHeight="1">
      <c r="A27" s="2681"/>
      <c r="B27" s="2682" t="s">
        <v>2406</v>
      </c>
      <c r="C27" s="2699" t="e">
        <f>E7</f>
        <v>#DIV/0!</v>
      </c>
      <c r="D27" s="2684"/>
      <c r="E27" s="2685"/>
      <c r="F27" s="2686"/>
      <c r="G27" s="2680"/>
      <c r="H27" s="2700"/>
      <c r="I27" s="2692"/>
      <c r="J27" s="3417"/>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2407</v>
      </c>
      <c r="F28" s="2686"/>
      <c r="G28" s="2586"/>
      <c r="H28" s="2700"/>
      <c r="I28" s="2692"/>
      <c r="J28" s="2706">
        <v>6</v>
      </c>
      <c r="K28" s="2707" t="s">
        <v>2408</v>
      </c>
      <c r="L28" s="2708" t="s">
        <v>2409</v>
      </c>
      <c r="M28" s="2709"/>
      <c r="N28" s="2708" t="s">
        <v>2410</v>
      </c>
      <c r="O28" s="2710"/>
      <c r="P28" s="2708" t="s">
        <v>2411</v>
      </c>
      <c r="Q28" s="2711">
        <v>1.4999999999999999E-2</v>
      </c>
      <c r="R28" s="2712"/>
      <c r="S28" s="2586"/>
      <c r="T28" s="2586"/>
      <c r="U28" s="2586"/>
      <c r="V28" s="2692"/>
    </row>
    <row r="29" spans="1:22" s="2693" customFormat="1" ht="13.15" customHeight="1">
      <c r="A29" s="2674">
        <v>3</v>
      </c>
      <c r="B29" s="2675" t="s">
        <v>2412</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2406</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2413</v>
      </c>
      <c r="K31" s="2584"/>
      <c r="L31" s="2584"/>
      <c r="M31" s="2584"/>
      <c r="N31" s="2584"/>
      <c r="O31" s="2584"/>
      <c r="P31" s="2584"/>
      <c r="Q31" s="2584"/>
      <c r="R31" s="2585"/>
      <c r="S31" s="2586"/>
      <c r="T31" s="2586"/>
      <c r="U31" s="2586"/>
      <c r="V31" s="2692"/>
    </row>
    <row r="32" spans="1:22" s="2693" customFormat="1" ht="13.15" customHeight="1">
      <c r="A32" s="2674">
        <v>4</v>
      </c>
      <c r="B32" s="2675" t="s">
        <v>2414</v>
      </c>
      <c r="C32" s="2676">
        <f>C23-C26-C29</f>
        <v>0</v>
      </c>
      <c r="D32" s="2677">
        <f>D23-D26-D29</f>
        <v>0</v>
      </c>
      <c r="E32" s="2678">
        <f>E23-E26-E29</f>
        <v>0</v>
      </c>
      <c r="F32" s="2679"/>
      <c r="G32" s="2586"/>
      <c r="H32" s="2593"/>
      <c r="I32" s="2594"/>
      <c r="J32" s="3418" t="s">
        <v>2306</v>
      </c>
      <c r="K32" s="3419"/>
      <c r="L32" s="2595" t="s">
        <v>2307</v>
      </c>
      <c r="M32" s="2595" t="s">
        <v>2308</v>
      </c>
      <c r="N32" s="2595" t="s">
        <v>2309</v>
      </c>
      <c r="O32" s="2595" t="s">
        <v>2310</v>
      </c>
      <c r="P32" s="2595" t="s">
        <v>2311</v>
      </c>
      <c r="Q32" s="2596" t="s">
        <v>2312</v>
      </c>
      <c r="R32" s="2715" t="s">
        <v>2313</v>
      </c>
      <c r="S32" s="2586"/>
      <c r="T32" s="2586"/>
      <c r="U32" s="2586"/>
      <c r="V32" s="2692"/>
    </row>
    <row r="33" spans="1:23" s="2598" customFormat="1" ht="13.15" customHeight="1">
      <c r="A33" s="2674"/>
      <c r="B33" s="2675"/>
      <c r="C33" s="2676"/>
      <c r="D33" s="2716"/>
      <c r="E33" s="2717"/>
      <c r="F33" s="2679"/>
      <c r="G33" s="2586"/>
      <c r="H33" s="2700"/>
      <c r="I33" s="2692"/>
      <c r="J33" s="3420" t="s">
        <v>2316</v>
      </c>
      <c r="K33" s="3421"/>
      <c r="L33" s="2601"/>
      <c r="M33" s="2601"/>
      <c r="N33" s="2601"/>
      <c r="O33" s="2601"/>
      <c r="P33" s="2601"/>
      <c r="Q33" s="2602"/>
      <c r="R33" s="2718">
        <f>SUM(L33:Q33)</f>
        <v>0</v>
      </c>
      <c r="S33" s="2586"/>
      <c r="T33" s="2586"/>
      <c r="U33" s="2586"/>
      <c r="V33" s="2594"/>
    </row>
    <row r="34" spans="1:23" s="2598" customFormat="1" ht="13.15" customHeight="1">
      <c r="A34" s="2674">
        <v>5</v>
      </c>
      <c r="B34" s="2675" t="s">
        <v>2415</v>
      </c>
      <c r="C34" s="2719"/>
      <c r="D34" s="2720"/>
      <c r="E34" s="2721"/>
      <c r="F34" s="2679"/>
      <c r="G34" s="2586"/>
      <c r="H34" s="2700"/>
      <c r="I34" s="2692"/>
      <c r="J34" s="3420" t="s">
        <v>2318</v>
      </c>
      <c r="K34" s="3421"/>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2416</v>
      </c>
      <c r="C35" s="2723"/>
      <c r="D35" s="2724"/>
      <c r="E35" s="2725"/>
      <c r="F35" s="2679"/>
      <c r="G35" s="2726"/>
      <c r="H35" s="2593"/>
      <c r="I35" s="2692"/>
      <c r="J35" s="2612" t="s">
        <v>2320</v>
      </c>
      <c r="K35" s="2613"/>
      <c r="L35" s="2613"/>
      <c r="M35" s="2614"/>
      <c r="N35" s="2614"/>
      <c r="O35" s="2614"/>
      <c r="P35" s="2614"/>
      <c r="Q35" s="2614"/>
      <c r="R35" s="2727">
        <f>R40+R41+R43</f>
        <v>0</v>
      </c>
      <c r="S35" s="2586"/>
      <c r="T35" s="2586" t="s">
        <v>2321</v>
      </c>
      <c r="U35" s="2586"/>
      <c r="V35" s="2594"/>
    </row>
    <row r="36" spans="1:23" s="2598" customFormat="1" ht="13.15" customHeight="1" thickBot="1">
      <c r="A36" s="2674">
        <v>7</v>
      </c>
      <c r="B36" s="2728" t="s">
        <v>2417</v>
      </c>
      <c r="C36" s="2729"/>
      <c r="D36" s="2730"/>
      <c r="E36" s="2731"/>
      <c r="F36" s="2732">
        <f>C36+D36+E36</f>
        <v>0</v>
      </c>
      <c r="G36" s="2586"/>
      <c r="H36" s="2593"/>
      <c r="I36" s="2594"/>
      <c r="J36" s="3412">
        <v>1</v>
      </c>
      <c r="K36" s="3413" t="s">
        <v>2418</v>
      </c>
      <c r="L36" s="2619"/>
      <c r="M36" s="2620"/>
      <c r="N36" s="2620"/>
      <c r="O36" s="2620"/>
      <c r="P36" s="2620"/>
      <c r="Q36" s="2620"/>
      <c r="R36" s="2603" t="s">
        <v>2330</v>
      </c>
      <c r="S36" s="2586"/>
      <c r="T36" s="2586" t="s">
        <v>2331</v>
      </c>
      <c r="U36" s="2586"/>
      <c r="V36" s="2594"/>
    </row>
    <row r="37" spans="1:23" s="2598" customFormat="1" ht="13.15" customHeight="1">
      <c r="A37" s="2674"/>
      <c r="B37" s="2675"/>
      <c r="C37" s="2675"/>
      <c r="D37" s="2675"/>
      <c r="E37" s="2675"/>
      <c r="F37" s="2679"/>
      <c r="G37" s="2586"/>
      <c r="H37" s="2593"/>
      <c r="I37" s="2594"/>
      <c r="J37" s="3412"/>
      <c r="K37" s="3414"/>
      <c r="L37" s="2628"/>
      <c r="M37" s="2629"/>
      <c r="N37" s="2605"/>
      <c r="O37" s="2630"/>
      <c r="P37" s="2630"/>
      <c r="Q37" s="2631"/>
      <c r="R37" s="2632"/>
      <c r="S37" s="2586"/>
      <c r="T37" s="2586" t="s">
        <v>2334</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12"/>
      <c r="K38" s="3414"/>
      <c r="L38" s="2628"/>
      <c r="M38" s="2629"/>
      <c r="N38" s="2605"/>
      <c r="O38" s="2630"/>
      <c r="P38" s="2630"/>
      <c r="Q38" s="2631"/>
      <c r="R38" s="2632"/>
      <c r="S38" s="2586"/>
      <c r="T38" s="2586" t="s">
        <v>2341</v>
      </c>
      <c r="U38" s="2586"/>
      <c r="V38" s="2594"/>
    </row>
    <row r="39" spans="1:23" s="2598" customFormat="1" ht="13.15" customHeight="1">
      <c r="A39" s="2674">
        <v>9</v>
      </c>
      <c r="B39" s="2675" t="s">
        <v>2419</v>
      </c>
      <c r="C39" s="2642" t="e">
        <f>C38</f>
        <v>#DIV/0!</v>
      </c>
      <c r="D39" s="2675">
        <f>D38/(1+D34)^C36</f>
        <v>0</v>
      </c>
      <c r="E39" s="2675">
        <f>E38/(1+E34)^(C36+D36)</f>
        <v>0</v>
      </c>
      <c r="F39" s="2679"/>
      <c r="G39" s="2594"/>
      <c r="H39" s="2593"/>
      <c r="I39" s="2594"/>
      <c r="J39" s="3412"/>
      <c r="K39" s="3414"/>
      <c r="L39" s="2628"/>
      <c r="M39" s="2629"/>
      <c r="N39" s="2605"/>
      <c r="O39" s="2630"/>
      <c r="P39" s="2630"/>
      <c r="Q39" s="2631"/>
      <c r="R39" s="2632"/>
      <c r="S39" s="2586"/>
      <c r="T39" s="2586"/>
      <c r="U39" s="2586"/>
      <c r="V39" s="2594"/>
    </row>
    <row r="40" spans="1:23" s="2598" customFormat="1" ht="13.15" customHeight="1">
      <c r="A40" s="2733">
        <v>10</v>
      </c>
      <c r="B40" s="2675" t="s">
        <v>2420</v>
      </c>
      <c r="C40" s="2734" t="e">
        <f>C39+D39+E39</f>
        <v>#DIV/0!</v>
      </c>
      <c r="D40" s="2735"/>
      <c r="E40" s="2735"/>
      <c r="F40" s="2736"/>
      <c r="G40" s="2586"/>
      <c r="H40" s="2593"/>
      <c r="I40" s="2594"/>
      <c r="J40" s="3412"/>
      <c r="K40" s="3415"/>
      <c r="L40" s="2648" t="s">
        <v>2359</v>
      </c>
      <c r="M40" s="2649"/>
      <c r="N40" s="2649"/>
      <c r="O40" s="2650"/>
      <c r="P40" s="2650"/>
      <c r="Q40" s="2651"/>
      <c r="R40" s="2597">
        <f>SUM(R37:R39)</f>
        <v>0</v>
      </c>
      <c r="S40" s="2586"/>
      <c r="T40" s="2586"/>
      <c r="U40" s="2586"/>
      <c r="V40" s="2594"/>
    </row>
    <row r="41" spans="1:23" s="2598" customFormat="1" ht="13.15" customHeight="1" thickBot="1">
      <c r="A41" s="2737">
        <v>11</v>
      </c>
      <c r="B41" s="2738" t="s">
        <v>2421</v>
      </c>
      <c r="C41" s="2738" t="e">
        <f>ROUND(C40*10000/B4,0)</f>
        <v>#DIV/0!</v>
      </c>
      <c r="D41" s="2739"/>
      <c r="E41" s="2739"/>
      <c r="F41" s="2740"/>
      <c r="G41" s="2593"/>
      <c r="H41" s="2593"/>
      <c r="I41" s="2594"/>
      <c r="J41" s="2687">
        <v>2</v>
      </c>
      <c r="K41" s="2688" t="s">
        <v>2399</v>
      </c>
      <c r="L41" s="2689"/>
      <c r="M41" s="2689"/>
      <c r="N41" s="2689"/>
      <c r="O41" s="2689"/>
      <c r="P41" s="2690"/>
      <c r="Q41" s="2691"/>
      <c r="R41" s="2664">
        <f>ROUND(R40*Q41,0)</f>
        <v>0</v>
      </c>
      <c r="S41" s="2586"/>
      <c r="T41" s="2586"/>
      <c r="U41" s="2637"/>
      <c r="V41" s="2594"/>
    </row>
    <row r="42" spans="1:23" s="2598" customFormat="1" ht="13.15" customHeight="1">
      <c r="G42" s="2593"/>
      <c r="H42" s="2593"/>
      <c r="I42" s="2594"/>
      <c r="J42" s="3416">
        <v>3</v>
      </c>
      <c r="K42" s="2694" t="s">
        <v>2401</v>
      </c>
      <c r="L42" s="2695"/>
      <c r="M42" s="2696"/>
      <c r="N42" s="2697" t="s">
        <v>2402</v>
      </c>
      <c r="O42" s="2697" t="s">
        <v>2403</v>
      </c>
      <c r="P42" s="2698" t="s">
        <v>2404</v>
      </c>
      <c r="Q42" s="2698" t="s">
        <v>2405</v>
      </c>
      <c r="R42" s="2603" t="s">
        <v>2330</v>
      </c>
      <c r="S42" s="2637"/>
      <c r="T42" s="2637"/>
      <c r="U42" s="2586"/>
      <c r="V42" s="2594"/>
    </row>
    <row r="43" spans="1:23" ht="13.15" customHeight="1">
      <c r="A43" s="2598"/>
      <c r="B43" s="2598"/>
      <c r="C43" s="2598"/>
      <c r="D43" s="2598"/>
      <c r="E43" s="2598"/>
      <c r="F43" s="2598"/>
      <c r="I43" s="2581"/>
      <c r="J43" s="3417"/>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2408</v>
      </c>
      <c r="L44" s="2743" t="s">
        <v>2409</v>
      </c>
      <c r="M44" s="2709"/>
      <c r="N44" s="2743" t="s">
        <v>2410</v>
      </c>
      <c r="O44" s="2709"/>
      <c r="P44" s="2743" t="s">
        <v>2411</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18" t="s">
        <v>1655</v>
      </c>
      <c r="B1" s="1719"/>
      <c r="C1" s="1719"/>
      <c r="D1" s="1719"/>
      <c r="E1" s="1720"/>
      <c r="F1" s="2473"/>
      <c r="G1" s="458"/>
      <c r="H1" s="458"/>
      <c r="I1" s="458"/>
      <c r="J1" s="458"/>
      <c r="K1" s="458"/>
      <c r="L1" s="458"/>
      <c r="M1" s="458"/>
      <c r="N1" s="458"/>
      <c r="O1" s="458"/>
      <c r="P1" s="458"/>
      <c r="Q1" s="458"/>
      <c r="R1" s="458"/>
      <c r="S1" s="458"/>
    </row>
    <row r="2" spans="1:22" ht="15.75">
      <c r="A2" s="1721" t="s">
        <v>1459</v>
      </c>
      <c r="B2" s="807">
        <f ca="1">SUMIF(B6:B13,"&lt;&gt;#ref!",B6:B13)</f>
        <v>66007.570800000001</v>
      </c>
      <c r="C2" s="1722" t="s">
        <v>1648</v>
      </c>
      <c r="D2" s="1723" t="s">
        <v>1649</v>
      </c>
      <c r="E2" s="2386">
        <f>SUM(E6:E13)</f>
        <v>57154.04</v>
      </c>
      <c r="F2" s="2473"/>
      <c r="G2" s="458"/>
      <c r="H2" s="458"/>
      <c r="I2" s="458"/>
      <c r="J2" s="458"/>
      <c r="K2" s="458"/>
      <c r="L2" s="458"/>
      <c r="M2" s="458"/>
      <c r="N2" s="458"/>
      <c r="O2" s="458"/>
      <c r="P2" s="458"/>
      <c r="Q2" s="458"/>
      <c r="R2" s="458"/>
      <c r="S2" s="458"/>
    </row>
    <row r="3" spans="1:22" ht="15.75">
      <c r="A3" s="1721" t="s">
        <v>683</v>
      </c>
      <c r="B3" s="2380">
        <f ca="1">ROUND(B2*10000/E2,0)</f>
        <v>11549</v>
      </c>
      <c r="C3" s="1722" t="s">
        <v>1656</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2" t="s">
        <v>1650</v>
      </c>
      <c r="B5" s="3431" t="s">
        <v>1651</v>
      </c>
      <c r="C5" s="3432"/>
      <c r="D5" s="2474"/>
      <c r="E5" s="1724" t="s">
        <v>1652</v>
      </c>
      <c r="F5" s="128" t="s">
        <v>1653</v>
      </c>
      <c r="G5" s="458"/>
      <c r="H5" s="458"/>
      <c r="I5" s="458"/>
      <c r="J5" s="458"/>
      <c r="K5" s="458"/>
      <c r="L5" s="458"/>
      <c r="M5" s="458"/>
      <c r="N5" s="458"/>
      <c r="O5" s="458"/>
      <c r="P5" s="458"/>
      <c r="Q5" s="458"/>
      <c r="R5" s="458"/>
      <c r="S5" s="458"/>
    </row>
    <row r="6" spans="1:22">
      <c r="A6" s="2383" t="str">
        <f>'数据-取费表'!AN6</f>
        <v>商业收益法</v>
      </c>
      <c r="B6" s="2381">
        <f ca="1">IF(F6="是",'数据-取费表'!AO6,0)</f>
        <v>65148</v>
      </c>
      <c r="C6" s="1722" t="s">
        <v>1648</v>
      </c>
      <c r="D6" s="2473"/>
      <c r="E6" s="2385">
        <f>IF(OR(A6=0,F6="否"),0,'数据-取费表'!K6+'数据-取费表'!S6)</f>
        <v>56346.270000000004</v>
      </c>
      <c r="F6" s="1725" t="s">
        <v>1654</v>
      </c>
      <c r="G6" s="458"/>
      <c r="H6" s="458"/>
      <c r="I6" s="458"/>
      <c r="J6" s="458"/>
      <c r="K6" s="458"/>
      <c r="L6" s="458"/>
      <c r="M6" s="458"/>
      <c r="N6" s="458"/>
      <c r="O6" s="458"/>
      <c r="P6" s="458"/>
      <c r="Q6" s="458"/>
      <c r="R6" s="458"/>
      <c r="S6" s="458"/>
    </row>
    <row r="7" spans="1:22">
      <c r="A7" s="2383" t="str">
        <f>'数据-取费表'!AN7</f>
        <v>办公收益法</v>
      </c>
      <c r="B7" s="2381">
        <f ca="1">IF(F7="是",'数据-取费表'!AO7,0)</f>
        <v>852</v>
      </c>
      <c r="C7" s="1722" t="s">
        <v>1648</v>
      </c>
      <c r="D7" s="2473"/>
      <c r="E7" s="2385">
        <f>IF(OR(A7=0,F7="否"),0,'数据-取费表'!K7+'数据-取费表'!S7)</f>
        <v>754.84</v>
      </c>
      <c r="F7" s="1725" t="s">
        <v>1654</v>
      </c>
      <c r="G7" s="458"/>
      <c r="H7" s="458"/>
      <c r="I7" s="458"/>
      <c r="J7" s="458"/>
      <c r="K7" s="458"/>
      <c r="L7" s="458"/>
      <c r="M7" s="458"/>
      <c r="N7" s="458"/>
      <c r="O7" s="458"/>
      <c r="P7" s="458"/>
      <c r="Q7" s="458"/>
      <c r="R7" s="458"/>
      <c r="S7" s="458"/>
    </row>
    <row r="8" spans="1:22">
      <c r="A8" s="2383" t="str">
        <f>'数据-取费表'!AN8</f>
        <v>车库收益法 (元)</v>
      </c>
      <c r="B8" s="2381">
        <f ca="1">IF(F8="是",'数据-取费表'!AO8,0)</f>
        <v>7.5708000000000002</v>
      </c>
      <c r="C8" s="1722" t="s">
        <v>1648</v>
      </c>
      <c r="D8" s="2473"/>
      <c r="E8" s="2385">
        <f>IF(OR(A8=0,F8="否"),0,'数据-取费表'!K8+'数据-取费表'!S8)</f>
        <v>52.93</v>
      </c>
      <c r="F8" s="1725" t="s">
        <v>1654</v>
      </c>
      <c r="G8" s="458"/>
      <c r="H8" s="458"/>
      <c r="I8" s="458"/>
      <c r="J8" s="458"/>
      <c r="K8" s="458"/>
      <c r="L8" s="458"/>
      <c r="M8" s="458"/>
      <c r="N8" s="458"/>
      <c r="O8" s="458"/>
      <c r="P8" s="458"/>
      <c r="Q8" s="458"/>
      <c r="R8" s="458"/>
      <c r="S8" s="458"/>
    </row>
    <row r="9" spans="1:22">
      <c r="A9" s="2383">
        <f>'数据-取费表'!AN9</f>
        <v>0</v>
      </c>
      <c r="B9" s="2381" t="e">
        <f ca="1">IF(F9="是",'数据-取费表'!AO9,0)</f>
        <v>#REF!</v>
      </c>
      <c r="C9" s="1722" t="s">
        <v>1648</v>
      </c>
      <c r="D9" s="2473"/>
      <c r="E9" s="2385">
        <f>IF(OR(A9=0,F9="否"),0,'数据-取费表'!K9+'数据-取费表'!S9)</f>
        <v>0</v>
      </c>
      <c r="F9" s="1725" t="s">
        <v>1654</v>
      </c>
      <c r="G9" s="458"/>
      <c r="H9" s="458"/>
      <c r="I9" s="458"/>
      <c r="J9" s="458"/>
      <c r="K9" s="458"/>
      <c r="L9" s="458"/>
      <c r="M9" s="458"/>
      <c r="N9" s="458"/>
      <c r="O9" s="458"/>
      <c r="P9" s="458"/>
      <c r="Q9" s="458"/>
      <c r="R9" s="458"/>
      <c r="S9" s="458"/>
    </row>
    <row r="10" spans="1:22">
      <c r="A10" s="2383">
        <f>'数据-取费表'!AN10</f>
        <v>0</v>
      </c>
      <c r="B10" s="2381" t="e">
        <f ca="1">IF(F10="是",'数据-取费表'!AO10,0)</f>
        <v>#REF!</v>
      </c>
      <c r="C10" s="1722" t="s">
        <v>1648</v>
      </c>
      <c r="D10" s="2473"/>
      <c r="E10" s="2385">
        <f>IF(OR(A10=0,F10="否"),0,'数据-取费表'!K10+'数据-取费表'!S10)</f>
        <v>0</v>
      </c>
      <c r="F10" s="1725" t="s">
        <v>1654</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2" t="s">
        <v>1648</v>
      </c>
      <c r="D11" s="2473"/>
      <c r="E11" s="2385">
        <f>IF(OR(A11=0,F11="否"),0,'数据-取费表'!K11+'数据-取费表'!S11)</f>
        <v>0</v>
      </c>
      <c r="F11" s="1725" t="s">
        <v>1654</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2" t="s">
        <v>1648</v>
      </c>
      <c r="D12" s="2473"/>
      <c r="E12" s="2385">
        <f>IF(OR(A12=0,F12="否"),0,'数据-取费表'!K12+'数据-取费表'!S12)</f>
        <v>0</v>
      </c>
      <c r="F12" s="1725" t="s">
        <v>1654</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26" t="s">
        <v>1648</v>
      </c>
      <c r="D13" s="2475"/>
      <c r="E13" s="2385">
        <f>IF(OR(A13=0,F13="否"),0,'数据-取费表'!K13+'数据-取费表'!S13)</f>
        <v>0</v>
      </c>
      <c r="F13" s="1725"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1657</v>
      </c>
      <c r="B1" s="1727" t="s">
        <v>1658</v>
      </c>
      <c r="C1" s="1150" t="s">
        <v>1659</v>
      </c>
      <c r="D1" s="1137"/>
      <c r="E1" s="3118"/>
      <c r="F1" s="1728"/>
      <c r="G1" s="1147" t="s">
        <v>1660</v>
      </c>
      <c r="H1" s="1146"/>
      <c r="I1" s="1146"/>
      <c r="J1" s="1146"/>
      <c r="K1" s="1148"/>
      <c r="L1" s="1149"/>
      <c r="M1" s="1150"/>
      <c r="N1" s="1150"/>
      <c r="O1" s="1150"/>
      <c r="P1" s="1729"/>
      <c r="Q1" s="1136"/>
      <c r="R1" s="1136"/>
      <c r="S1" s="1136"/>
      <c r="T1" s="1136"/>
      <c r="U1" s="1136"/>
      <c r="V1" s="1136"/>
      <c r="W1" s="1136"/>
      <c r="X1" s="1136"/>
      <c r="Y1" s="1136"/>
      <c r="Z1" s="1136"/>
      <c r="AA1" s="1136"/>
      <c r="AB1" s="1136"/>
      <c r="AC1" s="1144"/>
    </row>
    <row r="2" spans="1:29" s="337" customFormat="1" ht="28.5" customHeight="1" thickTop="1">
      <c r="A2" s="1133" t="s">
        <v>682</v>
      </c>
      <c r="B2" s="3119" t="b">
        <f>IF(E1="项目模式",IF(C2="——",ROUND(C49*D3/10000,0),ROUND(C49*D3/10000,0)-D2),IF(E1="单套模式",IF(C2="——",ROUND(C49*D3/10000,4),ROUND(C49*D3/10000,4)-D2)))</f>
        <v>0</v>
      </c>
      <c r="C2" s="1730"/>
      <c r="D2" s="1047" t="e">
        <f ca="1">IF(E1="项目模式",SUMIF(INDIRECT("'"&amp;F2&amp;"'"&amp;"!A:A"),"承租人权益价值",INDIRECT("'"&amp;F2&amp;"'"&amp;"!c:c")),SUMIF(INDIRECT("'"&amp;F2&amp;"'"&amp;"!A:A"),"承租人权益价值（单套）",INDIRECT("'"&amp;F2&amp;"'"&amp;"!c:c")))</f>
        <v>#REF!</v>
      </c>
      <c r="E2" s="1731" t="s">
        <v>1661</v>
      </c>
      <c r="F2" s="1732"/>
      <c r="G2" s="850"/>
      <c r="H2" s="850"/>
      <c r="I2" s="850"/>
      <c r="J2" s="850"/>
      <c r="K2" s="1733"/>
      <c r="L2" s="2478"/>
      <c r="M2" s="2479"/>
      <c r="N2" s="2479"/>
      <c r="O2" s="2479"/>
      <c r="P2" s="1734"/>
      <c r="Q2" s="1735"/>
      <c r="R2" s="1735"/>
      <c r="S2" s="1735"/>
      <c r="T2" s="1735"/>
      <c r="U2" s="1735"/>
      <c r="V2" s="1735"/>
      <c r="W2" s="1735"/>
      <c r="X2" s="1735"/>
      <c r="Y2" s="1735"/>
      <c r="Z2" s="1735"/>
      <c r="AA2" s="1735"/>
      <c r="AB2" s="1735"/>
      <c r="AC2" s="993"/>
    </row>
    <row r="3" spans="1:29" s="337" customFormat="1" ht="28.5" customHeight="1" thickBot="1">
      <c r="A3" s="194" t="s">
        <v>683</v>
      </c>
      <c r="B3" s="342">
        <f>IF(C2="——",C49,ROUND(B2*10000/D3,0))</f>
        <v>0</v>
      </c>
      <c r="C3" s="343" t="s">
        <v>1662</v>
      </c>
      <c r="D3" s="342">
        <f>IF(D1="",'数据-汇总表'!E3,SUMIF('数据-汇总表'!$C19:$C33,D1,'数据-汇总表'!$E19:$E33))</f>
        <v>232700.46000000008</v>
      </c>
      <c r="E3" s="850"/>
      <c r="F3" s="1736"/>
      <c r="G3" s="850"/>
      <c r="H3" s="850"/>
      <c r="I3" s="850"/>
      <c r="J3" s="850"/>
      <c r="K3" s="1733"/>
      <c r="L3" s="2478"/>
      <c r="M3" s="2479"/>
      <c r="N3" s="2479"/>
      <c r="O3" s="2479"/>
      <c r="P3" s="1734"/>
      <c r="Q3" s="1735"/>
      <c r="R3" s="1735"/>
      <c r="S3" s="1735"/>
      <c r="T3" s="1735"/>
      <c r="U3" s="1735"/>
      <c r="V3" s="1735"/>
      <c r="W3" s="1735"/>
      <c r="X3" s="1735"/>
      <c r="Y3" s="1735"/>
      <c r="Z3" s="1735"/>
      <c r="AA3" s="1735"/>
      <c r="AB3" s="1735"/>
      <c r="AC3" s="993"/>
    </row>
    <row r="4" spans="1:29" ht="15">
      <c r="A4" s="344" t="s">
        <v>1663</v>
      </c>
      <c r="B4" s="345"/>
      <c r="C4" s="3451" t="s">
        <v>1664</v>
      </c>
      <c r="D4" s="3452"/>
      <c r="E4" s="3453" t="s">
        <v>1665</v>
      </c>
      <c r="F4" s="3454"/>
      <c r="G4" s="3451" t="s">
        <v>1666</v>
      </c>
      <c r="H4" s="3452"/>
      <c r="I4" s="3451" t="s">
        <v>1667</v>
      </c>
      <c r="J4" s="3452"/>
      <c r="K4" s="1737" t="s">
        <v>1668</v>
      </c>
      <c r="L4" s="2480"/>
      <c r="M4" s="2481"/>
      <c r="N4" s="2481"/>
      <c r="O4" s="2481"/>
      <c r="P4" s="3455" t="s">
        <v>1669</v>
      </c>
      <c r="Q4" s="3456"/>
      <c r="R4" s="3461" t="s">
        <v>1665</v>
      </c>
      <c r="S4" s="3462"/>
      <c r="T4" s="3461" t="s">
        <v>1666</v>
      </c>
      <c r="U4" s="3462"/>
      <c r="V4" s="3437" t="s">
        <v>1667</v>
      </c>
      <c r="W4" s="3437"/>
      <c r="X4" s="1258"/>
      <c r="Y4" s="3461" t="s">
        <v>1669</v>
      </c>
      <c r="Z4" s="3462"/>
      <c r="AA4" s="3448" t="s">
        <v>1665</v>
      </c>
      <c r="AB4" s="3448" t="s">
        <v>1666</v>
      </c>
      <c r="AC4" s="3448" t="s">
        <v>1667</v>
      </c>
    </row>
    <row r="5" spans="1:29" ht="15">
      <c r="A5" s="347"/>
      <c r="B5" s="348"/>
      <c r="C5" s="3469" t="s">
        <v>1670</v>
      </c>
      <c r="D5" s="3470"/>
      <c r="E5" s="3476" t="s">
        <v>1671</v>
      </c>
      <c r="F5" s="3477"/>
      <c r="G5" s="3469" t="s">
        <v>1672</v>
      </c>
      <c r="H5" s="3470"/>
      <c r="I5" s="3469" t="s">
        <v>1673</v>
      </c>
      <c r="J5" s="3470"/>
      <c r="K5" s="1738"/>
      <c r="L5" s="2480"/>
      <c r="M5" s="2481"/>
      <c r="N5" s="2481"/>
      <c r="O5" s="2481"/>
      <c r="P5" s="3457"/>
      <c r="Q5" s="3458"/>
      <c r="R5" s="3463"/>
      <c r="S5" s="3464"/>
      <c r="T5" s="3463"/>
      <c r="U5" s="3464"/>
      <c r="V5" s="3437"/>
      <c r="W5" s="3437"/>
      <c r="X5" s="1258"/>
      <c r="Y5" s="3463"/>
      <c r="Z5" s="3464"/>
      <c r="AA5" s="3449"/>
      <c r="AB5" s="3449"/>
      <c r="AC5" s="3449"/>
    </row>
    <row r="6" spans="1:29" ht="15.75" thickBot="1">
      <c r="A6" s="349"/>
      <c r="B6" s="350"/>
      <c r="C6" s="3467" t="s">
        <v>1674</v>
      </c>
      <c r="D6" s="3468"/>
      <c r="E6" s="3474" t="s">
        <v>1674</v>
      </c>
      <c r="F6" s="3475"/>
      <c r="G6" s="3467" t="s">
        <v>1674</v>
      </c>
      <c r="H6" s="3468"/>
      <c r="I6" s="3467" t="s">
        <v>1674</v>
      </c>
      <c r="J6" s="3468"/>
      <c r="K6" s="1738" t="s">
        <v>1675</v>
      </c>
      <c r="L6" s="2480"/>
      <c r="M6" s="2481"/>
      <c r="N6" s="2481"/>
      <c r="O6" s="2481"/>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SUMIF(58:58,YEAR(E7)&amp;"-"&amp;MONTH(E7),59:59)</f>
        <v>0</v>
      </c>
      <c r="G7" s="355"/>
      <c r="H7" s="354">
        <f>SUMIF(58:58,YEAR(G7)&amp;"-"&amp;MONTH(G7),59:59)</f>
        <v>0</v>
      </c>
      <c r="I7" s="355"/>
      <c r="J7" s="354">
        <f>SUMIF(58:58,YEAR(I7)&amp;"-"&amp;MONTH(I7),59:59)</f>
        <v>0</v>
      </c>
      <c r="K7" s="1739"/>
      <c r="L7" s="2482"/>
      <c r="M7" s="2433"/>
      <c r="N7" s="2433"/>
      <c r="O7" s="2433"/>
      <c r="P7" s="3471" t="s">
        <v>1677</v>
      </c>
      <c r="Q7" s="3473"/>
      <c r="R7" s="662" t="s">
        <v>20</v>
      </c>
      <c r="S7" s="663">
        <f t="shared" ref="S7:S15" si="0">F7</f>
        <v>0</v>
      </c>
      <c r="T7" s="662" t="s">
        <v>20</v>
      </c>
      <c r="U7" s="663">
        <f t="shared" ref="U7:U15" si="1">H7</f>
        <v>0</v>
      </c>
      <c r="V7" s="662" t="s">
        <v>20</v>
      </c>
      <c r="W7" s="663">
        <f t="shared" ref="W7:W15" si="2">J7</f>
        <v>0</v>
      </c>
      <c r="X7" s="664"/>
      <c r="Y7" s="3471" t="s">
        <v>1677</v>
      </c>
      <c r="Z7" s="3472"/>
      <c r="AA7" s="50" t="e">
        <f>D7/F7</f>
        <v>#DIV/0!</v>
      </c>
      <c r="AB7" s="50" t="e">
        <f>D7/H7</f>
        <v>#DIV/0!</v>
      </c>
      <c r="AC7" s="50" t="e">
        <f>D7/J7</f>
        <v>#DIV/0!</v>
      </c>
    </row>
    <row r="8" spans="1:29" s="102" customFormat="1" ht="15.75" thickBot="1">
      <c r="A8" s="351" t="s">
        <v>1678</v>
      </c>
      <c r="B8" s="352"/>
      <c r="C8" s="357"/>
      <c r="D8" s="354">
        <v>100</v>
      </c>
      <c r="E8" s="1740"/>
      <c r="F8" s="356">
        <f>SUMIF(61:61,E8,62:62)-SUMIF(61:61,C8,62:62)+100</f>
        <v>100</v>
      </c>
      <c r="G8" s="357"/>
      <c r="H8" s="354">
        <f>SUMIF(61:61,G8,62:62)-SUMIF(61:61,C8,62:62)+100</f>
        <v>100</v>
      </c>
      <c r="I8" s="1740"/>
      <c r="J8" s="354">
        <f>SUMIF(61:61,I8,62:62)-SUMIF(61:61,C8,62:62)+100</f>
        <v>100</v>
      </c>
      <c r="K8" s="1739"/>
      <c r="L8" s="2482"/>
      <c r="M8" s="2433"/>
      <c r="N8" s="2433"/>
      <c r="O8" s="2433"/>
      <c r="P8" s="3471" t="s">
        <v>1680</v>
      </c>
      <c r="Q8" s="3472"/>
      <c r="R8" s="662" t="s">
        <v>20</v>
      </c>
      <c r="S8" s="663">
        <f t="shared" si="0"/>
        <v>100</v>
      </c>
      <c r="T8" s="662" t="s">
        <v>20</v>
      </c>
      <c r="U8" s="663">
        <f t="shared" si="1"/>
        <v>100</v>
      </c>
      <c r="V8" s="662" t="s">
        <v>20</v>
      </c>
      <c r="W8" s="663">
        <f t="shared" si="2"/>
        <v>100</v>
      </c>
      <c r="X8" s="664"/>
      <c r="Y8" s="3471" t="s">
        <v>1680</v>
      </c>
      <c r="Z8" s="3472"/>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39"/>
      <c r="L9" s="2482"/>
      <c r="M9" s="2433"/>
      <c r="N9" s="2433"/>
      <c r="O9" s="2433"/>
      <c r="P9" s="3447"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50">
        <f t="shared" si="5"/>
        <v>1</v>
      </c>
    </row>
    <row r="10" spans="1:29" s="365" customFormat="1" ht="27">
      <c r="A10" s="362"/>
      <c r="B10" s="363" t="s">
        <v>1685</v>
      </c>
      <c r="C10" s="3126"/>
      <c r="D10" s="118">
        <v>100</v>
      </c>
      <c r="E10" s="3127"/>
      <c r="F10" s="363">
        <f>SUMIF(65:65,E10,66:66)-SUMIF(65:65,C10,66:66)+100</f>
        <v>100</v>
      </c>
      <c r="G10" s="3126"/>
      <c r="H10" s="118">
        <f>SUMIF(65:65,G10,66:66)-SUMIF(65:65,C10,66:66)+100</f>
        <v>100</v>
      </c>
      <c r="I10" s="3126"/>
      <c r="J10" s="118">
        <f>SUMIF(65:65,I10,66:66)-SUMIF(65:65,C10,66:66)+100</f>
        <v>100</v>
      </c>
      <c r="K10" s="1739"/>
      <c r="L10" s="2483"/>
      <c r="M10" s="2484"/>
      <c r="N10" s="2484"/>
      <c r="O10" s="2484"/>
      <c r="P10" s="3447"/>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47"/>
      <c r="Q11" s="529" t="str">
        <f t="shared" si="6"/>
        <v>容积率</v>
      </c>
      <c r="R11" s="662" t="s">
        <v>18</v>
      </c>
      <c r="S11" s="663" t="e">
        <f t="shared" si="0"/>
        <v>#N/A</v>
      </c>
      <c r="T11" s="662" t="s">
        <v>18</v>
      </c>
      <c r="U11" s="663" t="e">
        <f t="shared" si="1"/>
        <v>#N/A</v>
      </c>
      <c r="V11" s="662" t="s">
        <v>18</v>
      </c>
      <c r="W11" s="663" t="e">
        <f t="shared" si="2"/>
        <v>#N/A</v>
      </c>
      <c r="X11" s="664"/>
      <c r="Y11" s="329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1"/>
      <c r="L12" s="2482"/>
      <c r="M12" s="2433"/>
      <c r="N12" s="2433"/>
      <c r="O12" s="2433"/>
      <c r="P12" s="3447"/>
      <c r="Q12" s="529">
        <f t="shared" si="6"/>
        <v>111</v>
      </c>
      <c r="R12" s="662" t="s">
        <v>18</v>
      </c>
      <c r="S12" s="663">
        <f t="shared" si="0"/>
        <v>100</v>
      </c>
      <c r="T12" s="662" t="s">
        <v>18</v>
      </c>
      <c r="U12" s="663">
        <f t="shared" si="1"/>
        <v>100</v>
      </c>
      <c r="V12" s="662" t="s">
        <v>18</v>
      </c>
      <c r="W12" s="663">
        <f t="shared" si="2"/>
        <v>100</v>
      </c>
      <c r="X12" s="664"/>
      <c r="Y12" s="329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1"/>
      <c r="L13" s="2486"/>
      <c r="M13" s="2481"/>
      <c r="N13" s="2481"/>
      <c r="O13" s="2481"/>
      <c r="P13" s="3447"/>
      <c r="Q13" s="529">
        <f t="shared" si="6"/>
        <v>111</v>
      </c>
      <c r="R13" s="662" t="s">
        <v>18</v>
      </c>
      <c r="S13" s="663">
        <f t="shared" si="0"/>
        <v>100</v>
      </c>
      <c r="T13" s="662" t="s">
        <v>18</v>
      </c>
      <c r="U13" s="663">
        <f t="shared" si="1"/>
        <v>100</v>
      </c>
      <c r="V13" s="662" t="s">
        <v>18</v>
      </c>
      <c r="W13" s="663">
        <f t="shared" si="2"/>
        <v>100</v>
      </c>
      <c r="X13" s="664"/>
      <c r="Y13" s="3292"/>
      <c r="Z13" s="50">
        <f t="shared" si="7"/>
        <v>111</v>
      </c>
      <c r="AA13" s="50">
        <f t="shared" si="3"/>
        <v>1</v>
      </c>
      <c r="AB13" s="50">
        <f t="shared" si="4"/>
        <v>1</v>
      </c>
      <c r="AC13" s="50">
        <f t="shared" si="5"/>
        <v>1</v>
      </c>
    </row>
    <row r="14" spans="1:29" ht="15.75" thickBot="1">
      <c r="A14" s="374"/>
      <c r="B14" s="1742">
        <v>111</v>
      </c>
      <c r="C14" s="375"/>
      <c r="D14" s="376">
        <v>100</v>
      </c>
      <c r="E14" s="375"/>
      <c r="F14" s="377">
        <f>SUMIF(74:74,E14,75:75)-SUMIF(74:74,C14,75:75)+100</f>
        <v>100</v>
      </c>
      <c r="G14" s="375"/>
      <c r="H14" s="376">
        <f>SUMIF(74:74,G14,75:75)-SUMIF(74:74,C14,75:75)+100</f>
        <v>100</v>
      </c>
      <c r="I14" s="375"/>
      <c r="J14" s="376">
        <f>SUMIF(74:74,I14,75:75)-SUMIF(74:74,C14,75:75)+100</f>
        <v>100</v>
      </c>
      <c r="K14" s="1741"/>
      <c r="L14" s="2486"/>
      <c r="M14" s="2481"/>
      <c r="N14" s="2481"/>
      <c r="O14" s="2481"/>
      <c r="P14" s="3447"/>
      <c r="Q14" s="529">
        <f t="shared" si="6"/>
        <v>111</v>
      </c>
      <c r="R14" s="662" t="s">
        <v>18</v>
      </c>
      <c r="S14" s="663">
        <f t="shared" si="0"/>
        <v>100</v>
      </c>
      <c r="T14" s="662" t="s">
        <v>18</v>
      </c>
      <c r="U14" s="663">
        <f t="shared" si="1"/>
        <v>100</v>
      </c>
      <c r="V14" s="662" t="s">
        <v>18</v>
      </c>
      <c r="W14" s="663">
        <f t="shared" si="2"/>
        <v>100</v>
      </c>
      <c r="X14" s="664"/>
      <c r="Y14" s="3292"/>
      <c r="Z14" s="50">
        <f t="shared" si="7"/>
        <v>111</v>
      </c>
      <c r="AA14" s="50">
        <f t="shared" si="3"/>
        <v>1</v>
      </c>
      <c r="AB14" s="50">
        <f t="shared" si="4"/>
        <v>1</v>
      </c>
      <c r="AC14" s="50">
        <f t="shared" si="5"/>
        <v>1</v>
      </c>
    </row>
    <row r="15" spans="1:29" ht="15">
      <c r="A15" s="378" t="s">
        <v>1687</v>
      </c>
      <c r="B15" s="58" t="s">
        <v>1254</v>
      </c>
      <c r="C15" s="1743">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45" t="s">
        <v>1688</v>
      </c>
      <c r="Q15" s="1256" t="str">
        <f t="shared" si="6"/>
        <v>居住社区成熟度</v>
      </c>
      <c r="R15" s="665" t="s">
        <v>18</v>
      </c>
      <c r="S15" s="666">
        <f t="shared" si="0"/>
        <v>100</v>
      </c>
      <c r="T15" s="665" t="s">
        <v>18</v>
      </c>
      <c r="U15" s="666">
        <f t="shared" si="1"/>
        <v>100</v>
      </c>
      <c r="V15" s="665" t="s">
        <v>18</v>
      </c>
      <c r="W15" s="666">
        <f t="shared" si="2"/>
        <v>100</v>
      </c>
      <c r="X15" s="1258"/>
      <c r="Y15" s="3438" t="s">
        <v>1688</v>
      </c>
      <c r="Z15" s="1257" t="str">
        <f t="shared" si="7"/>
        <v>居住社区成熟度</v>
      </c>
      <c r="AA15" s="1257">
        <f t="shared" si="3"/>
        <v>1</v>
      </c>
      <c r="AB15" s="1257">
        <f t="shared" si="4"/>
        <v>1</v>
      </c>
      <c r="AC15" s="1257">
        <f t="shared" si="5"/>
        <v>1</v>
      </c>
    </row>
    <row r="16" spans="1:29" ht="15">
      <c r="A16" s="366"/>
      <c r="B16" s="384"/>
      <c r="C16" s="385"/>
      <c r="D16" s="386"/>
      <c r="E16" s="1744"/>
      <c r="F16" s="386"/>
      <c r="G16" s="1745"/>
      <c r="H16" s="388"/>
      <c r="I16" s="1745"/>
      <c r="J16" s="386"/>
      <c r="K16" s="1746"/>
      <c r="L16" s="2486"/>
      <c r="M16" s="2481"/>
      <c r="N16" s="2481"/>
      <c r="O16" s="2481"/>
      <c r="P16" s="3446"/>
      <c r="Q16" s="1256"/>
      <c r="R16" s="665"/>
      <c r="S16" s="666"/>
      <c r="T16" s="665"/>
      <c r="U16" s="666"/>
      <c r="V16" s="665"/>
      <c r="W16" s="666"/>
      <c r="X16" s="1258"/>
      <c r="Y16" s="3439"/>
      <c r="Z16" s="1257"/>
      <c r="AA16" s="1257">
        <v>1</v>
      </c>
      <c r="AB16" s="1257">
        <v>1</v>
      </c>
      <c r="AC16" s="1257">
        <v>1</v>
      </c>
    </row>
    <row r="17" spans="1:29" ht="15">
      <c r="A17" s="366"/>
      <c r="B17" s="389" t="s">
        <v>1256</v>
      </c>
      <c r="C17" s="1747">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46"/>
      <c r="Q17" s="1256" t="str">
        <f>B17</f>
        <v>交通便捷度</v>
      </c>
      <c r="R17" s="665" t="s">
        <v>18</v>
      </c>
      <c r="S17" s="666">
        <f>F17</f>
        <v>100</v>
      </c>
      <c r="T17" s="665" t="s">
        <v>18</v>
      </c>
      <c r="U17" s="666">
        <f>H17</f>
        <v>100</v>
      </c>
      <c r="V17" s="665" t="s">
        <v>18</v>
      </c>
      <c r="W17" s="666">
        <f>J17</f>
        <v>100</v>
      </c>
      <c r="X17" s="1258"/>
      <c r="Y17" s="3439"/>
      <c r="Z17" s="1257" t="str">
        <f>Q17</f>
        <v>交通便捷度</v>
      </c>
      <c r="AA17" s="1257">
        <f t="shared" si="3"/>
        <v>1</v>
      </c>
      <c r="AB17" s="1257">
        <f t="shared" si="4"/>
        <v>1</v>
      </c>
      <c r="AC17" s="1257">
        <f t="shared" si="5"/>
        <v>1</v>
      </c>
    </row>
    <row r="18" spans="1:29" ht="15">
      <c r="A18" s="366"/>
      <c r="B18" s="394"/>
      <c r="C18" s="1748"/>
      <c r="D18" s="388"/>
      <c r="E18" s="1749"/>
      <c r="F18" s="388"/>
      <c r="G18" s="1750"/>
      <c r="H18" s="386"/>
      <c r="I18" s="1750"/>
      <c r="J18" s="386"/>
      <c r="K18" s="1746"/>
      <c r="L18" s="2486"/>
      <c r="M18" s="2481"/>
      <c r="N18" s="2481"/>
      <c r="O18" s="2481"/>
      <c r="P18" s="3446"/>
      <c r="Q18" s="1256"/>
      <c r="R18" s="665"/>
      <c r="S18" s="666"/>
      <c r="T18" s="665"/>
      <c r="U18" s="666"/>
      <c r="V18" s="665"/>
      <c r="W18" s="666"/>
      <c r="X18" s="1258"/>
      <c r="Y18" s="3439"/>
      <c r="Z18" s="1257"/>
      <c r="AA18" s="1257">
        <v>1</v>
      </c>
      <c r="AB18" s="1257">
        <v>1</v>
      </c>
      <c r="AC18" s="1257">
        <v>1</v>
      </c>
    </row>
    <row r="19" spans="1:29" ht="15">
      <c r="A19" s="366"/>
      <c r="B19" s="389" t="s">
        <v>1255</v>
      </c>
      <c r="C19" s="1747">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46"/>
      <c r="Q19" s="1256" t="str">
        <f>B19</f>
        <v>公共配套设施</v>
      </c>
      <c r="R19" s="665" t="s">
        <v>18</v>
      </c>
      <c r="S19" s="666">
        <f>F19</f>
        <v>100</v>
      </c>
      <c r="T19" s="665" t="s">
        <v>18</v>
      </c>
      <c r="U19" s="666">
        <f>H19</f>
        <v>100</v>
      </c>
      <c r="V19" s="665" t="s">
        <v>18</v>
      </c>
      <c r="W19" s="666">
        <f>J19</f>
        <v>100</v>
      </c>
      <c r="X19" s="1258"/>
      <c r="Y19" s="3439"/>
      <c r="Z19" s="1257" t="str">
        <f>Q19</f>
        <v>公共配套设施</v>
      </c>
      <c r="AA19" s="1257">
        <f t="shared" si="3"/>
        <v>1</v>
      </c>
      <c r="AB19" s="1257">
        <f t="shared" si="4"/>
        <v>1</v>
      </c>
      <c r="AC19" s="1257">
        <f t="shared" si="5"/>
        <v>1</v>
      </c>
    </row>
    <row r="20" spans="1:29" ht="15">
      <c r="A20" s="366"/>
      <c r="B20" s="394"/>
      <c r="C20" s="385"/>
      <c r="D20" s="386"/>
      <c r="E20" s="1744"/>
      <c r="F20" s="386"/>
      <c r="G20" s="1745"/>
      <c r="H20" s="386"/>
      <c r="I20" s="1745"/>
      <c r="J20" s="386"/>
      <c r="K20" s="1746"/>
      <c r="L20" s="2486"/>
      <c r="M20" s="2481"/>
      <c r="N20" s="2481"/>
      <c r="O20" s="2481"/>
      <c r="P20" s="3446"/>
      <c r="Q20" s="1256"/>
      <c r="R20" s="665"/>
      <c r="S20" s="666"/>
      <c r="T20" s="665"/>
      <c r="U20" s="666"/>
      <c r="V20" s="665"/>
      <c r="W20" s="666"/>
      <c r="X20" s="1258"/>
      <c r="Y20" s="3439"/>
      <c r="Z20" s="1257"/>
      <c r="AA20" s="1257">
        <v>1</v>
      </c>
      <c r="AB20" s="1257">
        <v>1</v>
      </c>
      <c r="AC20" s="1257">
        <v>1</v>
      </c>
    </row>
    <row r="21" spans="1:29" ht="15">
      <c r="A21" s="366"/>
      <c r="B21" s="584" t="s">
        <v>1257</v>
      </c>
      <c r="C21" s="1747">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46"/>
      <c r="Q21" s="1256" t="str">
        <f>B21</f>
        <v>基础设施水平</v>
      </c>
      <c r="R21" s="665" t="s">
        <v>14</v>
      </c>
      <c r="S21" s="666">
        <f>F21</f>
        <v>100</v>
      </c>
      <c r="T21" s="665" t="s">
        <v>14</v>
      </c>
      <c r="U21" s="666">
        <f>H21</f>
        <v>100</v>
      </c>
      <c r="V21" s="665" t="s">
        <v>14</v>
      </c>
      <c r="W21" s="666">
        <f>J21</f>
        <v>100</v>
      </c>
      <c r="X21" s="1258"/>
      <c r="Y21" s="3439"/>
      <c r="Z21" s="1257" t="str">
        <f>Q21</f>
        <v>基础设施水平</v>
      </c>
      <c r="AA21" s="1257">
        <f t="shared" ref="AA21" si="8">D21/F21</f>
        <v>1</v>
      </c>
      <c r="AB21" s="1257">
        <f t="shared" ref="AB21" si="9">D21/H21</f>
        <v>1</v>
      </c>
      <c r="AC21" s="1257">
        <f t="shared" ref="AC21" si="10">D21/J21</f>
        <v>1</v>
      </c>
    </row>
    <row r="22" spans="1:29" ht="15">
      <c r="A22" s="366"/>
      <c r="B22" s="584"/>
      <c r="C22" s="1748"/>
      <c r="D22" s="386"/>
      <c r="E22" s="385"/>
      <c r="F22" s="386"/>
      <c r="G22" s="1751"/>
      <c r="H22" s="386"/>
      <c r="I22" s="385"/>
      <c r="J22" s="386"/>
      <c r="K22" s="1752"/>
      <c r="L22" s="2486"/>
      <c r="M22" s="2481"/>
      <c r="N22" s="2481"/>
      <c r="O22" s="2481"/>
      <c r="P22" s="3446"/>
      <c r="Q22" s="1256"/>
      <c r="R22" s="665"/>
      <c r="S22" s="666"/>
      <c r="T22" s="665"/>
      <c r="U22" s="666"/>
      <c r="V22" s="665"/>
      <c r="W22" s="666"/>
      <c r="X22" s="1258"/>
      <c r="Y22" s="3439"/>
      <c r="Z22" s="1257"/>
      <c r="AA22" s="1257">
        <v>1</v>
      </c>
      <c r="AB22" s="1257">
        <v>1</v>
      </c>
      <c r="AC22" s="1257">
        <v>1</v>
      </c>
    </row>
    <row r="23" spans="1:29" ht="15">
      <c r="A23" s="366"/>
      <c r="B23" s="389" t="s">
        <v>1258</v>
      </c>
      <c r="C23" s="1747">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46"/>
      <c r="Q23" s="1256" t="str">
        <f>B23</f>
        <v>自然及人文环境</v>
      </c>
      <c r="R23" s="665" t="s">
        <v>18</v>
      </c>
      <c r="S23" s="666">
        <f>F23</f>
        <v>100</v>
      </c>
      <c r="T23" s="665" t="s">
        <v>18</v>
      </c>
      <c r="U23" s="666">
        <f>H23</f>
        <v>100</v>
      </c>
      <c r="V23" s="665" t="s">
        <v>18</v>
      </c>
      <c r="W23" s="666">
        <f>J23</f>
        <v>100</v>
      </c>
      <c r="X23" s="1258"/>
      <c r="Y23" s="3439"/>
      <c r="Z23" s="1257" t="str">
        <f>Q23</f>
        <v>自然及人文环境</v>
      </c>
      <c r="AA23" s="1257">
        <f>D23/F23</f>
        <v>1</v>
      </c>
      <c r="AB23" s="1257">
        <f>D23/H23</f>
        <v>1</v>
      </c>
      <c r="AC23" s="1257">
        <f>D23/J23</f>
        <v>1</v>
      </c>
    </row>
    <row r="24" spans="1:29" ht="15">
      <c r="A24" s="366"/>
      <c r="B24" s="394"/>
      <c r="C24" s="385"/>
      <c r="D24" s="386"/>
      <c r="E24" s="1744"/>
      <c r="F24" s="386"/>
      <c r="G24" s="1745"/>
      <c r="H24" s="386"/>
      <c r="I24" s="1745"/>
      <c r="J24" s="386"/>
      <c r="K24" s="1746"/>
      <c r="L24" s="2486"/>
      <c r="M24" s="2481"/>
      <c r="N24" s="2481"/>
      <c r="O24" s="2481"/>
      <c r="P24" s="3446"/>
      <c r="Q24" s="1256"/>
      <c r="R24" s="665"/>
      <c r="S24" s="666"/>
      <c r="T24" s="665"/>
      <c r="U24" s="666"/>
      <c r="V24" s="665"/>
      <c r="W24" s="666"/>
      <c r="X24" s="1258"/>
      <c r="Y24" s="3439"/>
      <c r="Z24" s="1257"/>
      <c r="AA24" s="1257">
        <v>1</v>
      </c>
      <c r="AB24" s="1257">
        <v>1</v>
      </c>
      <c r="AC24" s="1257">
        <v>1</v>
      </c>
    </row>
    <row r="25" spans="1:29" ht="15">
      <c r="A25" s="366"/>
      <c r="B25" s="363" t="s">
        <v>1689</v>
      </c>
      <c r="C25" s="398"/>
      <c r="D25" s="373">
        <v>100</v>
      </c>
      <c r="E25" s="1753"/>
      <c r="F25" s="373">
        <f>SUMIF(86:86,E25,87:87)-SUMIF(86:86,C25,87:87)+100</f>
        <v>100</v>
      </c>
      <c r="G25" s="1754"/>
      <c r="H25" s="373">
        <f>SUMIF(86:86,G25,87:87)-SUMIF(86:86,C25,87:87)+100</f>
        <v>100</v>
      </c>
      <c r="I25" s="1754"/>
      <c r="J25" s="373">
        <f>SUMIF(86:86,I25,87:87)-SUMIF(86:86,C25,87:87)+100</f>
        <v>100</v>
      </c>
      <c r="K25" s="364"/>
      <c r="L25" s="2486"/>
      <c r="M25" s="2481"/>
      <c r="N25" s="2481"/>
      <c r="O25" s="2481"/>
      <c r="P25" s="3446"/>
      <c r="Q25" s="1256" t="str">
        <f t="shared" ref="Q25:Q46" si="11">B25</f>
        <v>楼层-1</v>
      </c>
      <c r="R25" s="665" t="s">
        <v>18</v>
      </c>
      <c r="S25" s="666">
        <f t="shared" ref="S25:S46" si="12">F25</f>
        <v>100</v>
      </c>
      <c r="T25" s="665" t="s">
        <v>18</v>
      </c>
      <c r="U25" s="666">
        <f t="shared" ref="U25:U46" si="13">H25</f>
        <v>100</v>
      </c>
      <c r="V25" s="665" t="s">
        <v>18</v>
      </c>
      <c r="W25" s="666">
        <f t="shared" ref="W25:W46" si="14">J25</f>
        <v>100</v>
      </c>
      <c r="X25" s="1258"/>
      <c r="Y25" s="3439"/>
      <c r="Z25" s="1257" t="str">
        <f>Q25</f>
        <v>楼层-1</v>
      </c>
      <c r="AA25" s="1257">
        <f t="shared" ref="AA25:AA46" si="15">D25/F25</f>
        <v>1</v>
      </c>
      <c r="AB25" s="1257">
        <f t="shared" ref="AB25:AB46" si="16">D25/H25</f>
        <v>1</v>
      </c>
      <c r="AC25" s="1257">
        <f t="shared" ref="AC25:AC46" si="17">D25/J25</f>
        <v>1</v>
      </c>
    </row>
    <row r="26" spans="1:29" ht="15">
      <c r="A26" s="366"/>
      <c r="B26" s="363" t="s">
        <v>1690</v>
      </c>
      <c r="C26" s="398"/>
      <c r="D26" s="373">
        <v>100</v>
      </c>
      <c r="E26" s="1753"/>
      <c r="F26" s="373">
        <f>SUMIF(88:88,E26,89:89)-SUMIF(88:88,C26,89:89)+100</f>
        <v>100</v>
      </c>
      <c r="G26" s="1754"/>
      <c r="H26" s="373">
        <f>SUMIF(88:88,G26,89:89)-SUMIF(88:88,C26,89:89)+100</f>
        <v>100</v>
      </c>
      <c r="I26" s="1754"/>
      <c r="J26" s="373">
        <f>SUMIF(88:88,I26,89:89)-SUMIF(88:88,C26,89:89)+100</f>
        <v>100</v>
      </c>
      <c r="K26" s="364"/>
      <c r="L26" s="2486"/>
      <c r="M26" s="2481"/>
      <c r="N26" s="2481"/>
      <c r="O26" s="2481"/>
      <c r="P26" s="3446"/>
      <c r="Q26" s="1256" t="str">
        <f t="shared" si="11"/>
        <v>朝向</v>
      </c>
      <c r="R26" s="665" t="s">
        <v>18</v>
      </c>
      <c r="S26" s="666">
        <f t="shared" si="12"/>
        <v>100</v>
      </c>
      <c r="T26" s="665" t="s">
        <v>18</v>
      </c>
      <c r="U26" s="666">
        <f t="shared" si="13"/>
        <v>100</v>
      </c>
      <c r="V26" s="665" t="s">
        <v>18</v>
      </c>
      <c r="W26" s="666">
        <f t="shared" si="14"/>
        <v>100</v>
      </c>
      <c r="X26" s="1258"/>
      <c r="Y26" s="3439"/>
      <c r="Z26" s="1257" t="str">
        <f>Q26</f>
        <v>朝向</v>
      </c>
      <c r="AA26" s="1257">
        <f t="shared" si="15"/>
        <v>1</v>
      </c>
      <c r="AB26" s="1257">
        <f t="shared" si="16"/>
        <v>1</v>
      </c>
      <c r="AC26" s="1257">
        <f t="shared" si="17"/>
        <v>1</v>
      </c>
    </row>
    <row r="27" spans="1:29" s="102" customFormat="1" ht="15">
      <c r="A27" s="369"/>
      <c r="B27" s="1061">
        <v>111</v>
      </c>
      <c r="C27" s="370"/>
      <c r="D27" s="400">
        <v>100</v>
      </c>
      <c r="E27" s="402"/>
      <c r="F27" s="400">
        <f>SUMIF(90:90,E27,91:91)-SUMIF(90:90,C27,91:91)+100</f>
        <v>100</v>
      </c>
      <c r="G27" s="401"/>
      <c r="H27" s="400">
        <f>SUMIF(90:90,G27,91:91)-SUMIF(90:90,C27,91:91)+100</f>
        <v>100</v>
      </c>
      <c r="I27" s="401"/>
      <c r="J27" s="400">
        <f>SUMIF(90:90,I27,91:91)-SUMIF(90:90,C27,91:91)+100</f>
        <v>100</v>
      </c>
      <c r="K27" s="1741"/>
      <c r="L27" s="2482"/>
      <c r="M27" s="2433"/>
      <c r="N27" s="2433"/>
      <c r="O27" s="2433"/>
      <c r="P27" s="3446"/>
      <c r="Q27" s="529">
        <f t="shared" si="11"/>
        <v>111</v>
      </c>
      <c r="R27" s="662" t="s">
        <v>18</v>
      </c>
      <c r="S27" s="663">
        <f t="shared" si="12"/>
        <v>100</v>
      </c>
      <c r="T27" s="662" t="s">
        <v>18</v>
      </c>
      <c r="U27" s="663">
        <f t="shared" si="13"/>
        <v>100</v>
      </c>
      <c r="V27" s="662" t="s">
        <v>18</v>
      </c>
      <c r="W27" s="663">
        <f t="shared" si="14"/>
        <v>100</v>
      </c>
      <c r="X27" s="664"/>
      <c r="Y27" s="3439"/>
      <c r="Z27" s="50">
        <f>Q27</f>
        <v>111</v>
      </c>
      <c r="AA27" s="1257">
        <f t="shared" si="15"/>
        <v>1</v>
      </c>
      <c r="AB27" s="1257">
        <f t="shared" si="16"/>
        <v>1</v>
      </c>
      <c r="AC27" s="1257">
        <f t="shared" si="17"/>
        <v>1</v>
      </c>
    </row>
    <row r="28" spans="1:29" ht="15">
      <c r="A28" s="366"/>
      <c r="B28" s="1061">
        <v>111</v>
      </c>
      <c r="C28" s="372"/>
      <c r="D28" s="373">
        <v>100</v>
      </c>
      <c r="E28" s="372"/>
      <c r="F28" s="373">
        <f>SUMIF(92:92,E28,93:93)-SUMIF(92:92,C28,93:93)+100</f>
        <v>100</v>
      </c>
      <c r="G28" s="1755"/>
      <c r="H28" s="373">
        <f>SUMIF(92:92,G28,93:93)-SUMIF(92:92,C28,93:93)+100</f>
        <v>100</v>
      </c>
      <c r="I28" s="372"/>
      <c r="J28" s="373">
        <f>SUMIF(92:92,I28,93:93)-SUMIF(92:92,C28,93:93)+100</f>
        <v>100</v>
      </c>
      <c r="K28" s="1741"/>
      <c r="L28" s="2486"/>
      <c r="M28" s="2481"/>
      <c r="N28" s="2481"/>
      <c r="O28" s="2481"/>
      <c r="P28" s="3446"/>
      <c r="Q28" s="1256">
        <f t="shared" si="11"/>
        <v>111</v>
      </c>
      <c r="R28" s="665" t="s">
        <v>18</v>
      </c>
      <c r="S28" s="666">
        <f t="shared" si="12"/>
        <v>100</v>
      </c>
      <c r="T28" s="665" t="s">
        <v>18</v>
      </c>
      <c r="U28" s="666">
        <f t="shared" si="13"/>
        <v>100</v>
      </c>
      <c r="V28" s="665" t="s">
        <v>18</v>
      </c>
      <c r="W28" s="666">
        <f t="shared" si="14"/>
        <v>100</v>
      </c>
      <c r="X28" s="1258"/>
      <c r="Y28" s="3439"/>
      <c r="Z28" s="1257">
        <f t="shared" ref="Z28:Z46" si="18">Q28</f>
        <v>111</v>
      </c>
      <c r="AA28" s="1257">
        <f t="shared" si="15"/>
        <v>1</v>
      </c>
      <c r="AB28" s="1257">
        <f t="shared" si="16"/>
        <v>1</v>
      </c>
      <c r="AC28" s="1257">
        <f t="shared" si="17"/>
        <v>1</v>
      </c>
    </row>
    <row r="29" spans="1:29" ht="15">
      <c r="A29" s="366"/>
      <c r="B29" s="1061">
        <v>111</v>
      </c>
      <c r="C29" s="372"/>
      <c r="D29" s="373">
        <v>100</v>
      </c>
      <c r="E29" s="372"/>
      <c r="F29" s="373">
        <f>SUMIF(94:94,E29,95:95)-SUMIF(94:94,C29,95:95)+100</f>
        <v>100</v>
      </c>
      <c r="G29" s="1755"/>
      <c r="H29" s="373">
        <f>SUMIF(94:94,G29,95:95)-SUMIF(94:94,C29,95:95)+100</f>
        <v>100</v>
      </c>
      <c r="I29" s="372"/>
      <c r="J29" s="373">
        <f>SUMIF(94:94,I29,95:95)-SUMIF(94:94,C29,95:95)+100</f>
        <v>100</v>
      </c>
      <c r="K29" s="1741"/>
      <c r="L29" s="2486"/>
      <c r="M29" s="2481"/>
      <c r="N29" s="2481"/>
      <c r="O29" s="2481"/>
      <c r="P29" s="3446"/>
      <c r="Q29" s="1256">
        <f t="shared" si="11"/>
        <v>111</v>
      </c>
      <c r="R29" s="665" t="s">
        <v>18</v>
      </c>
      <c r="S29" s="666">
        <f t="shared" si="12"/>
        <v>100</v>
      </c>
      <c r="T29" s="665" t="s">
        <v>18</v>
      </c>
      <c r="U29" s="666">
        <f t="shared" si="13"/>
        <v>100</v>
      </c>
      <c r="V29" s="665" t="s">
        <v>18</v>
      </c>
      <c r="W29" s="666">
        <f t="shared" si="14"/>
        <v>100</v>
      </c>
      <c r="X29" s="1258"/>
      <c r="Y29" s="3439"/>
      <c r="Z29" s="1257">
        <f t="shared" si="18"/>
        <v>111</v>
      </c>
      <c r="AA29" s="1257">
        <f t="shared" si="15"/>
        <v>1</v>
      </c>
      <c r="AB29" s="1257">
        <f t="shared" si="16"/>
        <v>1</v>
      </c>
      <c r="AC29" s="1257">
        <f t="shared" si="17"/>
        <v>1</v>
      </c>
    </row>
    <row r="30" spans="1:29" ht="15">
      <c r="A30" s="366"/>
      <c r="B30" s="1061">
        <v>111</v>
      </c>
      <c r="C30" s="372"/>
      <c r="D30" s="373">
        <v>100</v>
      </c>
      <c r="E30" s="372"/>
      <c r="F30" s="373">
        <f>SUMIF(96:96,E30,97:97)-SUMIF(96:96,C30,97:97)+100</f>
        <v>100</v>
      </c>
      <c r="G30" s="1755"/>
      <c r="H30" s="373">
        <f>SUMIF(96:96,G30,97:97)-SUMIF(96:96,C30,97:97)+100</f>
        <v>100</v>
      </c>
      <c r="I30" s="372"/>
      <c r="J30" s="373">
        <f>SUMIF(96:96,I30,97:97)-SUMIF(96:96,C30,97:97)+100</f>
        <v>100</v>
      </c>
      <c r="K30" s="1741"/>
      <c r="L30" s="2486"/>
      <c r="M30" s="2481"/>
      <c r="N30" s="2481"/>
      <c r="O30" s="2481"/>
      <c r="P30" s="3446"/>
      <c r="Q30" s="1256">
        <f t="shared" si="11"/>
        <v>111</v>
      </c>
      <c r="R30" s="665" t="s">
        <v>18</v>
      </c>
      <c r="S30" s="666">
        <f t="shared" si="12"/>
        <v>100</v>
      </c>
      <c r="T30" s="665" t="s">
        <v>18</v>
      </c>
      <c r="U30" s="666">
        <f t="shared" si="13"/>
        <v>100</v>
      </c>
      <c r="V30" s="665" t="s">
        <v>18</v>
      </c>
      <c r="W30" s="666">
        <f t="shared" si="14"/>
        <v>100</v>
      </c>
      <c r="X30" s="1258"/>
      <c r="Y30" s="3439"/>
      <c r="Z30" s="1257">
        <f t="shared" si="18"/>
        <v>111</v>
      </c>
      <c r="AA30" s="1257">
        <f t="shared" si="15"/>
        <v>1</v>
      </c>
      <c r="AB30" s="1257">
        <f t="shared" si="16"/>
        <v>1</v>
      </c>
      <c r="AC30" s="1257">
        <f t="shared" si="17"/>
        <v>1</v>
      </c>
    </row>
    <row r="31" spans="1:29" ht="15.75" thickBot="1">
      <c r="A31" s="374"/>
      <c r="B31" s="1061">
        <v>111</v>
      </c>
      <c r="C31" s="375"/>
      <c r="D31" s="376">
        <v>100</v>
      </c>
      <c r="E31" s="375"/>
      <c r="F31" s="376">
        <f>SUMIF(98:98,E31,99:99)-SUMIF(98:98,C31,99:99)+100</f>
        <v>100</v>
      </c>
      <c r="G31" s="1756"/>
      <c r="H31" s="376">
        <f>SUMIF(98:98,G31,99:99)-SUMIF(98:98,C31,99:99)+100</f>
        <v>100</v>
      </c>
      <c r="I31" s="375"/>
      <c r="J31" s="376">
        <f>SUMIF(98:98,I31,99:99)-SUMIF(98:98,C31,99:99)+100</f>
        <v>100</v>
      </c>
      <c r="K31" s="1741"/>
      <c r="L31" s="2486"/>
      <c r="M31" s="2481"/>
      <c r="N31" s="2481"/>
      <c r="O31" s="2481"/>
      <c r="P31" s="3446"/>
      <c r="Q31" s="1256">
        <f t="shared" si="11"/>
        <v>111</v>
      </c>
      <c r="R31" s="665" t="s">
        <v>18</v>
      </c>
      <c r="S31" s="666">
        <f t="shared" si="12"/>
        <v>100</v>
      </c>
      <c r="T31" s="665" t="s">
        <v>18</v>
      </c>
      <c r="U31" s="666">
        <f t="shared" si="13"/>
        <v>100</v>
      </c>
      <c r="V31" s="665" t="s">
        <v>18</v>
      </c>
      <c r="W31" s="666">
        <f t="shared" si="14"/>
        <v>100</v>
      </c>
      <c r="X31" s="1258"/>
      <c r="Y31" s="3439"/>
      <c r="Z31" s="1257">
        <f t="shared" si="18"/>
        <v>111</v>
      </c>
      <c r="AA31" s="1257">
        <f t="shared" si="15"/>
        <v>1</v>
      </c>
      <c r="AB31" s="1257">
        <f t="shared" si="16"/>
        <v>1</v>
      </c>
      <c r="AC31" s="1257">
        <f t="shared" si="17"/>
        <v>1</v>
      </c>
    </row>
    <row r="32" spans="1:29" ht="15">
      <c r="A32" s="378" t="s">
        <v>1691</v>
      </c>
      <c r="B32" s="60" t="s">
        <v>1692</v>
      </c>
      <c r="C32" s="1757"/>
      <c r="D32" s="404">
        <v>100</v>
      </c>
      <c r="E32" s="1758"/>
      <c r="F32" s="399">
        <f>SUMIF(100:100,E32,101:101)-SUMIF(100:100,C32,101:101)+100</f>
        <v>100</v>
      </c>
      <c r="G32" s="1757"/>
      <c r="H32" s="404">
        <f>SUMIF(100:100,G32,101:101)-SUMIF(100:100,C32,101:101)+100</f>
        <v>100</v>
      </c>
      <c r="I32" s="1758"/>
      <c r="J32" s="373">
        <f>SUMIF(100:100,I32,101:101)-SUMIF(100:100,C32,101:101)+100</f>
        <v>100</v>
      </c>
      <c r="K32" s="364"/>
      <c r="L32" s="2486"/>
      <c r="M32" s="2481"/>
      <c r="N32" s="2481"/>
      <c r="O32" s="2481"/>
      <c r="P32" s="3440" t="s">
        <v>1693</v>
      </c>
      <c r="Q32" s="1256" t="str">
        <f t="shared" si="11"/>
        <v>建筑类型</v>
      </c>
      <c r="R32" s="665" t="s">
        <v>18</v>
      </c>
      <c r="S32" s="666">
        <f t="shared" si="12"/>
        <v>100</v>
      </c>
      <c r="T32" s="665" t="s">
        <v>18</v>
      </c>
      <c r="U32" s="666">
        <f t="shared" si="13"/>
        <v>100</v>
      </c>
      <c r="V32" s="665" t="s">
        <v>18</v>
      </c>
      <c r="W32" s="666">
        <f t="shared" si="14"/>
        <v>100</v>
      </c>
      <c r="X32" s="1258"/>
      <c r="Y32" s="3443" t="s">
        <v>1693</v>
      </c>
      <c r="Z32" s="1257" t="str">
        <f t="shared" si="18"/>
        <v>建筑类型</v>
      </c>
      <c r="AA32" s="1257">
        <f t="shared" si="15"/>
        <v>1</v>
      </c>
      <c r="AB32" s="1257">
        <f t="shared" si="16"/>
        <v>1</v>
      </c>
      <c r="AC32" s="1257">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1"/>
      <c r="L33" s="2485"/>
      <c r="M33" s="2487"/>
      <c r="N33" s="2487"/>
      <c r="O33" s="2487"/>
      <c r="P33" s="3441"/>
      <c r="Q33" s="530" t="str">
        <f t="shared" si="11"/>
        <v>项目建筑规模</v>
      </c>
      <c r="R33" s="667" t="s">
        <v>18</v>
      </c>
      <c r="S33" s="668" t="e">
        <f t="shared" si="12"/>
        <v>#N/A</v>
      </c>
      <c r="T33" s="667" t="s">
        <v>18</v>
      </c>
      <c r="U33" s="668" t="e">
        <f t="shared" si="13"/>
        <v>#N/A</v>
      </c>
      <c r="V33" s="667" t="s">
        <v>18</v>
      </c>
      <c r="W33" s="668" t="e">
        <f t="shared" si="14"/>
        <v>#N/A</v>
      </c>
      <c r="X33" s="669"/>
      <c r="Y33" s="3443"/>
      <c r="Z33" s="670" t="str">
        <f t="shared" si="18"/>
        <v>项目建筑规模</v>
      </c>
      <c r="AA33" s="1257" t="e">
        <f t="shared" si="15"/>
        <v>#N/A</v>
      </c>
      <c r="AB33" s="1257" t="e">
        <f t="shared" si="16"/>
        <v>#N/A</v>
      </c>
      <c r="AC33" s="1257" t="e">
        <f t="shared" si="17"/>
        <v>#N/A</v>
      </c>
    </row>
    <row r="34" spans="1:29" ht="15">
      <c r="A34" s="408"/>
      <c r="B34" s="363" t="s">
        <v>1695</v>
      </c>
      <c r="C34" s="398"/>
      <c r="D34" s="373">
        <v>100</v>
      </c>
      <c r="E34" s="1759"/>
      <c r="F34" s="399">
        <f>SUMIF(105:105,E34,106:106)-SUMIF(105:105,C34,106:106)+100</f>
        <v>100</v>
      </c>
      <c r="G34" s="398"/>
      <c r="H34" s="373">
        <f>SUMIF(105:105,G34,106:106)-SUMIF(105:105,C34,106:106)+100</f>
        <v>100</v>
      </c>
      <c r="I34" s="1759"/>
      <c r="J34" s="373">
        <f>SUMIF(105:105,I34,106:106)-SUMIF(105:105,C34,106:106)+100</f>
        <v>100</v>
      </c>
      <c r="K34" s="364"/>
      <c r="L34" s="2486"/>
      <c r="M34" s="2481"/>
      <c r="N34" s="2481"/>
      <c r="O34" s="2481"/>
      <c r="P34" s="3441"/>
      <c r="Q34" s="1256" t="str">
        <f t="shared" si="11"/>
        <v>建筑结构</v>
      </c>
      <c r="R34" s="665" t="s">
        <v>18</v>
      </c>
      <c r="S34" s="666">
        <f t="shared" si="12"/>
        <v>100</v>
      </c>
      <c r="T34" s="665" t="s">
        <v>18</v>
      </c>
      <c r="U34" s="666">
        <f t="shared" si="13"/>
        <v>100</v>
      </c>
      <c r="V34" s="665" t="s">
        <v>18</v>
      </c>
      <c r="W34" s="666">
        <f t="shared" si="14"/>
        <v>100</v>
      </c>
      <c r="X34" s="1258"/>
      <c r="Y34" s="3443"/>
      <c r="Z34" s="1257" t="str">
        <f t="shared" si="18"/>
        <v>建筑结构</v>
      </c>
      <c r="AA34" s="1257">
        <f t="shared" si="15"/>
        <v>1</v>
      </c>
      <c r="AB34" s="1257">
        <f t="shared" si="16"/>
        <v>1</v>
      </c>
      <c r="AC34" s="1257">
        <f t="shared" si="17"/>
        <v>1</v>
      </c>
    </row>
    <row r="35" spans="1:29" ht="15">
      <c r="A35" s="408"/>
      <c r="B35" s="363" t="s">
        <v>1696</v>
      </c>
      <c r="C35" s="1753"/>
      <c r="D35" s="373">
        <v>100</v>
      </c>
      <c r="E35" s="1754"/>
      <c r="F35" s="399">
        <f>SUMIF(107:107,E35,108:108)-SUMIF(107:107,C35,108:108)+100</f>
        <v>100</v>
      </c>
      <c r="G35" s="1753"/>
      <c r="H35" s="373">
        <f>SUMIF(107:107,G35,108:108)-SUMIF(107:107,C35,108:108)+100</f>
        <v>100</v>
      </c>
      <c r="I35" s="1754"/>
      <c r="J35" s="373">
        <f>SUMIF(107:107,I35,108:108)-SUMIF(107:107,C35,108:108)+100</f>
        <v>100</v>
      </c>
      <c r="K35" s="364"/>
      <c r="L35" s="2486"/>
      <c r="M35" s="2481"/>
      <c r="N35" s="2481"/>
      <c r="O35" s="2481"/>
      <c r="P35" s="3441"/>
      <c r="Q35" s="1256" t="str">
        <f t="shared" si="11"/>
        <v>建筑品质</v>
      </c>
      <c r="R35" s="665" t="s">
        <v>18</v>
      </c>
      <c r="S35" s="666">
        <f t="shared" si="12"/>
        <v>100</v>
      </c>
      <c r="T35" s="665" t="s">
        <v>18</v>
      </c>
      <c r="U35" s="666">
        <f t="shared" si="13"/>
        <v>100</v>
      </c>
      <c r="V35" s="665" t="s">
        <v>18</v>
      </c>
      <c r="W35" s="666">
        <f t="shared" si="14"/>
        <v>100</v>
      </c>
      <c r="X35" s="1258"/>
      <c r="Y35" s="3443"/>
      <c r="Z35" s="1257" t="str">
        <f t="shared" si="18"/>
        <v>建筑品质</v>
      </c>
      <c r="AA35" s="1257">
        <f t="shared" si="15"/>
        <v>1</v>
      </c>
      <c r="AB35" s="1257">
        <f t="shared" si="16"/>
        <v>1</v>
      </c>
      <c r="AC35" s="1257">
        <f t="shared" si="17"/>
        <v>1</v>
      </c>
    </row>
    <row r="36" spans="1:29" ht="15">
      <c r="A36" s="408"/>
      <c r="B36" s="363" t="s">
        <v>1697</v>
      </c>
      <c r="C36" s="1753"/>
      <c r="D36" s="373">
        <v>100</v>
      </c>
      <c r="E36" s="1754"/>
      <c r="F36" s="399">
        <f>SUMIF(109:109,E36,110:110)-SUMIF(109:109,C36,110:110)+100</f>
        <v>100</v>
      </c>
      <c r="G36" s="1753"/>
      <c r="H36" s="373">
        <f>SUMIF(109:109,G36,110:110)-SUMIF(109:109,C36,110:110)+100</f>
        <v>100</v>
      </c>
      <c r="I36" s="1754"/>
      <c r="J36" s="373">
        <f>SUMIF(109:109,I36,110:110)-SUMIF(109:109,C36,110:110)+100</f>
        <v>100</v>
      </c>
      <c r="K36" s="364"/>
      <c r="L36" s="2486"/>
      <c r="M36" s="2481"/>
      <c r="N36" s="2481"/>
      <c r="O36" s="2481"/>
      <c r="P36" s="3441"/>
      <c r="Q36" s="1256" t="str">
        <f t="shared" si="11"/>
        <v>公共部分装修</v>
      </c>
      <c r="R36" s="665" t="s">
        <v>18</v>
      </c>
      <c r="S36" s="666">
        <f t="shared" si="12"/>
        <v>100</v>
      </c>
      <c r="T36" s="665" t="s">
        <v>18</v>
      </c>
      <c r="U36" s="666">
        <f t="shared" si="13"/>
        <v>100</v>
      </c>
      <c r="V36" s="665" t="s">
        <v>18</v>
      </c>
      <c r="W36" s="666">
        <f t="shared" si="14"/>
        <v>100</v>
      </c>
      <c r="X36" s="1258"/>
      <c r="Y36" s="3443"/>
      <c r="Z36" s="1257" t="str">
        <f t="shared" si="18"/>
        <v>公共部分装修</v>
      </c>
      <c r="AA36" s="1257">
        <f t="shared" si="15"/>
        <v>1</v>
      </c>
      <c r="AB36" s="1257">
        <f t="shared" si="16"/>
        <v>1</v>
      </c>
      <c r="AC36" s="1257">
        <f t="shared" si="17"/>
        <v>1</v>
      </c>
    </row>
    <row r="37" spans="1:29" s="102"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3"/>
      <c r="N37" s="2433"/>
      <c r="O37" s="2433"/>
      <c r="P37" s="3441"/>
      <c r="Q37" s="529" t="str">
        <f t="shared" si="11"/>
        <v>成新度</v>
      </c>
      <c r="R37" s="662" t="s">
        <v>18</v>
      </c>
      <c r="S37" s="663" t="e">
        <f t="shared" si="12"/>
        <v>#N/A</v>
      </c>
      <c r="T37" s="662" t="s">
        <v>18</v>
      </c>
      <c r="U37" s="663" t="e">
        <f t="shared" si="13"/>
        <v>#N/A</v>
      </c>
      <c r="V37" s="662" t="s">
        <v>18</v>
      </c>
      <c r="W37" s="663" t="e">
        <f t="shared" si="14"/>
        <v>#N/A</v>
      </c>
      <c r="X37" s="664"/>
      <c r="Y37" s="3443"/>
      <c r="Z37" s="50" t="str">
        <f t="shared" si="18"/>
        <v>成新度</v>
      </c>
      <c r="AA37" s="50" t="e">
        <f t="shared" si="15"/>
        <v>#N/A</v>
      </c>
      <c r="AB37" s="50" t="e">
        <f t="shared" si="16"/>
        <v>#N/A</v>
      </c>
      <c r="AC37" s="50" t="e">
        <f t="shared" si="17"/>
        <v>#N/A</v>
      </c>
    </row>
    <row r="38" spans="1:29" ht="15">
      <c r="A38" s="408"/>
      <c r="B38" s="363" t="s">
        <v>1699</v>
      </c>
      <c r="C38" s="1753"/>
      <c r="D38" s="373">
        <v>100</v>
      </c>
      <c r="E38" s="1754"/>
      <c r="F38" s="399">
        <f>SUMIF(114:114,E38,115:115)-SUMIF(114:114,C38,115:115)+100</f>
        <v>100</v>
      </c>
      <c r="G38" s="1753"/>
      <c r="H38" s="373">
        <f>SUMIF(114:114,G38,115:115)-SUMIF(114:114,C38,115:115)+100</f>
        <v>100</v>
      </c>
      <c r="I38" s="1754"/>
      <c r="J38" s="373">
        <f>SUMIF(114:114,I38,115:115)-SUMIF(114:114,C38,115:115)+100</f>
        <v>100</v>
      </c>
      <c r="K38" s="364"/>
      <c r="L38" s="2486"/>
      <c r="M38" s="2481"/>
      <c r="N38" s="2481"/>
      <c r="O38" s="2481"/>
      <c r="P38" s="3441" t="s">
        <v>1693</v>
      </c>
      <c r="Q38" s="1256" t="str">
        <f t="shared" si="11"/>
        <v>物业管理</v>
      </c>
      <c r="R38" s="665" t="s">
        <v>18</v>
      </c>
      <c r="S38" s="666">
        <f t="shared" si="12"/>
        <v>100</v>
      </c>
      <c r="T38" s="665" t="s">
        <v>18</v>
      </c>
      <c r="U38" s="666">
        <f t="shared" si="13"/>
        <v>100</v>
      </c>
      <c r="V38" s="665" t="s">
        <v>18</v>
      </c>
      <c r="W38" s="666">
        <f t="shared" si="14"/>
        <v>100</v>
      </c>
      <c r="X38" s="1258"/>
      <c r="Y38" s="3443" t="s">
        <v>1693</v>
      </c>
      <c r="Z38" s="1257" t="str">
        <f t="shared" si="18"/>
        <v>物业管理</v>
      </c>
      <c r="AA38" s="1257">
        <f t="shared" si="15"/>
        <v>1</v>
      </c>
      <c r="AB38" s="1257">
        <f t="shared" si="16"/>
        <v>1</v>
      </c>
      <c r="AC38" s="1257">
        <f t="shared" si="17"/>
        <v>1</v>
      </c>
    </row>
    <row r="39" spans="1:29" ht="15">
      <c r="A39" s="408"/>
      <c r="B39" s="363" t="s">
        <v>1700</v>
      </c>
      <c r="C39" s="1753"/>
      <c r="D39" s="373">
        <v>100</v>
      </c>
      <c r="E39" s="1754"/>
      <c r="F39" s="399">
        <f>SUMIF(116:116,E39,117:117)-SUMIF(116:116,C39,117:117)+100</f>
        <v>100</v>
      </c>
      <c r="G39" s="1753"/>
      <c r="H39" s="373">
        <f>SUMIF(116:116,G39,117:117)-SUMIF(116:116,C39,117:117)+100</f>
        <v>100</v>
      </c>
      <c r="I39" s="1754"/>
      <c r="J39" s="373">
        <f>SUMIF(116:116,I39,117:117)-SUMIF(116:116,C39,117:117)+100</f>
        <v>100</v>
      </c>
      <c r="K39" s="364"/>
      <c r="L39" s="2486"/>
      <c r="M39" s="2481"/>
      <c r="N39" s="2481"/>
      <c r="O39" s="2481"/>
      <c r="P39" s="3441"/>
      <c r="Q39" s="1256" t="str">
        <f t="shared" si="11"/>
        <v>市政基础设施</v>
      </c>
      <c r="R39" s="665" t="s">
        <v>18</v>
      </c>
      <c r="S39" s="666">
        <f t="shared" si="12"/>
        <v>100</v>
      </c>
      <c r="T39" s="665" t="s">
        <v>18</v>
      </c>
      <c r="U39" s="666">
        <f t="shared" si="13"/>
        <v>100</v>
      </c>
      <c r="V39" s="665" t="s">
        <v>18</v>
      </c>
      <c r="W39" s="666">
        <f t="shared" si="14"/>
        <v>100</v>
      </c>
      <c r="X39" s="1258"/>
      <c r="Y39" s="3443"/>
      <c r="Z39" s="1257" t="str">
        <f t="shared" si="18"/>
        <v>市政基础设施</v>
      </c>
      <c r="AA39" s="1257">
        <f t="shared" si="15"/>
        <v>1</v>
      </c>
      <c r="AB39" s="1257">
        <f t="shared" si="16"/>
        <v>1</v>
      </c>
      <c r="AC39" s="1257">
        <f t="shared" si="17"/>
        <v>1</v>
      </c>
    </row>
    <row r="40" spans="1:29" ht="15">
      <c r="A40" s="408"/>
      <c r="B40" s="363" t="s">
        <v>1701</v>
      </c>
      <c r="C40" s="1753"/>
      <c r="D40" s="373">
        <v>100</v>
      </c>
      <c r="E40" s="1754"/>
      <c r="F40" s="399">
        <f>SUMIF(118:118,E40,119:119)-SUMIF(118:118,C40,119:119)+100</f>
        <v>100</v>
      </c>
      <c r="G40" s="1753"/>
      <c r="H40" s="373">
        <f>SUMIF(118:118,G40,119:119)-SUMIF(118:118,C40,119:119)+100</f>
        <v>100</v>
      </c>
      <c r="I40" s="1754"/>
      <c r="J40" s="373">
        <f>SUMIF(118:118,I40,119:119)-SUMIF(118:118,C40,119:119)+100</f>
        <v>100</v>
      </c>
      <c r="K40" s="364"/>
      <c r="L40" s="2486"/>
      <c r="M40" s="2481"/>
      <c r="N40" s="2481"/>
      <c r="O40" s="2481"/>
      <c r="P40" s="3441"/>
      <c r="Q40" s="1256" t="str">
        <f t="shared" si="11"/>
        <v>房型</v>
      </c>
      <c r="R40" s="665" t="s">
        <v>18</v>
      </c>
      <c r="S40" s="666">
        <f t="shared" si="12"/>
        <v>100</v>
      </c>
      <c r="T40" s="665" t="s">
        <v>18</v>
      </c>
      <c r="U40" s="666">
        <f t="shared" si="13"/>
        <v>100</v>
      </c>
      <c r="V40" s="665" t="s">
        <v>18</v>
      </c>
      <c r="W40" s="666">
        <f t="shared" si="14"/>
        <v>100</v>
      </c>
      <c r="X40" s="1258"/>
      <c r="Y40" s="3443"/>
      <c r="Z40" s="1257" t="str">
        <f t="shared" si="18"/>
        <v>房型</v>
      </c>
      <c r="AA40" s="1257">
        <f t="shared" si="15"/>
        <v>1</v>
      </c>
      <c r="AB40" s="1257">
        <f t="shared" si="16"/>
        <v>1</v>
      </c>
      <c r="AC40" s="1257">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1"/>
      <c r="L41" s="2485"/>
      <c r="M41" s="2487"/>
      <c r="N41" s="2487"/>
      <c r="O41" s="2487"/>
      <c r="P41" s="3441"/>
      <c r="Q41" s="530" t="str">
        <f t="shared" si="11"/>
        <v>单套/主力户型建筑面积</v>
      </c>
      <c r="R41" s="667" t="s">
        <v>18</v>
      </c>
      <c r="S41" s="668">
        <f t="shared" si="12"/>
        <v>100</v>
      </c>
      <c r="T41" s="667" t="s">
        <v>18</v>
      </c>
      <c r="U41" s="668">
        <f t="shared" si="13"/>
        <v>100</v>
      </c>
      <c r="V41" s="667" t="s">
        <v>18</v>
      </c>
      <c r="W41" s="668">
        <f t="shared" si="14"/>
        <v>100</v>
      </c>
      <c r="X41" s="669"/>
      <c r="Y41" s="3443"/>
      <c r="Z41" s="670" t="str">
        <f t="shared" si="18"/>
        <v>单套/主力户型建筑面积</v>
      </c>
      <c r="AA41" s="1257">
        <f t="shared" si="15"/>
        <v>1</v>
      </c>
      <c r="AB41" s="1257">
        <f t="shared" si="16"/>
        <v>1</v>
      </c>
      <c r="AC41" s="1257">
        <f t="shared" si="17"/>
        <v>1</v>
      </c>
    </row>
    <row r="42" spans="1:29" ht="15">
      <c r="A42" s="408"/>
      <c r="B42" s="363" t="s">
        <v>1703</v>
      </c>
      <c r="C42" s="1753"/>
      <c r="D42" s="373">
        <v>100</v>
      </c>
      <c r="E42" s="1754"/>
      <c r="F42" s="399">
        <f>SUMIF(122:122,E42,123:123)-SUMIF(122:122,C42,123:123)+100</f>
        <v>100</v>
      </c>
      <c r="G42" s="1753"/>
      <c r="H42" s="373">
        <f>SUMIF(122:122,G42,123:123)-SUMIF(122:122,C42,123:123)+100</f>
        <v>100</v>
      </c>
      <c r="I42" s="1754"/>
      <c r="J42" s="373">
        <f>SUMIF(122:122,I42,123:123)-SUMIF(122:122,C42,123:123)+100</f>
        <v>100</v>
      </c>
      <c r="K42" s="364"/>
      <c r="L42" s="2486"/>
      <c r="M42" s="2481"/>
      <c r="N42" s="2481"/>
      <c r="O42" s="2481"/>
      <c r="P42" s="3441"/>
      <c r="Q42" s="1256" t="str">
        <f t="shared" si="11"/>
        <v>内部装修</v>
      </c>
      <c r="R42" s="665" t="s">
        <v>18</v>
      </c>
      <c r="S42" s="666">
        <f t="shared" si="12"/>
        <v>100</v>
      </c>
      <c r="T42" s="665" t="s">
        <v>18</v>
      </c>
      <c r="U42" s="666">
        <f t="shared" si="13"/>
        <v>100</v>
      </c>
      <c r="V42" s="665" t="s">
        <v>18</v>
      </c>
      <c r="W42" s="666">
        <f t="shared" si="14"/>
        <v>100</v>
      </c>
      <c r="X42" s="1258"/>
      <c r="Y42" s="3443"/>
      <c r="Z42" s="1257" t="str">
        <f t="shared" si="18"/>
        <v>内部装修</v>
      </c>
      <c r="AA42" s="1257">
        <f t="shared" si="15"/>
        <v>1</v>
      </c>
      <c r="AB42" s="1257">
        <f t="shared" si="16"/>
        <v>1</v>
      </c>
      <c r="AC42" s="1257">
        <f t="shared" si="17"/>
        <v>1</v>
      </c>
    </row>
    <row r="43" spans="1:29" ht="15">
      <c r="A43" s="408"/>
      <c r="B43" s="363" t="s">
        <v>1704</v>
      </c>
      <c r="C43" s="1753"/>
      <c r="D43" s="373">
        <v>100</v>
      </c>
      <c r="E43" s="1754"/>
      <c r="F43" s="399">
        <f>SUMIF(124:124,E43,125:125)-SUMIF(124:124,C43,125:125)+100</f>
        <v>100</v>
      </c>
      <c r="G43" s="1753"/>
      <c r="H43" s="373">
        <f>SUMIF(124:124,G43,125:125)-SUMIF(124:124,C43,125:125)+100</f>
        <v>100</v>
      </c>
      <c r="I43" s="1754"/>
      <c r="J43" s="373">
        <f>SUMIF(124:124,I43,125:125)-SUMIF(124:124,C43,125:125)+100</f>
        <v>100</v>
      </c>
      <c r="K43" s="364"/>
      <c r="L43" s="2486"/>
      <c r="M43" s="2481"/>
      <c r="N43" s="2481"/>
      <c r="O43" s="2481"/>
      <c r="P43" s="3441"/>
      <c r="Q43" s="1256" t="str">
        <f t="shared" si="11"/>
        <v>内部装修维护情况</v>
      </c>
      <c r="R43" s="665" t="s">
        <v>18</v>
      </c>
      <c r="S43" s="666">
        <f t="shared" si="12"/>
        <v>100</v>
      </c>
      <c r="T43" s="665" t="s">
        <v>18</v>
      </c>
      <c r="U43" s="666">
        <f t="shared" si="13"/>
        <v>100</v>
      </c>
      <c r="V43" s="665" t="s">
        <v>18</v>
      </c>
      <c r="W43" s="666">
        <f t="shared" si="14"/>
        <v>100</v>
      </c>
      <c r="X43" s="1258"/>
      <c r="Y43" s="3443"/>
      <c r="Z43" s="1257" t="str">
        <f t="shared" si="18"/>
        <v>内部装修维护情况</v>
      </c>
      <c r="AA43" s="1257">
        <f t="shared" si="15"/>
        <v>1</v>
      </c>
      <c r="AB43" s="1257">
        <f t="shared" si="16"/>
        <v>1</v>
      </c>
      <c r="AC43" s="1257">
        <f t="shared" si="17"/>
        <v>1</v>
      </c>
    </row>
    <row r="44" spans="1:29" s="102" customFormat="1" ht="15">
      <c r="A44" s="409"/>
      <c r="B44" s="1061">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1"/>
      <c r="L44" s="2482"/>
      <c r="M44" s="2433"/>
      <c r="N44" s="2433"/>
      <c r="O44" s="2433"/>
      <c r="P44" s="3441"/>
      <c r="Q44" s="529">
        <f t="shared" si="11"/>
        <v>111</v>
      </c>
      <c r="R44" s="662" t="s">
        <v>18</v>
      </c>
      <c r="S44" s="663">
        <f t="shared" si="12"/>
        <v>100</v>
      </c>
      <c r="T44" s="662" t="s">
        <v>18</v>
      </c>
      <c r="U44" s="663">
        <f t="shared" si="13"/>
        <v>100</v>
      </c>
      <c r="V44" s="662" t="s">
        <v>18</v>
      </c>
      <c r="W44" s="663">
        <f t="shared" si="14"/>
        <v>100</v>
      </c>
      <c r="X44" s="664"/>
      <c r="Y44" s="3443"/>
      <c r="Z44" s="50">
        <f t="shared" si="18"/>
        <v>111</v>
      </c>
      <c r="AA44" s="50">
        <f t="shared" si="15"/>
        <v>1</v>
      </c>
      <c r="AB44" s="50">
        <f t="shared" si="16"/>
        <v>1</v>
      </c>
      <c r="AC44" s="50">
        <f t="shared" si="17"/>
        <v>1</v>
      </c>
    </row>
    <row r="45" spans="1:29" ht="15">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1"/>
      <c r="L45" s="2486"/>
      <c r="M45" s="2481"/>
      <c r="N45" s="2481"/>
      <c r="O45" s="2481"/>
      <c r="P45" s="3441"/>
      <c r="Q45" s="1256">
        <f t="shared" si="11"/>
        <v>111</v>
      </c>
      <c r="R45" s="665" t="s">
        <v>18</v>
      </c>
      <c r="S45" s="666">
        <f t="shared" si="12"/>
        <v>100</v>
      </c>
      <c r="T45" s="665" t="s">
        <v>18</v>
      </c>
      <c r="U45" s="666">
        <f t="shared" si="13"/>
        <v>100</v>
      </c>
      <c r="V45" s="665" t="s">
        <v>18</v>
      </c>
      <c r="W45" s="666">
        <f t="shared" si="14"/>
        <v>100</v>
      </c>
      <c r="X45" s="1258"/>
      <c r="Y45" s="3443"/>
      <c r="Z45" s="1257">
        <f t="shared" si="18"/>
        <v>111</v>
      </c>
      <c r="AA45" s="1257">
        <f t="shared" si="15"/>
        <v>1</v>
      </c>
      <c r="AB45" s="1257">
        <f t="shared" si="16"/>
        <v>1</v>
      </c>
      <c r="AC45" s="1257">
        <f t="shared" si="17"/>
        <v>1</v>
      </c>
    </row>
    <row r="46" spans="1:29" ht="15.75" thickBot="1">
      <c r="A46" s="414"/>
      <c r="B46" s="1742">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1"/>
      <c r="L46" s="2486"/>
      <c r="M46" s="2481"/>
      <c r="N46" s="2481"/>
      <c r="O46" s="2481"/>
      <c r="P46" s="3442"/>
      <c r="Q46" s="1256">
        <f t="shared" si="11"/>
        <v>111</v>
      </c>
      <c r="R46" s="665" t="s">
        <v>17</v>
      </c>
      <c r="S46" s="666">
        <f t="shared" si="12"/>
        <v>100</v>
      </c>
      <c r="T46" s="665" t="s">
        <v>17</v>
      </c>
      <c r="U46" s="666">
        <f t="shared" si="13"/>
        <v>100</v>
      </c>
      <c r="V46" s="665" t="s">
        <v>17</v>
      </c>
      <c r="W46" s="666">
        <f t="shared" si="14"/>
        <v>100</v>
      </c>
      <c r="X46" s="1258"/>
      <c r="Y46" s="3444"/>
      <c r="Z46" s="1257">
        <f t="shared" si="18"/>
        <v>111</v>
      </c>
      <c r="AA46" s="1257">
        <f t="shared" si="15"/>
        <v>1</v>
      </c>
      <c r="AB46" s="1257">
        <f t="shared" si="16"/>
        <v>1</v>
      </c>
      <c r="AC46" s="1257">
        <f t="shared" si="17"/>
        <v>1</v>
      </c>
    </row>
    <row r="47" spans="1:29" ht="15">
      <c r="A47" s="415" t="s">
        <v>1705</v>
      </c>
      <c r="B47" s="416"/>
      <c r="C47" s="1076" t="s">
        <v>16</v>
      </c>
      <c r="D47" s="417"/>
      <c r="E47" s="418"/>
      <c r="F47" s="419"/>
      <c r="G47" s="420"/>
      <c r="H47" s="421"/>
      <c r="I47" s="418"/>
      <c r="J47" s="421"/>
      <c r="K47" s="1760"/>
      <c r="L47" s="2488"/>
      <c r="M47" s="2481"/>
      <c r="N47" s="2481"/>
      <c r="O47" s="2481"/>
      <c r="P47" s="3436" t="str">
        <f>A47</f>
        <v>成交单价（元/平方米）</v>
      </c>
      <c r="Q47" s="3436"/>
      <c r="R47" s="3437">
        <f>E47</f>
        <v>0</v>
      </c>
      <c r="S47" s="3437"/>
      <c r="T47" s="3437">
        <f>G47</f>
        <v>0</v>
      </c>
      <c r="U47" s="3437"/>
      <c r="V47" s="3437">
        <f>I47</f>
        <v>0</v>
      </c>
      <c r="W47" s="3437"/>
      <c r="X47" s="384"/>
      <c r="Y47" s="671"/>
      <c r="Z47" s="384"/>
      <c r="AA47" s="384"/>
      <c r="AB47" s="384"/>
      <c r="AC47" s="384"/>
    </row>
    <row r="48" spans="1:29" ht="15.75" thickBot="1">
      <c r="A48" s="422" t="s">
        <v>1706</v>
      </c>
      <c r="B48" s="423"/>
      <c r="C48" s="1077" t="e">
        <f>R49</f>
        <v>#DIV/0!</v>
      </c>
      <c r="D48" s="2134" t="s">
        <v>2134</v>
      </c>
      <c r="E48" s="1078" t="e">
        <f>R48</f>
        <v>#DIV/0!</v>
      </c>
      <c r="F48" s="2135"/>
      <c r="G48" s="1077" t="e">
        <f>T48</f>
        <v>#DIV/0!</v>
      </c>
      <c r="H48" s="2135"/>
      <c r="I48" s="1078" t="e">
        <f>V48</f>
        <v>#DIV/0!</v>
      </c>
      <c r="J48" s="2135"/>
      <c r="K48" s="2136">
        <f>F48+H48+J48</f>
        <v>0</v>
      </c>
      <c r="L48" s="2488"/>
      <c r="M48" s="2481"/>
      <c r="N48" s="2481"/>
      <c r="O48" s="2481"/>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4"/>
      <c r="Y48" s="384"/>
      <c r="Z48" s="384"/>
      <c r="AA48" s="384"/>
      <c r="AB48" s="384"/>
      <c r="AC48" s="384"/>
    </row>
    <row r="49" spans="1:29" ht="15.75" thickBot="1">
      <c r="A49" s="426" t="s">
        <v>1707</v>
      </c>
      <c r="B49" s="427"/>
      <c r="C49" s="1079" t="e">
        <f>R49</f>
        <v>#DIV/0!</v>
      </c>
      <c r="D49" s="350"/>
      <c r="E49" s="350"/>
      <c r="F49" s="350"/>
      <c r="G49" s="350"/>
      <c r="H49" s="350"/>
      <c r="I49" s="350"/>
      <c r="J49" s="350"/>
      <c r="K49" s="1761"/>
      <c r="L49" s="2488"/>
      <c r="M49" s="2481"/>
      <c r="N49" s="2481"/>
      <c r="O49" s="2481"/>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3"/>
    </row>
    <row r="55" spans="1:29" s="436" customFormat="1">
      <c r="A55" s="2491"/>
      <c r="B55" s="2494"/>
      <c r="C55" s="2495"/>
      <c r="D55" s="2491"/>
      <c r="E55" s="2491"/>
      <c r="F55" s="2491"/>
      <c r="G55" s="2491"/>
      <c r="H55" s="2491"/>
      <c r="I55" s="2491"/>
      <c r="J55" s="2491"/>
      <c r="K55" s="2496"/>
      <c r="L55" s="2490"/>
      <c r="M55" s="2491"/>
      <c r="N55" s="2491"/>
      <c r="O55" s="2491"/>
      <c r="P55" s="1763"/>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4"/>
      <c r="C57" s="657"/>
      <c r="D57" s="657"/>
      <c r="E57" s="657"/>
      <c r="F57" s="658"/>
      <c r="G57" s="658"/>
      <c r="H57" s="657"/>
      <c r="I57" s="657"/>
      <c r="J57" s="657"/>
      <c r="K57" s="883"/>
      <c r="L57" s="884"/>
      <c r="M57" s="882"/>
      <c r="N57" s="882"/>
      <c r="O57" s="882"/>
      <c r="P57" s="1764"/>
      <c r="Q57" s="438"/>
    </row>
    <row r="58" spans="1:29" s="441" customFormat="1" ht="15">
      <c r="A58" s="439" t="s">
        <v>1712</v>
      </c>
      <c r="B58" s="440"/>
      <c r="C58" s="1100" t="str">
        <f>YEAR(C7)&amp;"-"&amp;MONTH(C7)</f>
        <v>2024-7</v>
      </c>
      <c r="D58" s="1099">
        <f>EDATE(C58,-1)</f>
        <v>45444</v>
      </c>
      <c r="E58" s="1099">
        <f>EDATE(D58,-1)</f>
        <v>45413</v>
      </c>
      <c r="F58" s="1099">
        <f t="shared" ref="F58:O58" si="19">EDATE(E58,-1)</f>
        <v>45383</v>
      </c>
      <c r="G58" s="1099">
        <f t="shared" si="19"/>
        <v>45352</v>
      </c>
      <c r="H58" s="1099">
        <f t="shared" si="19"/>
        <v>45323</v>
      </c>
      <c r="I58" s="1099">
        <f t="shared" si="19"/>
        <v>45292</v>
      </c>
      <c r="J58" s="1099">
        <f t="shared" si="19"/>
        <v>45261</v>
      </c>
      <c r="K58" s="1099">
        <f t="shared" si="19"/>
        <v>45231</v>
      </c>
      <c r="L58" s="1099">
        <f t="shared" si="19"/>
        <v>45200</v>
      </c>
      <c r="M58" s="1099">
        <f t="shared" si="19"/>
        <v>45170</v>
      </c>
      <c r="N58" s="1099">
        <f t="shared" si="19"/>
        <v>45139</v>
      </c>
      <c r="O58" s="1099">
        <f t="shared" si="19"/>
        <v>45108</v>
      </c>
      <c r="P58" s="1095"/>
    </row>
    <row r="59" spans="1:29" s="102" customFormat="1" ht="15">
      <c r="A59" s="442"/>
      <c r="B59" s="1765"/>
      <c r="C59" s="1097">
        <v>100</v>
      </c>
      <c r="D59" s="444"/>
      <c r="E59" s="445"/>
      <c r="F59" s="445"/>
      <c r="G59" s="445"/>
      <c r="H59" s="445"/>
      <c r="I59" s="445"/>
      <c r="J59" s="445"/>
      <c r="K59" s="445"/>
      <c r="L59" s="445"/>
      <c r="M59" s="446"/>
      <c r="N59" s="445"/>
      <c r="O59" s="446"/>
      <c r="P59" s="1766"/>
    </row>
    <row r="60" spans="1:29" s="102" customFormat="1" ht="15.75" thickBot="1">
      <c r="A60" s="448" t="s">
        <v>1713</v>
      </c>
      <c r="B60" s="449"/>
      <c r="C60" s="450"/>
      <c r="D60" s="451"/>
      <c r="E60" s="451"/>
      <c r="F60" s="451"/>
      <c r="G60" s="451"/>
      <c r="H60" s="451"/>
      <c r="I60" s="451"/>
      <c r="J60" s="451"/>
      <c r="K60" s="451"/>
      <c r="L60" s="451"/>
      <c r="M60" s="452"/>
      <c r="N60" s="451"/>
      <c r="O60" s="452"/>
      <c r="P60" s="1766"/>
      <c r="Q60" s="438"/>
    </row>
    <row r="61" spans="1:29" s="102" customFormat="1" ht="15">
      <c r="A61" s="454" t="s">
        <v>1714</v>
      </c>
      <c r="B61" s="443"/>
      <c r="C61" s="455" t="s">
        <v>1715</v>
      </c>
      <c r="D61" s="31"/>
      <c r="E61" s="31"/>
      <c r="F61" s="31"/>
      <c r="G61" s="31"/>
      <c r="H61" s="31"/>
      <c r="I61" s="31"/>
      <c r="J61" s="31"/>
      <c r="K61" s="31"/>
      <c r="L61" s="456"/>
      <c r="M61" s="457"/>
      <c r="N61" s="874"/>
      <c r="O61" s="874"/>
      <c r="P61" s="1767"/>
      <c r="Q61" s="438"/>
    </row>
    <row r="62" spans="1:29" s="102" customFormat="1" ht="15.75" thickBot="1">
      <c r="A62" s="454"/>
      <c r="B62" s="443"/>
      <c r="C62" s="444">
        <v>100</v>
      </c>
      <c r="D62" s="445"/>
      <c r="E62" s="445"/>
      <c r="F62" s="445"/>
      <c r="G62" s="445"/>
      <c r="H62" s="445"/>
      <c r="I62" s="445"/>
      <c r="J62" s="445"/>
      <c r="K62" s="445"/>
      <c r="L62" s="445"/>
      <c r="M62" s="447"/>
      <c r="N62" s="874"/>
      <c r="O62" s="874"/>
      <c r="P62" s="1766"/>
      <c r="Q62" s="438"/>
    </row>
    <row r="63" spans="1:29">
      <c r="A63" s="378" t="s">
        <v>1716</v>
      </c>
      <c r="B63" s="459" t="s">
        <v>1682</v>
      </c>
      <c r="C63" s="460">
        <f>C9</f>
        <v>0</v>
      </c>
      <c r="D63" s="461"/>
      <c r="E63" s="461"/>
      <c r="F63" s="461"/>
      <c r="G63" s="461"/>
      <c r="H63" s="461"/>
      <c r="I63" s="461"/>
      <c r="J63" s="461"/>
      <c r="K63" s="462"/>
      <c r="L63" s="463"/>
      <c r="M63" s="464"/>
      <c r="N63" s="875"/>
      <c r="O63" s="875"/>
      <c r="P63" s="1768"/>
      <c r="Q63" s="438"/>
    </row>
    <row r="64" spans="1:29" ht="15.75" thickBot="1">
      <c r="A64" s="366"/>
      <c r="B64" s="465"/>
      <c r="C64" s="466">
        <v>100</v>
      </c>
      <c r="D64" s="466"/>
      <c r="E64" s="466"/>
      <c r="F64" s="466"/>
      <c r="G64" s="466"/>
      <c r="H64" s="466"/>
      <c r="I64" s="466"/>
      <c r="J64" s="466"/>
      <c r="K64" s="466"/>
      <c r="L64" s="466"/>
      <c r="M64" s="467"/>
      <c r="N64" s="876"/>
      <c r="O64" s="876"/>
      <c r="P64" s="1768"/>
      <c r="Q64" s="438"/>
    </row>
    <row r="65" spans="1:17" ht="27.75" thickTop="1">
      <c r="A65" s="366"/>
      <c r="B65" s="468" t="s">
        <v>1685</v>
      </c>
      <c r="C65" s="512"/>
      <c r="D65" s="512"/>
      <c r="E65" s="512"/>
      <c r="F65" s="512"/>
      <c r="G65" s="512"/>
      <c r="H65" s="512"/>
      <c r="I65" s="512"/>
      <c r="J65" s="512"/>
      <c r="K65" s="512"/>
      <c r="L65" s="512"/>
      <c r="M65" s="512"/>
      <c r="N65" s="876"/>
      <c r="O65" s="876"/>
      <c r="P65" s="1768"/>
      <c r="Q65" s="438"/>
    </row>
    <row r="66" spans="1:17" ht="15.75" thickBot="1">
      <c r="A66" s="366"/>
      <c r="B66" s="473"/>
      <c r="C66" s="466"/>
      <c r="D66" s="466"/>
      <c r="E66" s="466"/>
      <c r="F66" s="466"/>
      <c r="G66" s="466"/>
      <c r="H66" s="466"/>
      <c r="I66" s="466"/>
      <c r="J66" s="466"/>
      <c r="K66" s="466"/>
      <c r="L66" s="466"/>
      <c r="M66" s="467"/>
      <c r="N66" s="876"/>
      <c r="O66" s="876"/>
      <c r="P66" s="1768"/>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6"/>
      <c r="O67" s="876"/>
      <c r="P67" s="1768"/>
      <c r="Q67" s="438"/>
    </row>
    <row r="68" spans="1:17" ht="15">
      <c r="A68" s="366"/>
      <c r="B68" s="478"/>
      <c r="C68" s="479"/>
      <c r="D68" s="479"/>
      <c r="E68" s="479"/>
      <c r="F68" s="479"/>
      <c r="G68" s="479"/>
      <c r="H68" s="479"/>
      <c r="I68" s="479"/>
      <c r="J68" s="479"/>
      <c r="K68" s="480"/>
      <c r="L68" s="481"/>
      <c r="M68" s="482"/>
      <c r="N68" s="875"/>
      <c r="O68" s="875"/>
      <c r="P68" s="1768"/>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6"/>
      <c r="O69" s="876"/>
      <c r="P69" s="1768"/>
      <c r="Q69" s="438"/>
    </row>
    <row r="70" spans="1:17" s="407" customFormat="1" ht="15.75" thickTop="1">
      <c r="A70" s="483"/>
      <c r="B70" s="468">
        <f>B12</f>
        <v>111</v>
      </c>
      <c r="C70" s="484"/>
      <c r="D70" s="484"/>
      <c r="E70" s="484"/>
      <c r="F70" s="484"/>
      <c r="G70" s="484"/>
      <c r="H70" s="485"/>
      <c r="I70" s="485"/>
      <c r="J70" s="485"/>
      <c r="K70" s="485"/>
      <c r="L70" s="486"/>
      <c r="M70" s="487"/>
      <c r="N70" s="877"/>
      <c r="O70" s="877"/>
      <c r="P70" s="1769"/>
      <c r="Q70" s="489"/>
    </row>
    <row r="71" spans="1:17" s="407" customFormat="1" ht="15.75" thickBot="1">
      <c r="A71" s="483"/>
      <c r="B71" s="473"/>
      <c r="C71" s="490"/>
      <c r="D71" s="466"/>
      <c r="E71" s="466"/>
      <c r="F71" s="466"/>
      <c r="G71" s="466"/>
      <c r="H71" s="466"/>
      <c r="I71" s="466"/>
      <c r="J71" s="466"/>
      <c r="K71" s="466"/>
      <c r="L71" s="466"/>
      <c r="M71" s="467"/>
      <c r="N71" s="876"/>
      <c r="O71" s="876"/>
      <c r="P71" s="1769"/>
      <c r="Q71" s="489"/>
    </row>
    <row r="72" spans="1:17" s="407" customFormat="1" ht="15.75" thickTop="1">
      <c r="A72" s="483"/>
      <c r="B72" s="468">
        <f>B13</f>
        <v>111</v>
      </c>
      <c r="C72" s="484"/>
      <c r="D72" s="484"/>
      <c r="E72" s="484"/>
      <c r="F72" s="484"/>
      <c r="G72" s="484"/>
      <c r="H72" s="485"/>
      <c r="I72" s="485"/>
      <c r="J72" s="485"/>
      <c r="K72" s="485"/>
      <c r="L72" s="486"/>
      <c r="M72" s="487"/>
      <c r="N72" s="877"/>
      <c r="O72" s="877"/>
      <c r="P72" s="1770"/>
      <c r="Q72" s="491"/>
    </row>
    <row r="73" spans="1:17" s="407" customFormat="1" ht="15.75" thickBot="1">
      <c r="A73" s="483"/>
      <c r="B73" s="473"/>
      <c r="C73" s="490"/>
      <c r="D73" s="490"/>
      <c r="E73" s="490"/>
      <c r="F73" s="490"/>
      <c r="G73" s="490"/>
      <c r="H73" s="492"/>
      <c r="I73" s="492"/>
      <c r="J73" s="492"/>
      <c r="K73" s="492"/>
      <c r="L73" s="492"/>
      <c r="M73" s="493"/>
      <c r="N73" s="877"/>
      <c r="O73" s="877"/>
      <c r="P73" s="1769"/>
      <c r="Q73" s="489"/>
    </row>
    <row r="74" spans="1:17" s="407" customFormat="1" ht="15.75" thickTop="1">
      <c r="A74" s="483"/>
      <c r="B74" s="476">
        <f>B14</f>
        <v>111</v>
      </c>
      <c r="C74" s="484"/>
      <c r="D74" s="484"/>
      <c r="E74" s="484"/>
      <c r="F74" s="484"/>
      <c r="G74" s="31"/>
      <c r="H74" s="494"/>
      <c r="I74" s="494"/>
      <c r="J74" s="494"/>
      <c r="K74" s="494"/>
      <c r="L74" s="495"/>
      <c r="M74" s="496"/>
      <c r="N74" s="877"/>
      <c r="O74" s="877"/>
      <c r="P74" s="1771"/>
      <c r="Q74" s="489"/>
    </row>
    <row r="75" spans="1:17" s="407" customFormat="1" ht="15.75" thickBot="1">
      <c r="A75" s="498"/>
      <c r="B75" s="499"/>
      <c r="C75" s="500"/>
      <c r="D75" s="500"/>
      <c r="E75" s="500"/>
      <c r="F75" s="500"/>
      <c r="G75" s="500"/>
      <c r="H75" s="501"/>
      <c r="I75" s="501"/>
      <c r="J75" s="501"/>
      <c r="K75" s="501"/>
      <c r="L75" s="501"/>
      <c r="M75" s="502"/>
      <c r="N75" s="877"/>
      <c r="O75" s="877"/>
      <c r="P75" s="1769"/>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5"/>
      <c r="O76" s="875"/>
      <c r="P76" s="1772"/>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68"/>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5"/>
      <c r="O78" s="875"/>
      <c r="P78" s="1768"/>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68"/>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5"/>
      <c r="O80" s="875"/>
      <c r="P80" s="1768"/>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68"/>
      <c r="Q81" s="438"/>
    </row>
    <row r="82" spans="1:17" ht="15.75" thickTop="1">
      <c r="A82" s="366"/>
      <c r="B82" s="476" t="s">
        <v>1257</v>
      </c>
      <c r="C82" s="469" t="s">
        <v>1725</v>
      </c>
      <c r="D82" s="469" t="s">
        <v>1726</v>
      </c>
      <c r="E82" s="469" t="s">
        <v>1727</v>
      </c>
      <c r="F82" s="469" t="s">
        <v>1728</v>
      </c>
      <c r="G82" s="469" t="s">
        <v>1729</v>
      </c>
      <c r="H82" s="469"/>
      <c r="I82" s="469"/>
      <c r="J82" s="469"/>
      <c r="K82" s="469"/>
      <c r="L82" s="469"/>
      <c r="M82" s="1058"/>
      <c r="N82" s="876"/>
      <c r="O82" s="876"/>
      <c r="P82" s="1768"/>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6"/>
      <c r="O83" s="876"/>
      <c r="P83" s="1768"/>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5"/>
      <c r="O84" s="875"/>
      <c r="P84" s="1768"/>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68"/>
      <c r="Q85" s="438"/>
    </row>
    <row r="86" spans="1:17" s="102" customFormat="1" ht="15.75" thickTop="1">
      <c r="A86" s="369"/>
      <c r="B86" s="468" t="s">
        <v>1731</v>
      </c>
      <c r="C86" s="484"/>
      <c r="D86" s="484"/>
      <c r="E86" s="484"/>
      <c r="F86" s="484"/>
      <c r="G86" s="484"/>
      <c r="H86" s="484"/>
      <c r="I86" s="484"/>
      <c r="J86" s="484"/>
      <c r="K86" s="484"/>
      <c r="L86" s="509"/>
      <c r="M86" s="510"/>
      <c r="N86" s="874"/>
      <c r="O86" s="874"/>
      <c r="P86" s="1768"/>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68"/>
      <c r="Q87" s="438"/>
    </row>
    <row r="88" spans="1:17" s="102" customFormat="1" ht="15.75" thickTop="1">
      <c r="A88" s="369"/>
      <c r="B88" s="468" t="s">
        <v>1732</v>
      </c>
      <c r="C88" s="484"/>
      <c r="D88" s="484"/>
      <c r="E88" s="484"/>
      <c r="F88" s="1773"/>
      <c r="G88" s="484"/>
      <c r="H88" s="484"/>
      <c r="I88" s="484"/>
      <c r="J88" s="484"/>
      <c r="K88" s="484"/>
      <c r="L88" s="484"/>
      <c r="M88" s="510"/>
      <c r="N88" s="874"/>
      <c r="O88" s="874"/>
      <c r="P88" s="1768"/>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68"/>
      <c r="Q89" s="438"/>
    </row>
    <row r="90" spans="1:17" s="407" customFormat="1" ht="15.75" thickTop="1">
      <c r="A90" s="483"/>
      <c r="B90" s="468">
        <f>B27</f>
        <v>111</v>
      </c>
      <c r="C90" s="484"/>
      <c r="D90" s="484"/>
      <c r="E90" s="484"/>
      <c r="F90" s="484"/>
      <c r="G90" s="484"/>
      <c r="H90" s="485"/>
      <c r="I90" s="485"/>
      <c r="J90" s="485"/>
      <c r="K90" s="485"/>
      <c r="L90" s="486"/>
      <c r="M90" s="487"/>
      <c r="N90" s="877"/>
      <c r="O90" s="877"/>
      <c r="P90" s="1769"/>
      <c r="Q90" s="489"/>
    </row>
    <row r="91" spans="1:17" s="407" customFormat="1" ht="15.75" thickBot="1">
      <c r="A91" s="483"/>
      <c r="B91" s="473"/>
      <c r="C91" s="490"/>
      <c r="D91" s="490"/>
      <c r="E91" s="490"/>
      <c r="F91" s="490"/>
      <c r="G91" s="490"/>
      <c r="H91" s="492"/>
      <c r="I91" s="492"/>
      <c r="J91" s="492"/>
      <c r="K91" s="492"/>
      <c r="L91" s="492"/>
      <c r="M91" s="493"/>
      <c r="N91" s="877"/>
      <c r="O91" s="877"/>
      <c r="P91" s="1769"/>
      <c r="Q91" s="489"/>
    </row>
    <row r="92" spans="1:17" ht="15.75" thickTop="1">
      <c r="A92" s="366"/>
      <c r="B92" s="468">
        <f>B28</f>
        <v>111</v>
      </c>
      <c r="C92" s="484"/>
      <c r="D92" s="484"/>
      <c r="E92" s="484"/>
      <c r="F92" s="484"/>
      <c r="G92" s="512"/>
      <c r="H92" s="512"/>
      <c r="I92" s="512"/>
      <c r="J92" s="512"/>
      <c r="K92" s="513"/>
      <c r="L92" s="514"/>
      <c r="M92" s="515"/>
      <c r="N92" s="875"/>
      <c r="O92" s="875"/>
      <c r="P92" s="1768"/>
      <c r="Q92" s="438"/>
    </row>
    <row r="93" spans="1:17" ht="15.75" thickBot="1">
      <c r="A93" s="366"/>
      <c r="B93" s="473"/>
      <c r="C93" s="490"/>
      <c r="D93" s="466"/>
      <c r="E93" s="466"/>
      <c r="F93" s="466"/>
      <c r="G93" s="466"/>
      <c r="H93" s="466"/>
      <c r="I93" s="466"/>
      <c r="J93" s="466"/>
      <c r="K93" s="466"/>
      <c r="L93" s="466"/>
      <c r="M93" s="467"/>
      <c r="N93" s="876"/>
      <c r="O93" s="876"/>
      <c r="P93" s="1768"/>
      <c r="Q93" s="438"/>
    </row>
    <row r="94" spans="1:17" ht="15.75" thickTop="1">
      <c r="A94" s="366"/>
      <c r="B94" s="468">
        <f>B29</f>
        <v>111</v>
      </c>
      <c r="C94" s="484"/>
      <c r="D94" s="484"/>
      <c r="E94" s="484"/>
      <c r="F94" s="484"/>
      <c r="G94" s="512"/>
      <c r="H94" s="512"/>
      <c r="I94" s="512"/>
      <c r="J94" s="512"/>
      <c r="K94" s="513"/>
      <c r="L94" s="514"/>
      <c r="M94" s="515"/>
      <c r="N94" s="875"/>
      <c r="O94" s="875"/>
      <c r="P94" s="1768"/>
      <c r="Q94" s="438"/>
    </row>
    <row r="95" spans="1:17" ht="15.75" thickBot="1">
      <c r="A95" s="366"/>
      <c r="B95" s="473"/>
      <c r="C95" s="490"/>
      <c r="D95" s="490"/>
      <c r="E95" s="490"/>
      <c r="F95" s="490"/>
      <c r="G95" s="466"/>
      <c r="H95" s="466"/>
      <c r="I95" s="466"/>
      <c r="J95" s="466"/>
      <c r="K95" s="466"/>
      <c r="L95" s="466"/>
      <c r="M95" s="467"/>
      <c r="N95" s="876"/>
      <c r="O95" s="876"/>
      <c r="P95" s="1768"/>
      <c r="Q95" s="438"/>
    </row>
    <row r="96" spans="1:17" ht="15.75" thickTop="1">
      <c r="A96" s="366"/>
      <c r="B96" s="468">
        <f>B30</f>
        <v>111</v>
      </c>
      <c r="C96" s="484"/>
      <c r="D96" s="484"/>
      <c r="E96" s="484"/>
      <c r="F96" s="484"/>
      <c r="G96" s="512"/>
      <c r="H96" s="512"/>
      <c r="I96" s="512"/>
      <c r="J96" s="512"/>
      <c r="K96" s="513"/>
      <c r="L96" s="514"/>
      <c r="M96" s="515"/>
      <c r="N96" s="875"/>
      <c r="O96" s="875"/>
      <c r="P96" s="1768"/>
      <c r="Q96" s="438"/>
    </row>
    <row r="97" spans="1:17" ht="15.75" thickBot="1">
      <c r="A97" s="366"/>
      <c r="B97" s="473"/>
      <c r="C97" s="500"/>
      <c r="D97" s="500"/>
      <c r="E97" s="500"/>
      <c r="F97" s="500"/>
      <c r="G97" s="466"/>
      <c r="H97" s="466"/>
      <c r="I97" s="466"/>
      <c r="J97" s="466"/>
      <c r="K97" s="466"/>
      <c r="L97" s="466"/>
      <c r="M97" s="467"/>
      <c r="N97" s="876"/>
      <c r="O97" s="876"/>
      <c r="P97" s="1768"/>
      <c r="Q97" s="438"/>
    </row>
    <row r="98" spans="1:17" ht="15.75" thickTop="1">
      <c r="A98" s="366"/>
      <c r="B98" s="476">
        <f>B31</f>
        <v>111</v>
      </c>
      <c r="C98" s="516"/>
      <c r="D98" s="516"/>
      <c r="E98" s="516"/>
      <c r="F98" s="516"/>
      <c r="G98" s="516"/>
      <c r="H98" s="516"/>
      <c r="I98" s="516"/>
      <c r="J98" s="516"/>
      <c r="K98" s="517"/>
      <c r="L98" s="518"/>
      <c r="M98" s="519"/>
      <c r="N98" s="875"/>
      <c r="O98" s="875"/>
      <c r="P98" s="1768"/>
      <c r="Q98" s="438"/>
    </row>
    <row r="99" spans="1:17" ht="15.75" thickBot="1">
      <c r="A99" s="374"/>
      <c r="B99" s="499"/>
      <c r="C99" s="520"/>
      <c r="D99" s="520"/>
      <c r="E99" s="520"/>
      <c r="F99" s="520"/>
      <c r="G99" s="520"/>
      <c r="H99" s="520"/>
      <c r="I99" s="520"/>
      <c r="J99" s="520"/>
      <c r="K99" s="520"/>
      <c r="L99" s="520"/>
      <c r="M99" s="521"/>
      <c r="N99" s="876"/>
      <c r="O99" s="876"/>
      <c r="P99" s="1768"/>
      <c r="Q99" s="438"/>
    </row>
    <row r="100" spans="1:17">
      <c r="A100" s="378" t="s">
        <v>1691</v>
      </c>
      <c r="B100" s="459" t="s">
        <v>1733</v>
      </c>
      <c r="C100" s="461"/>
      <c r="D100" s="461"/>
      <c r="E100" s="461"/>
      <c r="F100" s="461"/>
      <c r="G100" s="461"/>
      <c r="H100" s="461"/>
      <c r="I100" s="461"/>
      <c r="J100" s="461"/>
      <c r="K100" s="462"/>
      <c r="L100" s="463"/>
      <c r="M100" s="464"/>
      <c r="N100" s="875"/>
      <c r="O100" s="875"/>
      <c r="P100" s="1768"/>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68"/>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4"/>
      <c r="O102" s="874"/>
      <c r="P102" s="1768"/>
      <c r="Q102" s="438"/>
    </row>
    <row r="103" spans="1:17" s="407" customFormat="1">
      <c r="A103" s="405"/>
      <c r="B103" s="522"/>
      <c r="C103" s="6"/>
      <c r="D103" s="6"/>
      <c r="E103" s="6"/>
      <c r="F103" s="6"/>
      <c r="G103" s="6"/>
      <c r="H103" s="6"/>
      <c r="I103" s="6"/>
      <c r="J103" s="523"/>
      <c r="K103" s="523"/>
      <c r="L103" s="524"/>
      <c r="M103" s="525"/>
      <c r="N103" s="877"/>
      <c r="O103" s="877"/>
      <c r="P103" s="1769"/>
      <c r="Q103" s="489"/>
    </row>
    <row r="104" spans="1:17" s="407" customFormat="1" ht="15.75" thickBot="1">
      <c r="A104" s="483"/>
      <c r="B104" s="473"/>
      <c r="C104" s="490"/>
      <c r="D104" s="466"/>
      <c r="E104" s="466"/>
      <c r="F104" s="466"/>
      <c r="G104" s="466"/>
      <c r="H104" s="466"/>
      <c r="I104" s="466"/>
      <c r="J104" s="466"/>
      <c r="K104" s="466"/>
      <c r="L104" s="466"/>
      <c r="M104" s="466"/>
      <c r="N104" s="876"/>
      <c r="O104" s="876"/>
      <c r="P104" s="1769"/>
      <c r="Q104" s="489"/>
    </row>
    <row r="105" spans="1:17" ht="15" thickTop="1">
      <c r="A105" s="408"/>
      <c r="B105" s="468" t="s">
        <v>1735</v>
      </c>
      <c r="C105" s="484"/>
      <c r="D105" s="484"/>
      <c r="E105" s="512"/>
      <c r="F105" s="512"/>
      <c r="G105" s="512"/>
      <c r="H105" s="512"/>
      <c r="I105" s="512"/>
      <c r="J105" s="512"/>
      <c r="K105" s="513"/>
      <c r="L105" s="514"/>
      <c r="M105" s="515"/>
      <c r="N105" s="875"/>
      <c r="O105" s="875"/>
      <c r="P105" s="1768"/>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68"/>
      <c r="Q106" s="438"/>
    </row>
    <row r="107" spans="1:17" ht="15" thickTop="1">
      <c r="A107" s="408"/>
      <c r="B107" s="468" t="s">
        <v>1736</v>
      </c>
      <c r="C107" s="512"/>
      <c r="D107" s="512"/>
      <c r="E107" s="512"/>
      <c r="F107" s="512"/>
      <c r="G107" s="512"/>
      <c r="H107" s="512"/>
      <c r="I107" s="512"/>
      <c r="J107" s="512"/>
      <c r="K107" s="513"/>
      <c r="L107" s="514"/>
      <c r="M107" s="515"/>
      <c r="N107" s="875"/>
      <c r="O107" s="875"/>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68"/>
      <c r="Q108" s="438"/>
    </row>
    <row r="109" spans="1:17" ht="15" thickTop="1">
      <c r="A109" s="408"/>
      <c r="B109" s="468" t="s">
        <v>1737</v>
      </c>
      <c r="C109" s="484"/>
      <c r="D109" s="484"/>
      <c r="E109" s="484"/>
      <c r="F109" s="512"/>
      <c r="G109" s="512"/>
      <c r="H109" s="512"/>
      <c r="I109" s="512"/>
      <c r="J109" s="512"/>
      <c r="K109" s="513"/>
      <c r="L109" s="514"/>
      <c r="M109" s="515"/>
      <c r="N109" s="875"/>
      <c r="O109" s="875"/>
      <c r="P109" s="1768"/>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68"/>
      <c r="Q110" s="438"/>
    </row>
    <row r="111" spans="1:17" s="407" customFormat="1" ht="15" thickTop="1">
      <c r="A111" s="405"/>
      <c r="B111" s="468" t="s">
        <v>1187</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69"/>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69"/>
      <c r="Q113" s="489"/>
    </row>
    <row r="114" spans="1:17" ht="15" thickTop="1">
      <c r="A114" s="408"/>
      <c r="B114" s="468" t="s">
        <v>1738</v>
      </c>
      <c r="C114" s="484"/>
      <c r="D114" s="484"/>
      <c r="E114" s="512"/>
      <c r="F114" s="512"/>
      <c r="G114" s="512"/>
      <c r="H114" s="512"/>
      <c r="I114" s="512"/>
      <c r="J114" s="512"/>
      <c r="K114" s="513"/>
      <c r="L114" s="514"/>
      <c r="M114" s="515"/>
      <c r="N114" s="875"/>
      <c r="O114" s="875"/>
      <c r="P114" s="1768"/>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68"/>
      <c r="Q115" s="438"/>
    </row>
    <row r="116" spans="1:17" ht="15" thickTop="1">
      <c r="A116" s="408"/>
      <c r="B116" s="468" t="s">
        <v>1739</v>
      </c>
      <c r="C116" s="484"/>
      <c r="D116" s="484"/>
      <c r="E116" s="484"/>
      <c r="F116" s="484"/>
      <c r="G116" s="484"/>
      <c r="H116" s="512"/>
      <c r="I116" s="512"/>
      <c r="J116" s="512"/>
      <c r="K116" s="513"/>
      <c r="L116" s="514"/>
      <c r="M116" s="515"/>
      <c r="N116" s="875"/>
      <c r="O116" s="875"/>
      <c r="P116" s="1768"/>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68"/>
      <c r="Q117" s="438"/>
    </row>
    <row r="118" spans="1:17" ht="15" thickTop="1">
      <c r="A118" s="408"/>
      <c r="B118" s="468" t="s">
        <v>1740</v>
      </c>
      <c r="C118" s="512"/>
      <c r="D118" s="512"/>
      <c r="E118" s="512"/>
      <c r="F118" s="512"/>
      <c r="G118" s="512"/>
      <c r="H118" s="512"/>
      <c r="I118" s="512"/>
      <c r="J118" s="512"/>
      <c r="K118" s="513"/>
      <c r="L118" s="514"/>
      <c r="M118" s="515"/>
      <c r="N118" s="875"/>
      <c r="O118" s="875"/>
      <c r="P118" s="1768"/>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68"/>
      <c r="Q119" s="438"/>
    </row>
    <row r="120" spans="1:17" s="407" customFormat="1" ht="28.5" thickTop="1">
      <c r="A120" s="405"/>
      <c r="B120" s="468" t="s">
        <v>1702</v>
      </c>
      <c r="C120" s="484"/>
      <c r="D120" s="484"/>
      <c r="E120" s="484"/>
      <c r="F120" s="484"/>
      <c r="G120" s="484"/>
      <c r="H120" s="484"/>
      <c r="I120" s="484"/>
      <c r="J120" s="484"/>
      <c r="K120" s="484"/>
      <c r="L120" s="509"/>
      <c r="M120" s="510"/>
      <c r="N120" s="877"/>
      <c r="O120" s="877"/>
      <c r="P120" s="1769"/>
      <c r="Q120" s="489"/>
    </row>
    <row r="121" spans="1:17" s="407" customFormat="1" ht="15.75" thickBot="1">
      <c r="A121" s="483"/>
      <c r="B121" s="465"/>
      <c r="C121" s="490"/>
      <c r="D121" s="466"/>
      <c r="E121" s="466"/>
      <c r="F121" s="466"/>
      <c r="G121" s="466"/>
      <c r="H121" s="466"/>
      <c r="I121" s="466"/>
      <c r="J121" s="466"/>
      <c r="K121" s="466"/>
      <c r="L121" s="466"/>
      <c r="M121" s="466"/>
      <c r="N121" s="877"/>
      <c r="O121" s="877"/>
      <c r="P121" s="1769"/>
      <c r="Q121" s="489"/>
    </row>
    <row r="122" spans="1:17" ht="15" thickTop="1">
      <c r="A122" s="408"/>
      <c r="B122" s="468" t="s">
        <v>1741</v>
      </c>
      <c r="C122" s="484"/>
      <c r="D122" s="484"/>
      <c r="E122" s="484"/>
      <c r="F122" s="512"/>
      <c r="G122" s="512"/>
      <c r="H122" s="512"/>
      <c r="I122" s="512"/>
      <c r="J122" s="512"/>
      <c r="K122" s="513"/>
      <c r="L122" s="514"/>
      <c r="M122" s="515"/>
      <c r="N122" s="875"/>
      <c r="O122" s="875"/>
      <c r="P122" s="1768"/>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68"/>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5"/>
      <c r="O124" s="875"/>
      <c r="P124" s="1769"/>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68"/>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69"/>
      <c r="Q126" s="489"/>
    </row>
    <row r="127" spans="1:17" s="407" customFormat="1" ht="15.75" thickBot="1">
      <c r="A127" s="483"/>
      <c r="B127" s="473"/>
      <c r="C127" s="490"/>
      <c r="D127" s="466"/>
      <c r="E127" s="466"/>
      <c r="F127" s="466"/>
      <c r="G127" s="490"/>
      <c r="H127" s="492"/>
      <c r="I127" s="492"/>
      <c r="J127" s="492"/>
      <c r="K127" s="492"/>
      <c r="L127" s="492"/>
      <c r="M127" s="493"/>
      <c r="N127" s="877"/>
      <c r="O127" s="877"/>
      <c r="P127" s="1769"/>
      <c r="Q127" s="489"/>
    </row>
    <row r="128" spans="1:17" ht="15" thickTop="1">
      <c r="A128" s="408"/>
      <c r="B128" s="468">
        <f>B45</f>
        <v>111</v>
      </c>
      <c r="C128" s="484"/>
      <c r="D128" s="484"/>
      <c r="E128" s="484"/>
      <c r="F128" s="484"/>
      <c r="G128" s="512"/>
      <c r="H128" s="512"/>
      <c r="I128" s="512"/>
      <c r="J128" s="512"/>
      <c r="K128" s="513"/>
      <c r="L128" s="514"/>
      <c r="M128" s="515"/>
      <c r="N128" s="875"/>
      <c r="O128" s="875"/>
      <c r="P128" s="1768"/>
      <c r="Q128" s="438"/>
    </row>
    <row r="129" spans="1:17" ht="15.75" thickBot="1">
      <c r="A129" s="366"/>
      <c r="B129" s="473"/>
      <c r="C129" s="490"/>
      <c r="D129" s="490"/>
      <c r="E129" s="490"/>
      <c r="F129" s="490"/>
      <c r="G129" s="466"/>
      <c r="H129" s="466"/>
      <c r="I129" s="466"/>
      <c r="J129" s="466"/>
      <c r="K129" s="466"/>
      <c r="L129" s="466"/>
      <c r="M129" s="467"/>
      <c r="N129" s="876"/>
      <c r="O129" s="876"/>
      <c r="P129" s="1768"/>
      <c r="Q129" s="438"/>
    </row>
    <row r="130" spans="1:17" ht="15" thickTop="1">
      <c r="A130" s="408"/>
      <c r="B130" s="476">
        <f>B46</f>
        <v>111</v>
      </c>
      <c r="C130" s="484"/>
      <c r="D130" s="484"/>
      <c r="E130" s="484"/>
      <c r="F130" s="484"/>
      <c r="G130" s="516"/>
      <c r="H130" s="516"/>
      <c r="I130" s="516"/>
      <c r="J130" s="516"/>
      <c r="K130" s="31"/>
      <c r="L130" s="456"/>
      <c r="M130" s="519"/>
      <c r="N130" s="875"/>
      <c r="O130" s="875"/>
      <c r="P130" s="1768"/>
      <c r="Q130" s="438"/>
    </row>
    <row r="131" spans="1:17" ht="15.75" thickBot="1">
      <c r="A131" s="374"/>
      <c r="B131" s="499"/>
      <c r="C131" s="500"/>
      <c r="D131" s="500"/>
      <c r="E131" s="500"/>
      <c r="F131" s="500"/>
      <c r="G131" s="520"/>
      <c r="H131" s="520"/>
      <c r="I131" s="520"/>
      <c r="J131" s="520"/>
      <c r="K131" s="520"/>
      <c r="L131" s="520"/>
      <c r="M131" s="521"/>
      <c r="N131" s="876"/>
      <c r="O131" s="876"/>
      <c r="P131" s="1768"/>
      <c r="Q131" s="438"/>
    </row>
    <row r="136" spans="1:17" ht="15" thickBot="1">
      <c r="B136" s="1774" t="s">
        <v>1743</v>
      </c>
    </row>
    <row r="137" spans="1:17" ht="15">
      <c r="B137" s="1775" t="s">
        <v>1744</v>
      </c>
      <c r="C137" s="1776"/>
      <c r="D137" s="1776"/>
      <c r="E137" s="1776"/>
      <c r="F137" s="1776"/>
      <c r="G137" s="1777"/>
      <c r="H137" s="1778"/>
      <c r="I137" s="1779" t="s">
        <v>1745</v>
      </c>
      <c r="J137" s="1776"/>
      <c r="K137" s="1780"/>
    </row>
    <row r="138" spans="1:17" ht="15">
      <c r="B138" s="1781"/>
      <c r="C138" s="128" t="s">
        <v>1746</v>
      </c>
      <c r="D138" s="128" t="s">
        <v>1747</v>
      </c>
      <c r="E138" s="1782" t="s">
        <v>1748</v>
      </c>
      <c r="F138" s="1783" t="s">
        <v>1749</v>
      </c>
      <c r="G138" s="128" t="s">
        <v>1747</v>
      </c>
      <c r="H138" s="129" t="s">
        <v>1748</v>
      </c>
      <c r="I138" s="1784"/>
      <c r="J138" s="128" t="s">
        <v>1750</v>
      </c>
      <c r="K138" s="129" t="s">
        <v>1751</v>
      </c>
    </row>
    <row r="139" spans="1:17" ht="15">
      <c r="B139" s="810">
        <v>6</v>
      </c>
      <c r="C139" s="811">
        <v>96</v>
      </c>
      <c r="D139" s="1785" t="s">
        <v>1752</v>
      </c>
      <c r="E139" s="812">
        <v>100</v>
      </c>
      <c r="F139" s="813">
        <v>102.5</v>
      </c>
      <c r="G139" s="1785" t="s">
        <v>1752</v>
      </c>
      <c r="H139" s="814">
        <v>105</v>
      </c>
      <c r="I139" s="1786" t="s">
        <v>1753</v>
      </c>
      <c r="J139" s="811">
        <v>20</v>
      </c>
      <c r="K139" s="815">
        <f>C145/(J139-2)</f>
        <v>4.0555555555555553E-3</v>
      </c>
    </row>
    <row r="140" spans="1:17" ht="15">
      <c r="B140" s="816">
        <v>5</v>
      </c>
      <c r="C140" s="817">
        <v>100</v>
      </c>
      <c r="D140" s="817"/>
      <c r="E140" s="818"/>
      <c r="F140" s="819">
        <v>102</v>
      </c>
      <c r="G140" s="817"/>
      <c r="H140" s="820"/>
      <c r="I140" s="1787" t="s">
        <v>1754</v>
      </c>
      <c r="J140" s="262">
        <f>ROUNDUP((J139-1)/2,0)</f>
        <v>10</v>
      </c>
      <c r="K140" s="821">
        <v>100</v>
      </c>
    </row>
    <row r="141" spans="1:17" ht="15">
      <c r="B141" s="816">
        <v>4</v>
      </c>
      <c r="C141" s="817">
        <v>102</v>
      </c>
      <c r="D141" s="817"/>
      <c r="E141" s="818"/>
      <c r="F141" s="819">
        <v>101.5</v>
      </c>
      <c r="G141" s="817"/>
      <c r="H141" s="820"/>
      <c r="I141" s="1787" t="s">
        <v>1755</v>
      </c>
      <c r="J141" s="262">
        <v>1</v>
      </c>
      <c r="K141" s="822">
        <f>ROUND(100+(J141-J140)*K139*100,1)</f>
        <v>96.4</v>
      </c>
    </row>
    <row r="142" spans="1:17" ht="15">
      <c r="B142" s="816">
        <v>3</v>
      </c>
      <c r="C142" s="817">
        <v>103</v>
      </c>
      <c r="D142" s="817"/>
      <c r="E142" s="818"/>
      <c r="F142" s="819">
        <v>101</v>
      </c>
      <c r="G142" s="817"/>
      <c r="H142" s="820"/>
      <c r="I142" s="1787" t="s">
        <v>1756</v>
      </c>
      <c r="J142" s="262">
        <f>J139</f>
        <v>20</v>
      </c>
      <c r="K142" s="823">
        <v>95</v>
      </c>
    </row>
    <row r="143" spans="1:17" ht="15">
      <c r="B143" s="816">
        <v>2</v>
      </c>
      <c r="C143" s="817">
        <v>100</v>
      </c>
      <c r="D143" s="817"/>
      <c r="E143" s="818"/>
      <c r="F143" s="819">
        <v>100.5</v>
      </c>
      <c r="G143" s="817"/>
      <c r="H143" s="820"/>
      <c r="I143" s="1787" t="s">
        <v>1757</v>
      </c>
      <c r="J143" s="817">
        <v>15</v>
      </c>
      <c r="K143" s="822">
        <f>ROUND(100+(J143-J140)*K139*100,1)</f>
        <v>102</v>
      </c>
    </row>
    <row r="144" spans="1:17" ht="15">
      <c r="B144" s="816">
        <v>1</v>
      </c>
      <c r="C144" s="817">
        <v>98</v>
      </c>
      <c r="D144" s="1788" t="s">
        <v>1758</v>
      </c>
      <c r="E144" s="818">
        <v>102</v>
      </c>
      <c r="F144" s="824">
        <v>100</v>
      </c>
      <c r="G144" s="1788" t="s">
        <v>1758</v>
      </c>
      <c r="H144" s="820">
        <v>105</v>
      </c>
      <c r="I144" s="1787" t="s">
        <v>1757</v>
      </c>
      <c r="J144" s="817">
        <v>18</v>
      </c>
      <c r="K144" s="822">
        <f>ROUND(100+(J144-J140)*K139*100,1)</f>
        <v>103.2</v>
      </c>
    </row>
    <row r="145" spans="2:11" ht="15.75" thickBot="1">
      <c r="B145" s="1789" t="s">
        <v>1759</v>
      </c>
      <c r="C145" s="825">
        <f>ROUND(MAX(C139:C144)/MIN(C139:C144)-1,3)</f>
        <v>7.2999999999999995E-2</v>
      </c>
      <c r="D145" s="826"/>
      <c r="E145" s="826"/>
      <c r="F145" s="1790" t="s">
        <v>1760</v>
      </c>
      <c r="G145" s="1791"/>
      <c r="H145" s="1792"/>
      <c r="I145" s="1793" t="s">
        <v>1757</v>
      </c>
      <c r="J145" s="827">
        <v>8</v>
      </c>
      <c r="K145" s="828">
        <f>ROUND(100+(J145-J140)*K139*100,1)</f>
        <v>99.2</v>
      </c>
    </row>
    <row r="147" spans="2:11">
      <c r="B147" s="1774" t="s">
        <v>1761</v>
      </c>
    </row>
    <row r="148" spans="2:11">
      <c r="B148" s="177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55" priority="14" stopIfTrue="1">
      <formula>$F$52="超过30%"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J52:J54">
    <cfRule type="containsText" dxfId="150" priority="15" stopIfTrue="1" operator="containsText" text="超过">
      <formula>NOT(ISERROR(SEARCH("超过",F52)))</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G54">
    <cfRule type="expression" dxfId="147" priority="12"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dataValidations count="24">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C2" xr:uid="{00000000-0002-0000-2100-000014000000}">
      <formula1>"需扣减承租人权益,——"</formula1>
    </dataValidation>
    <dataValidation type="list" allowBlank="1" showInputMessage="1" showErrorMessage="1" sqref="F2" xr:uid="{00000000-0002-0000-2100-000015000000}">
      <formula1>估价方法</formula1>
    </dataValidation>
    <dataValidation type="list" allowBlank="1" showInputMessage="1" showErrorMessage="1" sqref="D48" xr:uid="{00000000-0002-0000-2100-000016000000}">
      <formula1>"简单平均,加权平均"</formula1>
    </dataValidation>
    <dataValidation type="list" allowBlank="1" showInputMessage="1" showErrorMessage="1" sqref="E1" xr:uid="{00000000-0002-0000-21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zoomScale="85" zoomScaleNormal="70" zoomScaleSheetLayoutView="85" workbookViewId="0">
      <selection activeCell="I24" sqref="I24"/>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1657</v>
      </c>
      <c r="B1" s="1727" t="s">
        <v>1763</v>
      </c>
      <c r="C1" s="1150" t="s">
        <v>1659</v>
      </c>
      <c r="D1" s="1137" t="s">
        <v>670</v>
      </c>
      <c r="E1" s="3118" t="s">
        <v>4193</v>
      </c>
      <c r="F1" s="1728" t="s">
        <v>4459</v>
      </c>
      <c r="G1" s="1147" t="s">
        <v>1764</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1" customFormat="1" ht="28.5" customHeight="1" thickTop="1">
      <c r="A2" s="1133" t="s">
        <v>1459</v>
      </c>
      <c r="B2" s="1080">
        <f>IF(E1="项目模式",IF(C2="——",ROUND(C49*D3/10000,0),ROUND(C49*D3/10000,0)-D2),IF(E1="单套模式",IF(C2="——",ROUND(C49*D3/10000,4),ROUND(C49*D3/10000,4)-D2)))</f>
        <v>34</v>
      </c>
      <c r="C2" s="1730" t="s">
        <v>43</v>
      </c>
      <c r="D2" s="1047" t="e">
        <f ca="1">IF(E1="项目模式",SUMIF(INDIRECT("'"&amp;F2&amp;"'"&amp;"!A:A"),"承租人权益价值",INDIRECT("'"&amp;F2&amp;"'"&amp;"!c:c")),SUMIF(INDIRECT("'"&amp;F2&amp;"'"&amp;"!A:A"),"承租人权益价值（单套）",INDIRECT("'"&amp;F2&amp;"'"&amp;"!c:c")))</f>
        <v>#REF!</v>
      </c>
      <c r="E2" s="1731" t="s">
        <v>1460</v>
      </c>
      <c r="F2" s="1732"/>
      <c r="G2" s="851"/>
      <c r="H2" s="851"/>
      <c r="I2" s="851"/>
      <c r="J2" s="851"/>
      <c r="K2" s="851"/>
      <c r="L2" s="2497"/>
      <c r="M2" s="2498"/>
      <c r="N2" s="2498"/>
      <c r="O2" s="2498"/>
      <c r="P2" s="1797"/>
      <c r="Q2" s="855"/>
      <c r="R2" s="855"/>
      <c r="S2" s="855"/>
      <c r="T2" s="855"/>
      <c r="U2" s="855"/>
      <c r="V2" s="855"/>
      <c r="W2" s="855"/>
      <c r="X2" s="855"/>
      <c r="Y2" s="855"/>
      <c r="Z2" s="855"/>
      <c r="AA2" s="855"/>
      <c r="AB2" s="855"/>
      <c r="AC2" s="1798"/>
    </row>
    <row r="3" spans="1:29" s="341" customFormat="1" ht="28.5" customHeight="1" thickBot="1">
      <c r="A3" s="194" t="s">
        <v>1461</v>
      </c>
      <c r="B3" s="535">
        <f>IF(C2="——",C49,ROUND(B2*10000/D3,0))</f>
        <v>6</v>
      </c>
      <c r="C3" s="343" t="s">
        <v>1765</v>
      </c>
      <c r="D3" s="342">
        <f>IF(D1="",'数据-汇总表'!E3,SUMIF('数据-汇总表'!$C19:$C33,D1,'数据-汇总表'!$E19:$E33))</f>
        <v>56346.270000000004</v>
      </c>
      <c r="E3" s="1798"/>
      <c r="F3" s="852"/>
      <c r="G3" s="851"/>
      <c r="H3" s="851"/>
      <c r="I3" s="851"/>
      <c r="J3" s="851"/>
      <c r="K3" s="853"/>
      <c r="L3" s="2497"/>
      <c r="M3" s="2498"/>
      <c r="N3" s="2498"/>
      <c r="O3" s="2498"/>
      <c r="P3" s="1797"/>
      <c r="Q3" s="855"/>
      <c r="R3" s="855"/>
      <c r="S3" s="855"/>
      <c r="T3" s="855"/>
      <c r="U3" s="855"/>
      <c r="V3" s="855"/>
      <c r="W3" s="855"/>
      <c r="X3" s="855"/>
      <c r="Y3" s="855"/>
      <c r="Z3" s="855"/>
      <c r="AA3" s="855"/>
      <c r="AB3" s="855"/>
      <c r="AC3" s="1798"/>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55" t="s">
        <v>1772</v>
      </c>
      <c r="Q4" s="3456"/>
      <c r="R4" s="3461" t="s">
        <v>1768</v>
      </c>
      <c r="S4" s="3462"/>
      <c r="T4" s="3461" t="s">
        <v>1769</v>
      </c>
      <c r="U4" s="3462"/>
      <c r="V4" s="3437" t="s">
        <v>1770</v>
      </c>
      <c r="W4" s="3437"/>
      <c r="X4" s="1258"/>
      <c r="Y4" s="3461" t="s">
        <v>1772</v>
      </c>
      <c r="Z4" s="3462"/>
      <c r="AA4" s="3448" t="s">
        <v>1768</v>
      </c>
      <c r="AB4" s="3437" t="s">
        <v>1769</v>
      </c>
      <c r="AC4" s="3448" t="s">
        <v>1770</v>
      </c>
    </row>
    <row r="5" spans="1:29" ht="15">
      <c r="A5" s="347"/>
      <c r="B5" s="348"/>
      <c r="C5" s="3469" t="s">
        <v>1670</v>
      </c>
      <c r="D5" s="3470"/>
      <c r="E5" s="3479" t="s">
        <v>4460</v>
      </c>
      <c r="F5" s="3477"/>
      <c r="G5" s="3478" t="s">
        <v>4228</v>
      </c>
      <c r="H5" s="3470"/>
      <c r="I5" s="3478" t="s">
        <v>4461</v>
      </c>
      <c r="J5" s="3470"/>
      <c r="K5" s="536"/>
      <c r="L5" s="2480"/>
      <c r="M5" s="2481"/>
      <c r="N5" s="2481"/>
      <c r="O5" s="2481"/>
      <c r="P5" s="3457"/>
      <c r="Q5" s="3458"/>
      <c r="R5" s="3463"/>
      <c r="S5" s="3464"/>
      <c r="T5" s="3463"/>
      <c r="U5" s="3464"/>
      <c r="V5" s="3437"/>
      <c r="W5" s="3437"/>
      <c r="X5" s="1258"/>
      <c r="Y5" s="3463"/>
      <c r="Z5" s="3464"/>
      <c r="AA5" s="3449"/>
      <c r="AB5" s="3437"/>
      <c r="AC5" s="3449"/>
    </row>
    <row r="6" spans="1:29" ht="15.75" thickBot="1">
      <c r="A6" s="349"/>
      <c r="B6" s="350"/>
      <c r="C6" s="3467" t="s">
        <v>1674</v>
      </c>
      <c r="D6" s="3468"/>
      <c r="E6" s="3474" t="s">
        <v>1674</v>
      </c>
      <c r="F6" s="3475"/>
      <c r="G6" s="3467" t="s">
        <v>1674</v>
      </c>
      <c r="H6" s="3468"/>
      <c r="I6" s="3467" t="s">
        <v>1674</v>
      </c>
      <c r="J6" s="3468"/>
      <c r="K6" s="536" t="s">
        <v>1675</v>
      </c>
      <c r="L6" s="2480"/>
      <c r="M6" s="2481"/>
      <c r="N6" s="2481"/>
      <c r="O6" s="2481"/>
      <c r="P6" s="3459"/>
      <c r="Q6" s="3460"/>
      <c r="R6" s="3463"/>
      <c r="S6" s="3464"/>
      <c r="T6" s="3465"/>
      <c r="U6" s="3466"/>
      <c r="V6" s="3437"/>
      <c r="W6" s="3437"/>
      <c r="X6" s="1258"/>
      <c r="Y6" s="3465"/>
      <c r="Z6" s="3466"/>
      <c r="AA6" s="3450"/>
      <c r="AB6" s="3437"/>
      <c r="AC6" s="3450"/>
    </row>
    <row r="7" spans="1:29" s="102" customFormat="1" ht="15.75" thickBot="1">
      <c r="A7" s="351" t="s">
        <v>1676</v>
      </c>
      <c r="B7" s="352"/>
      <c r="C7" s="353">
        <f>'数据-取费表'!B2</f>
        <v>45492</v>
      </c>
      <c r="D7" s="354">
        <v>100</v>
      </c>
      <c r="E7" s="355">
        <f>C7</f>
        <v>45492</v>
      </c>
      <c r="F7" s="356">
        <f>SUMIF(58:58,YEAR(E7)&amp;"-"&amp;MONTH(E7),59:59)</f>
        <v>100</v>
      </c>
      <c r="G7" s="355">
        <f>C7</f>
        <v>45492</v>
      </c>
      <c r="H7" s="354">
        <f>SUMIF(58:58,YEAR(G7)&amp;"-"&amp;MONTH(G7),59:59)</f>
        <v>100</v>
      </c>
      <c r="I7" s="355">
        <f>C7</f>
        <v>45492</v>
      </c>
      <c r="J7" s="354">
        <f>SUMIF(58:58,YEAR(I7)&amp;"-"&amp;MONTH(I7),59:59)</f>
        <v>100</v>
      </c>
      <c r="K7" s="38"/>
      <c r="L7" s="2482"/>
      <c r="M7" s="2433"/>
      <c r="N7" s="2433"/>
      <c r="O7" s="2433"/>
      <c r="P7" s="3471" t="s">
        <v>1677</v>
      </c>
      <c r="Q7" s="3473"/>
      <c r="R7" s="662" t="s">
        <v>14</v>
      </c>
      <c r="S7" s="663">
        <f t="shared" ref="S7:S15" si="0">F7</f>
        <v>100</v>
      </c>
      <c r="T7" s="662" t="s">
        <v>14</v>
      </c>
      <c r="U7" s="663">
        <f t="shared" ref="U7:U15" si="1">H7</f>
        <v>100</v>
      </c>
      <c r="V7" s="662" t="s">
        <v>14</v>
      </c>
      <c r="W7" s="663">
        <f t="shared" ref="W7:W15" si="2">J7</f>
        <v>100</v>
      </c>
      <c r="X7" s="664"/>
      <c r="Y7" s="3471" t="s">
        <v>1677</v>
      </c>
      <c r="Z7" s="3472"/>
      <c r="AA7" s="50">
        <f>D7/F7</f>
        <v>1</v>
      </c>
      <c r="AB7" s="50">
        <f>D7/H7</f>
        <v>1</v>
      </c>
      <c r="AC7" s="50">
        <f>D7/J7</f>
        <v>1</v>
      </c>
    </row>
    <row r="8" spans="1:29" s="102" customFormat="1" ht="15.75" thickBot="1">
      <c r="A8" s="351" t="s">
        <v>1678</v>
      </c>
      <c r="B8" s="352"/>
      <c r="C8" s="357" t="s">
        <v>4208</v>
      </c>
      <c r="D8" s="354">
        <v>100</v>
      </c>
      <c r="E8" s="357" t="s">
        <v>4466</v>
      </c>
      <c r="F8" s="356">
        <f>SUMIF(61:61,E8,62:62)-SUMIF(61:61,C8,62:62)+100</f>
        <v>103</v>
      </c>
      <c r="G8" s="357" t="s">
        <v>4466</v>
      </c>
      <c r="H8" s="354">
        <f>SUMIF(61:61,G8,62:62)-SUMIF(61:61,C8,62:62)+100</f>
        <v>103</v>
      </c>
      <c r="I8" s="357" t="s">
        <v>4466</v>
      </c>
      <c r="J8" s="354">
        <f>SUMIF(61:61,I8,62:62)-SUMIF(61:61,C8,62:62)+100</f>
        <v>103</v>
      </c>
      <c r="K8" s="38"/>
      <c r="L8" s="2482"/>
      <c r="M8" s="2433"/>
      <c r="N8" s="2433"/>
      <c r="O8" s="2433"/>
      <c r="P8" s="3471" t="s">
        <v>1680</v>
      </c>
      <c r="Q8" s="3472"/>
      <c r="R8" s="662" t="s">
        <v>14</v>
      </c>
      <c r="S8" s="663">
        <f t="shared" si="0"/>
        <v>103</v>
      </c>
      <c r="T8" s="662" t="s">
        <v>14</v>
      </c>
      <c r="U8" s="663">
        <f t="shared" si="1"/>
        <v>103</v>
      </c>
      <c r="V8" s="662" t="s">
        <v>14</v>
      </c>
      <c r="W8" s="663">
        <f t="shared" si="2"/>
        <v>103</v>
      </c>
      <c r="X8" s="664"/>
      <c r="Y8" s="3471" t="s">
        <v>1680</v>
      </c>
      <c r="Z8" s="3472"/>
      <c r="AA8" s="50">
        <f t="shared" ref="AA8:AA46" si="3">D8/F8</f>
        <v>0.970873786407767</v>
      </c>
      <c r="AB8" s="50">
        <f t="shared" ref="AB8:AB46" si="4">D8/H8</f>
        <v>0.970873786407767</v>
      </c>
      <c r="AC8" s="50">
        <f t="shared" ref="AC8:AC46" si="5">D8/J8</f>
        <v>0.970873786407767</v>
      </c>
    </row>
    <row r="9" spans="1:29" s="102" customFormat="1">
      <c r="A9" s="358" t="s">
        <v>1681</v>
      </c>
      <c r="B9" s="60" t="s">
        <v>1682</v>
      </c>
      <c r="C9" s="3161" t="s">
        <v>4489</v>
      </c>
      <c r="D9" s="59">
        <v>100</v>
      </c>
      <c r="E9" s="360" t="s">
        <v>670</v>
      </c>
      <c r="F9" s="60">
        <f>SUMIF(63:63,E9,64:64)-SUMIF(63:63,C9,64:64)+100</f>
        <v>100</v>
      </c>
      <c r="G9" s="360" t="s">
        <v>670</v>
      </c>
      <c r="H9" s="59">
        <f>SUMIF(63:63,G9,64:64)-SUMIF(63:63,C9,64:64)+100</f>
        <v>100</v>
      </c>
      <c r="I9" s="360" t="s">
        <v>670</v>
      </c>
      <c r="J9" s="59">
        <f>SUMIF(63:63,I9,64:64)-SUMIF(63:63,C9,64:64)+100</f>
        <v>100</v>
      </c>
      <c r="K9" s="38"/>
      <c r="L9" s="2482"/>
      <c r="M9" s="2433"/>
      <c r="N9" s="2433"/>
      <c r="O9" s="2433"/>
      <c r="P9" s="3447"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50">
        <f t="shared" si="5"/>
        <v>1</v>
      </c>
    </row>
    <row r="10" spans="1:29" s="365" customFormat="1" ht="27">
      <c r="A10" s="362"/>
      <c r="B10" s="363" t="s">
        <v>1685</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447"/>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75" thickBot="1">
      <c r="A11" s="366"/>
      <c r="B11" s="363" t="s">
        <v>1686</v>
      </c>
      <c r="C11" s="367"/>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447"/>
      <c r="Q11" s="529" t="str">
        <f t="shared" si="6"/>
        <v>容积率</v>
      </c>
      <c r="R11" s="662" t="s">
        <v>14</v>
      </c>
      <c r="S11" s="663">
        <f t="shared" si="0"/>
        <v>100</v>
      </c>
      <c r="T11" s="662" t="s">
        <v>14</v>
      </c>
      <c r="U11" s="663">
        <f t="shared" si="1"/>
        <v>100</v>
      </c>
      <c r="V11" s="662" t="s">
        <v>14</v>
      </c>
      <c r="W11" s="663">
        <f t="shared" si="2"/>
        <v>100</v>
      </c>
      <c r="X11" s="664"/>
      <c r="Y11" s="3292"/>
      <c r="Z11" s="50" t="str">
        <f t="shared" si="7"/>
        <v>容积率</v>
      </c>
      <c r="AA11" s="50">
        <f t="shared" si="3"/>
        <v>1</v>
      </c>
      <c r="AB11" s="50">
        <f t="shared" si="4"/>
        <v>1</v>
      </c>
      <c r="AC11" s="50">
        <f t="shared" si="5"/>
        <v>1</v>
      </c>
    </row>
    <row r="12" spans="1:29" s="102"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447"/>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47"/>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hidden="1" thickBot="1">
      <c r="A14" s="374"/>
      <c r="B14" s="1742">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47"/>
      <c r="Q14" s="529">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8" t="s">
        <v>1687</v>
      </c>
      <c r="B15" s="58" t="s">
        <v>1774</v>
      </c>
      <c r="C15" s="1743">
        <f>估价对象房地状况!C4</f>
        <v>0</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45" t="s">
        <v>1688</v>
      </c>
      <c r="Q15" s="1256" t="str">
        <f t="shared" si="6"/>
        <v>商业繁华度</v>
      </c>
      <c r="R15" s="665" t="s">
        <v>14</v>
      </c>
      <c r="S15" s="666">
        <f t="shared" si="0"/>
        <v>100</v>
      </c>
      <c r="T15" s="665" t="s">
        <v>14</v>
      </c>
      <c r="U15" s="666">
        <f t="shared" si="1"/>
        <v>100</v>
      </c>
      <c r="V15" s="665" t="s">
        <v>14</v>
      </c>
      <c r="W15" s="666">
        <f t="shared" si="2"/>
        <v>100</v>
      </c>
      <c r="X15" s="1258"/>
      <c r="Y15" s="3438" t="s">
        <v>1688</v>
      </c>
      <c r="Z15" s="1257" t="str">
        <f t="shared" si="7"/>
        <v>商业繁华度</v>
      </c>
      <c r="AA15" s="1257">
        <f t="shared" si="3"/>
        <v>1</v>
      </c>
      <c r="AB15" s="1257">
        <f t="shared" si="4"/>
        <v>1</v>
      </c>
      <c r="AC15" s="1257">
        <f t="shared" si="5"/>
        <v>1</v>
      </c>
    </row>
    <row r="16" spans="1:29" ht="15">
      <c r="A16" s="366"/>
      <c r="B16" s="384"/>
      <c r="C16" s="385" t="s">
        <v>4164</v>
      </c>
      <c r="D16" s="386"/>
      <c r="E16" s="385" t="s">
        <v>4164</v>
      </c>
      <c r="F16" s="387"/>
      <c r="G16" s="385" t="s">
        <v>4164</v>
      </c>
      <c r="H16" s="388"/>
      <c r="I16" s="385" t="s">
        <v>4164</v>
      </c>
      <c r="J16" s="386"/>
      <c r="K16" s="540"/>
      <c r="L16" s="2486"/>
      <c r="M16" s="2481"/>
      <c r="N16" s="2481"/>
      <c r="O16" s="2481"/>
      <c r="P16" s="3446"/>
      <c r="Q16" s="1256"/>
      <c r="R16" s="665"/>
      <c r="S16" s="666"/>
      <c r="T16" s="665"/>
      <c r="U16" s="666"/>
      <c r="V16" s="665"/>
      <c r="W16" s="666"/>
      <c r="X16" s="1258"/>
      <c r="Y16" s="3439"/>
      <c r="Z16" s="1257"/>
      <c r="AA16" s="1257">
        <v>1</v>
      </c>
      <c r="AB16" s="1257">
        <v>1</v>
      </c>
      <c r="AC16" s="1257">
        <v>1</v>
      </c>
    </row>
    <row r="17" spans="1:29" ht="15">
      <c r="A17" s="366"/>
      <c r="B17" s="389" t="s">
        <v>1256</v>
      </c>
      <c r="C17" s="1747">
        <f>估价对象房地状况!C6</f>
        <v>0</v>
      </c>
      <c r="D17" s="388">
        <v>100</v>
      </c>
      <c r="E17" s="390"/>
      <c r="F17" s="391">
        <f>SUMIF(78:78,E18,79:79)-SUMIF(78:78,C18,79:79)+100</f>
        <v>100</v>
      </c>
      <c r="G17" s="392"/>
      <c r="H17" s="393">
        <f>SUMIF(78:78,G18,79:79)-SUMIF(78:78,C18,79:79)+100</f>
        <v>98</v>
      </c>
      <c r="I17" s="390"/>
      <c r="J17" s="393">
        <f>SUMIF(78:78,I18,79:79)-SUMIF(78:78,C18,79:79)+100</f>
        <v>100</v>
      </c>
      <c r="K17" s="539">
        <v>2</v>
      </c>
      <c r="L17" s="2486"/>
      <c r="M17" s="2481"/>
      <c r="N17" s="2481"/>
      <c r="O17" s="2481"/>
      <c r="P17" s="3446"/>
      <c r="Q17" s="1256" t="str">
        <f>B17</f>
        <v>交通便捷度</v>
      </c>
      <c r="R17" s="665" t="s">
        <v>14</v>
      </c>
      <c r="S17" s="666">
        <f>F17</f>
        <v>100</v>
      </c>
      <c r="T17" s="665" t="s">
        <v>14</v>
      </c>
      <c r="U17" s="666">
        <f>H17</f>
        <v>98</v>
      </c>
      <c r="V17" s="665" t="s">
        <v>14</v>
      </c>
      <c r="W17" s="666">
        <f>J17</f>
        <v>100</v>
      </c>
      <c r="X17" s="1258"/>
      <c r="Y17" s="3439"/>
      <c r="Z17" s="1257" t="str">
        <f>Q17</f>
        <v>交通便捷度</v>
      </c>
      <c r="AA17" s="1257">
        <f t="shared" si="3"/>
        <v>1</v>
      </c>
      <c r="AB17" s="1257">
        <f t="shared" si="4"/>
        <v>1.0204081632653061</v>
      </c>
      <c r="AC17" s="1257">
        <f t="shared" si="5"/>
        <v>1</v>
      </c>
    </row>
    <row r="18" spans="1:29" ht="15">
      <c r="A18" s="366"/>
      <c r="B18" s="394"/>
      <c r="C18" s="1748" t="s">
        <v>4165</v>
      </c>
      <c r="D18" s="388"/>
      <c r="E18" s="1750" t="s">
        <v>4165</v>
      </c>
      <c r="F18" s="391"/>
      <c r="G18" s="1749" t="s">
        <v>4164</v>
      </c>
      <c r="H18" s="386"/>
      <c r="I18" s="1750" t="s">
        <v>4165</v>
      </c>
      <c r="J18" s="386"/>
      <c r="K18" s="540"/>
      <c r="L18" s="2486"/>
      <c r="M18" s="2481"/>
      <c r="N18" s="2481"/>
      <c r="O18" s="2481"/>
      <c r="P18" s="3446"/>
      <c r="Q18" s="1256"/>
      <c r="R18" s="665"/>
      <c r="S18" s="666"/>
      <c r="T18" s="665"/>
      <c r="U18" s="666"/>
      <c r="V18" s="665"/>
      <c r="W18" s="666"/>
      <c r="X18" s="1258"/>
      <c r="Y18" s="3439"/>
      <c r="Z18" s="1257"/>
      <c r="AA18" s="1257">
        <v>1</v>
      </c>
      <c r="AB18" s="1257">
        <v>1</v>
      </c>
      <c r="AC18" s="1257">
        <v>1</v>
      </c>
    </row>
    <row r="19" spans="1:29" ht="15">
      <c r="A19" s="366"/>
      <c r="B19" s="389" t="s">
        <v>1775</v>
      </c>
      <c r="C19" s="1747">
        <f>估价对象房地状况!C7</f>
        <v>0</v>
      </c>
      <c r="D19" s="393">
        <v>100</v>
      </c>
      <c r="E19" s="395"/>
      <c r="F19" s="396">
        <f>SUMIF(80:80,E20,81:81)-SUMIF(80:80,C20,81:81)+100</f>
        <v>100</v>
      </c>
      <c r="G19" s="397"/>
      <c r="H19" s="388">
        <f>SUMIF(80:80,G20,81:81)-SUMIF(80:80,C20,81:81)+100</f>
        <v>98</v>
      </c>
      <c r="I19" s="395"/>
      <c r="J19" s="388">
        <f>SUMIF(80:80,I20,81:81)-SUMIF(80:80,C20,81:81)+100</f>
        <v>100</v>
      </c>
      <c r="K19" s="539">
        <v>2</v>
      </c>
      <c r="L19" s="2486"/>
      <c r="M19" s="2481"/>
      <c r="N19" s="2481"/>
      <c r="O19" s="2481"/>
      <c r="P19" s="3446"/>
      <c r="Q19" s="1256" t="str">
        <f>B19</f>
        <v>公共配套设施</v>
      </c>
      <c r="R19" s="665" t="s">
        <v>14</v>
      </c>
      <c r="S19" s="666">
        <f>F19</f>
        <v>100</v>
      </c>
      <c r="T19" s="665" t="s">
        <v>14</v>
      </c>
      <c r="U19" s="666">
        <f>H19</f>
        <v>98</v>
      </c>
      <c r="V19" s="665" t="s">
        <v>14</v>
      </c>
      <c r="W19" s="666">
        <f>J19</f>
        <v>100</v>
      </c>
      <c r="X19" s="1258"/>
      <c r="Y19" s="3439"/>
      <c r="Z19" s="1257" t="str">
        <f>Q19</f>
        <v>公共配套设施</v>
      </c>
      <c r="AA19" s="1257">
        <f t="shared" si="3"/>
        <v>1</v>
      </c>
      <c r="AB19" s="1257">
        <f t="shared" si="4"/>
        <v>1.0204081632653061</v>
      </c>
      <c r="AC19" s="1257">
        <f t="shared" si="5"/>
        <v>1</v>
      </c>
    </row>
    <row r="20" spans="1:29" ht="15">
      <c r="A20" s="366"/>
      <c r="B20" s="394"/>
      <c r="C20" s="385" t="s">
        <v>4165</v>
      </c>
      <c r="D20" s="386"/>
      <c r="E20" s="385" t="s">
        <v>4165</v>
      </c>
      <c r="F20" s="387"/>
      <c r="G20" s="1744" t="s">
        <v>4164</v>
      </c>
      <c r="H20" s="386"/>
      <c r="I20" s="385" t="s">
        <v>4165</v>
      </c>
      <c r="J20" s="386"/>
      <c r="K20" s="540"/>
      <c r="L20" s="2486"/>
      <c r="M20" s="2481"/>
      <c r="N20" s="2481"/>
      <c r="O20" s="2481"/>
      <c r="P20" s="3446"/>
      <c r="Q20" s="1256"/>
      <c r="R20" s="665"/>
      <c r="S20" s="666"/>
      <c r="T20" s="665"/>
      <c r="U20" s="666"/>
      <c r="V20" s="665"/>
      <c r="W20" s="666"/>
      <c r="X20" s="1258"/>
      <c r="Y20" s="3439"/>
      <c r="Z20" s="1257"/>
      <c r="AA20" s="1257">
        <v>1</v>
      </c>
      <c r="AB20" s="1257">
        <v>1</v>
      </c>
      <c r="AC20" s="1257">
        <v>1</v>
      </c>
    </row>
    <row r="21" spans="1:29" ht="15">
      <c r="A21" s="366"/>
      <c r="B21" s="584" t="s">
        <v>1776</v>
      </c>
      <c r="C21" s="1747">
        <f>估价对象房地状况!C8</f>
        <v>0</v>
      </c>
      <c r="D21" s="393">
        <v>100</v>
      </c>
      <c r="E21" s="395"/>
      <c r="F21" s="396">
        <f>SUMIF(82:82,E22,83:83)-SUMIF(82:82,C22,83:83)+100</f>
        <v>100</v>
      </c>
      <c r="G21" s="397"/>
      <c r="H21" s="388">
        <f>SUMIF(82:82,G22,83:83)-SUMIF(82:82,C22,83:83)+100</f>
        <v>100</v>
      </c>
      <c r="I21" s="395"/>
      <c r="J21" s="388">
        <f>SUMIF(82:82,I22,83:83)-SUMIF(82:82,C22,83:83)+100</f>
        <v>100</v>
      </c>
      <c r="K21" s="539">
        <v>2</v>
      </c>
      <c r="L21" s="2486"/>
      <c r="M21" s="2481"/>
      <c r="N21" s="2481"/>
      <c r="O21" s="2481"/>
      <c r="P21" s="3446"/>
      <c r="Q21" s="1256" t="str">
        <f>B21</f>
        <v>基础设施水平</v>
      </c>
      <c r="R21" s="665" t="s">
        <v>14</v>
      </c>
      <c r="S21" s="666">
        <f>F21</f>
        <v>100</v>
      </c>
      <c r="T21" s="665" t="s">
        <v>14</v>
      </c>
      <c r="U21" s="666">
        <f>H21</f>
        <v>100</v>
      </c>
      <c r="V21" s="665" t="s">
        <v>14</v>
      </c>
      <c r="W21" s="666">
        <f>J21</f>
        <v>100</v>
      </c>
      <c r="X21" s="1258"/>
      <c r="Y21" s="3439"/>
      <c r="Z21" s="1257" t="str">
        <f>Q21</f>
        <v>基础设施水平</v>
      </c>
      <c r="AA21" s="1257">
        <f t="shared" ref="AA21" si="8">D21/F21</f>
        <v>1</v>
      </c>
      <c r="AB21" s="1257">
        <f t="shared" ref="AB21" si="9">D21/H21</f>
        <v>1</v>
      </c>
      <c r="AC21" s="1257">
        <f t="shared" ref="AC21" si="10">D21/J21</f>
        <v>1</v>
      </c>
    </row>
    <row r="22" spans="1:29" ht="15">
      <c r="A22" s="366"/>
      <c r="B22" s="584"/>
      <c r="C22" s="1748" t="s">
        <v>4210</v>
      </c>
      <c r="D22" s="386"/>
      <c r="E22" s="1748" t="s">
        <v>4210</v>
      </c>
      <c r="F22" s="387"/>
      <c r="G22" s="1748" t="s">
        <v>4210</v>
      </c>
      <c r="H22" s="386"/>
      <c r="I22" s="1748" t="s">
        <v>4210</v>
      </c>
      <c r="J22" s="386"/>
      <c r="K22" s="1059"/>
      <c r="L22" s="2486"/>
      <c r="M22" s="2481"/>
      <c r="N22" s="2481"/>
      <c r="O22" s="2481"/>
      <c r="P22" s="3446"/>
      <c r="Q22" s="1256"/>
      <c r="R22" s="665"/>
      <c r="S22" s="666"/>
      <c r="T22" s="665"/>
      <c r="U22" s="666"/>
      <c r="V22" s="665"/>
      <c r="W22" s="666"/>
      <c r="X22" s="1258"/>
      <c r="Y22" s="3439"/>
      <c r="Z22" s="1257"/>
      <c r="AA22" s="1257">
        <v>1</v>
      </c>
      <c r="AB22" s="1257">
        <v>1</v>
      </c>
      <c r="AC22" s="1257">
        <v>1</v>
      </c>
    </row>
    <row r="23" spans="1:29" ht="15">
      <c r="A23" s="366"/>
      <c r="B23" s="389" t="s">
        <v>1258</v>
      </c>
      <c r="C23" s="1799">
        <f>估价对象房地状况!C9</f>
        <v>0</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46"/>
      <c r="Q23" s="1256" t="str">
        <f>B23</f>
        <v>自然及人文环境</v>
      </c>
      <c r="R23" s="665" t="s">
        <v>14</v>
      </c>
      <c r="S23" s="666">
        <f>F23</f>
        <v>100</v>
      </c>
      <c r="T23" s="665" t="s">
        <v>14</v>
      </c>
      <c r="U23" s="666">
        <f>H23</f>
        <v>100</v>
      </c>
      <c r="V23" s="665" t="s">
        <v>14</v>
      </c>
      <c r="W23" s="666">
        <f>J23</f>
        <v>100</v>
      </c>
      <c r="X23" s="1258"/>
      <c r="Y23" s="3439"/>
      <c r="Z23" s="1257" t="str">
        <f>Q23</f>
        <v>自然及人文环境</v>
      </c>
      <c r="AA23" s="1257">
        <f t="shared" si="3"/>
        <v>1</v>
      </c>
      <c r="AB23" s="1257">
        <f t="shared" si="4"/>
        <v>1</v>
      </c>
      <c r="AC23" s="1257">
        <f t="shared" si="5"/>
        <v>1</v>
      </c>
    </row>
    <row r="24" spans="1:29" ht="15">
      <c r="A24" s="366"/>
      <c r="B24" s="394"/>
      <c r="C24" s="385" t="s">
        <v>4164</v>
      </c>
      <c r="D24" s="386"/>
      <c r="E24" s="385" t="s">
        <v>4164</v>
      </c>
      <c r="F24" s="387"/>
      <c r="G24" s="385" t="s">
        <v>4164</v>
      </c>
      <c r="H24" s="386"/>
      <c r="I24" s="385" t="s">
        <v>4164</v>
      </c>
      <c r="J24" s="386"/>
      <c r="K24" s="540"/>
      <c r="L24" s="2486"/>
      <c r="M24" s="2481"/>
      <c r="N24" s="2481"/>
      <c r="O24" s="2481"/>
      <c r="P24" s="3446"/>
      <c r="Q24" s="1256"/>
      <c r="R24" s="665"/>
      <c r="S24" s="666"/>
      <c r="T24" s="665"/>
      <c r="U24" s="666"/>
      <c r="V24" s="665"/>
      <c r="W24" s="666"/>
      <c r="X24" s="1258"/>
      <c r="Y24" s="3439"/>
      <c r="Z24" s="1257"/>
      <c r="AA24" s="1257">
        <v>1</v>
      </c>
      <c r="AB24" s="1257">
        <v>1</v>
      </c>
      <c r="AC24" s="1257">
        <v>1</v>
      </c>
    </row>
    <row r="25" spans="1:29" ht="15" hidden="1">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46"/>
      <c r="Q25" s="1256" t="str">
        <f t="shared" ref="Q25:Q46" si="11">B25</f>
        <v>临街状况</v>
      </c>
      <c r="R25" s="665" t="s">
        <v>14</v>
      </c>
      <c r="S25" s="666">
        <f>F25</f>
        <v>100</v>
      </c>
      <c r="T25" s="665" t="s">
        <v>14</v>
      </c>
      <c r="U25" s="666">
        <f>H25</f>
        <v>100</v>
      </c>
      <c r="V25" s="665" t="s">
        <v>14</v>
      </c>
      <c r="W25" s="666">
        <f>J25</f>
        <v>100</v>
      </c>
      <c r="X25" s="1258"/>
      <c r="Y25" s="3439"/>
      <c r="Z25" s="1257" t="str">
        <f>Q25</f>
        <v>临街状况</v>
      </c>
      <c r="AA25" s="1257">
        <f t="shared" si="3"/>
        <v>1</v>
      </c>
      <c r="AB25" s="1257">
        <f t="shared" si="4"/>
        <v>1</v>
      </c>
      <c r="AC25" s="1257">
        <f t="shared" si="5"/>
        <v>1</v>
      </c>
    </row>
    <row r="26" spans="1:29" ht="15">
      <c r="A26" s="366"/>
      <c r="B26" s="1061" t="s">
        <v>1778</v>
      </c>
      <c r="C26" s="3173" t="s">
        <v>4490</v>
      </c>
      <c r="D26" s="373">
        <v>100</v>
      </c>
      <c r="E26" s="3173" t="s">
        <v>4490</v>
      </c>
      <c r="F26" s="399">
        <f>SUMIF(88:88,E26,89:89)-SUMIF(88:88,C26,89:89)+100</f>
        <v>100</v>
      </c>
      <c r="G26" s="3173" t="s">
        <v>4490</v>
      </c>
      <c r="H26" s="373">
        <f>SUMIF(88:88,G26,89:89)-SUMIF(88:88,C26,89:89)+100</f>
        <v>100</v>
      </c>
      <c r="I26" s="3173" t="s">
        <v>4490</v>
      </c>
      <c r="J26" s="373">
        <f>SUMIF(88:88,I26,89:89)-SUMIF(88:88,C26,89:89)+100</f>
        <v>100</v>
      </c>
      <c r="K26" s="538"/>
      <c r="L26" s="2486"/>
      <c r="M26" s="2481"/>
      <c r="N26" s="2481"/>
      <c r="O26" s="2481"/>
      <c r="P26" s="3446"/>
      <c r="Q26" s="1256" t="str">
        <f t="shared" si="11"/>
        <v>平面位置/可视性</v>
      </c>
      <c r="R26" s="665" t="s">
        <v>14</v>
      </c>
      <c r="S26" s="666">
        <f>F26</f>
        <v>100</v>
      </c>
      <c r="T26" s="665" t="s">
        <v>14</v>
      </c>
      <c r="U26" s="666">
        <f>H26</f>
        <v>100</v>
      </c>
      <c r="V26" s="665" t="s">
        <v>14</v>
      </c>
      <c r="W26" s="666">
        <f>J26</f>
        <v>100</v>
      </c>
      <c r="X26" s="1258"/>
      <c r="Y26" s="3439"/>
      <c r="Z26" s="1257" t="str">
        <f>Q26</f>
        <v>平面位置/可视性</v>
      </c>
      <c r="AA26" s="1257">
        <f t="shared" si="3"/>
        <v>1</v>
      </c>
      <c r="AB26" s="1257">
        <f t="shared" si="4"/>
        <v>1</v>
      </c>
      <c r="AC26" s="1257">
        <f t="shared" si="5"/>
        <v>1</v>
      </c>
    </row>
    <row r="27" spans="1:29" s="102" customFormat="1" ht="15">
      <c r="A27" s="369"/>
      <c r="B27" s="389" t="s">
        <v>1779</v>
      </c>
      <c r="C27" s="1800" t="s">
        <v>4164</v>
      </c>
      <c r="D27" s="400">
        <v>100</v>
      </c>
      <c r="E27" s="1800" t="s">
        <v>4164</v>
      </c>
      <c r="F27" s="394">
        <f>SUMIF(90:90,E27,91:91)-SUMIF(90:90,C27,91:91)+100</f>
        <v>100</v>
      </c>
      <c r="G27" s="1800" t="s">
        <v>4164</v>
      </c>
      <c r="H27" s="400">
        <f>SUMIF(90:90,G27,91:91)-SUMIF(90:90,C27,91:91)+100</f>
        <v>100</v>
      </c>
      <c r="I27" s="1800" t="s">
        <v>4164</v>
      </c>
      <c r="J27" s="400">
        <f>SUMIF(90:90,I27,91:91)-SUMIF(90:90,C27,91:91)+100</f>
        <v>100</v>
      </c>
      <c r="K27" s="537">
        <v>2</v>
      </c>
      <c r="L27" s="2482"/>
      <c r="M27" s="2433"/>
      <c r="N27" s="2433"/>
      <c r="O27" s="2433"/>
      <c r="P27" s="3446"/>
      <c r="Q27" s="529" t="str">
        <f t="shared" si="11"/>
        <v>人流量</v>
      </c>
      <c r="R27" s="662" t="s">
        <v>14</v>
      </c>
      <c r="S27" s="663">
        <f>F27</f>
        <v>100</v>
      </c>
      <c r="T27" s="662" t="s">
        <v>14</v>
      </c>
      <c r="U27" s="663">
        <f>H27</f>
        <v>100</v>
      </c>
      <c r="V27" s="662" t="s">
        <v>14</v>
      </c>
      <c r="W27" s="663">
        <f>J27</f>
        <v>100</v>
      </c>
      <c r="X27" s="664"/>
      <c r="Y27" s="3439"/>
      <c r="Z27" s="50" t="str">
        <f>Q27</f>
        <v>人流量</v>
      </c>
      <c r="AA27" s="1257">
        <f>D27/F27</f>
        <v>1</v>
      </c>
      <c r="AB27" s="1257">
        <f>D27/H27</f>
        <v>1</v>
      </c>
      <c r="AC27" s="1257">
        <f>D27/J27</f>
        <v>1</v>
      </c>
    </row>
    <row r="28" spans="1:29" ht="15.75" thickBot="1">
      <c r="A28" s="366"/>
      <c r="B28" s="363" t="s">
        <v>1780</v>
      </c>
      <c r="C28" s="541" t="s">
        <v>4478</v>
      </c>
      <c r="D28" s="373">
        <v>100</v>
      </c>
      <c r="E28" s="541" t="s">
        <v>4478</v>
      </c>
      <c r="F28" s="399">
        <f>SUMIF(92:92,E28,93:93)-SUMIF(92:92,C28,93:93)+100</f>
        <v>100</v>
      </c>
      <c r="G28" s="541" t="s">
        <v>4478</v>
      </c>
      <c r="H28" s="373">
        <f>SUMIF(92:92,G28,93:93)-SUMIF(92:92,C28,93:93)+100</f>
        <v>100</v>
      </c>
      <c r="I28" s="541" t="s">
        <v>4478</v>
      </c>
      <c r="J28" s="373">
        <f>SUMIF(92:92,I28,93:93)-SUMIF(92:92,C28,93:93)+100</f>
        <v>100</v>
      </c>
      <c r="K28" s="538"/>
      <c r="L28" s="2486"/>
      <c r="M28" s="2481"/>
      <c r="N28" s="2481"/>
      <c r="O28" s="2481"/>
      <c r="P28" s="3446"/>
      <c r="Q28" s="1256" t="str">
        <f t="shared" si="11"/>
        <v>楼层</v>
      </c>
      <c r="R28" s="665" t="s">
        <v>14</v>
      </c>
      <c r="S28" s="666">
        <f t="shared" ref="S28:S46" si="12">F28</f>
        <v>100</v>
      </c>
      <c r="T28" s="665" t="s">
        <v>14</v>
      </c>
      <c r="U28" s="666">
        <f t="shared" ref="U28:U46" si="13">H28</f>
        <v>100</v>
      </c>
      <c r="V28" s="665" t="s">
        <v>14</v>
      </c>
      <c r="W28" s="666">
        <f t="shared" ref="W28:W46" si="14">J28</f>
        <v>100</v>
      </c>
      <c r="X28" s="1258"/>
      <c r="Y28" s="3439"/>
      <c r="Z28" s="1257" t="str">
        <f t="shared" ref="Z28:Z46" si="15">Q28</f>
        <v>楼层</v>
      </c>
      <c r="AA28" s="1257">
        <f t="shared" si="3"/>
        <v>1</v>
      </c>
      <c r="AB28" s="1257">
        <f t="shared" si="4"/>
        <v>1</v>
      </c>
      <c r="AC28" s="1257">
        <f t="shared" si="5"/>
        <v>1</v>
      </c>
    </row>
    <row r="29" spans="1:29" ht="15" hidden="1">
      <c r="A29" s="366"/>
      <c r="B29" s="1061">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46"/>
      <c r="Q29" s="1256">
        <f t="shared" si="11"/>
        <v>111</v>
      </c>
      <c r="R29" s="665" t="s">
        <v>14</v>
      </c>
      <c r="S29" s="666">
        <f t="shared" si="12"/>
        <v>100</v>
      </c>
      <c r="T29" s="665" t="s">
        <v>14</v>
      </c>
      <c r="U29" s="666">
        <f t="shared" si="13"/>
        <v>100</v>
      </c>
      <c r="V29" s="665" t="s">
        <v>14</v>
      </c>
      <c r="W29" s="666">
        <f t="shared" si="14"/>
        <v>100</v>
      </c>
      <c r="X29" s="1258"/>
      <c r="Y29" s="3439"/>
      <c r="Z29" s="1257">
        <f t="shared" si="15"/>
        <v>111</v>
      </c>
      <c r="AA29" s="1257">
        <f t="shared" si="3"/>
        <v>1</v>
      </c>
      <c r="AB29" s="1257">
        <f t="shared" si="4"/>
        <v>1</v>
      </c>
      <c r="AC29" s="1257">
        <f t="shared" si="5"/>
        <v>1</v>
      </c>
    </row>
    <row r="30" spans="1:29" ht="15" hidden="1">
      <c r="A30" s="366"/>
      <c r="B30" s="1061">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46"/>
      <c r="Q30" s="1256">
        <f t="shared" si="11"/>
        <v>111</v>
      </c>
      <c r="R30" s="665" t="s">
        <v>14</v>
      </c>
      <c r="S30" s="666">
        <f t="shared" si="12"/>
        <v>100</v>
      </c>
      <c r="T30" s="665" t="s">
        <v>14</v>
      </c>
      <c r="U30" s="666">
        <f t="shared" si="13"/>
        <v>100</v>
      </c>
      <c r="V30" s="665" t="s">
        <v>14</v>
      </c>
      <c r="W30" s="666">
        <f t="shared" si="14"/>
        <v>100</v>
      </c>
      <c r="X30" s="1258"/>
      <c r="Y30" s="3439"/>
      <c r="Z30" s="1257">
        <f t="shared" si="15"/>
        <v>111</v>
      </c>
      <c r="AA30" s="1257">
        <f t="shared" si="3"/>
        <v>1</v>
      </c>
      <c r="AB30" s="1257">
        <f t="shared" si="4"/>
        <v>1</v>
      </c>
      <c r="AC30" s="1257">
        <f t="shared" si="5"/>
        <v>1</v>
      </c>
    </row>
    <row r="31" spans="1:29" ht="15.75" hidden="1" thickBot="1">
      <c r="A31" s="374"/>
      <c r="B31" s="1061">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46"/>
      <c r="Q31" s="1256">
        <f t="shared" si="11"/>
        <v>111</v>
      </c>
      <c r="R31" s="665" t="s">
        <v>14</v>
      </c>
      <c r="S31" s="666">
        <f t="shared" si="12"/>
        <v>100</v>
      </c>
      <c r="T31" s="665" t="s">
        <v>14</v>
      </c>
      <c r="U31" s="666">
        <f t="shared" si="13"/>
        <v>100</v>
      </c>
      <c r="V31" s="665" t="s">
        <v>14</v>
      </c>
      <c r="W31" s="666">
        <f t="shared" si="14"/>
        <v>100</v>
      </c>
      <c r="X31" s="1258"/>
      <c r="Y31" s="3439"/>
      <c r="Z31" s="1257">
        <f t="shared" si="15"/>
        <v>111</v>
      </c>
      <c r="AA31" s="1257">
        <f t="shared" si="3"/>
        <v>1</v>
      </c>
      <c r="AB31" s="1257">
        <f t="shared" si="4"/>
        <v>1</v>
      </c>
      <c r="AC31" s="1257">
        <f t="shared" si="5"/>
        <v>1</v>
      </c>
    </row>
    <row r="32" spans="1:29" ht="15">
      <c r="A32" s="378" t="s">
        <v>1691</v>
      </c>
      <c r="B32" s="60" t="s">
        <v>1781</v>
      </c>
      <c r="C32" s="1757" t="s">
        <v>4482</v>
      </c>
      <c r="D32" s="404">
        <v>100</v>
      </c>
      <c r="E32" s="1757" t="s">
        <v>4482</v>
      </c>
      <c r="F32" s="399">
        <f>SUMIF(100:100,E32,101:101)-SUMIF(100:100,C32,101:101)+100</f>
        <v>100</v>
      </c>
      <c r="G32" s="1757" t="s">
        <v>4482</v>
      </c>
      <c r="H32" s="373">
        <f>SUMIF(100:100,G32,101:101)-SUMIF(100:100,C32,101:101)+100</f>
        <v>100</v>
      </c>
      <c r="I32" s="1757" t="s">
        <v>4482</v>
      </c>
      <c r="J32" s="404">
        <f>SUMIF(100:100,I32,101:101)-SUMIF(100:100,C32,101:101)+100</f>
        <v>100</v>
      </c>
      <c r="K32" s="537">
        <v>2</v>
      </c>
      <c r="L32" s="2486"/>
      <c r="M32" s="2481"/>
      <c r="N32" s="2481"/>
      <c r="O32" s="2481"/>
      <c r="P32" s="3440" t="s">
        <v>1693</v>
      </c>
      <c r="Q32" s="1256" t="str">
        <f t="shared" si="11"/>
        <v>商业类型</v>
      </c>
      <c r="R32" s="665" t="s">
        <v>14</v>
      </c>
      <c r="S32" s="666">
        <f t="shared" si="12"/>
        <v>100</v>
      </c>
      <c r="T32" s="665" t="s">
        <v>14</v>
      </c>
      <c r="U32" s="666">
        <f t="shared" si="13"/>
        <v>100</v>
      </c>
      <c r="V32" s="665" t="s">
        <v>14</v>
      </c>
      <c r="W32" s="666">
        <f t="shared" si="14"/>
        <v>100</v>
      </c>
      <c r="X32" s="1258"/>
      <c r="Y32" s="3443" t="s">
        <v>1693</v>
      </c>
      <c r="Z32" s="1257" t="str">
        <f t="shared" si="15"/>
        <v>商业类型</v>
      </c>
      <c r="AA32" s="1257">
        <f t="shared" si="3"/>
        <v>1</v>
      </c>
      <c r="AB32" s="1257">
        <f t="shared" si="4"/>
        <v>1</v>
      </c>
      <c r="AC32" s="1257">
        <f t="shared" si="5"/>
        <v>1</v>
      </c>
    </row>
    <row r="33" spans="1:29" s="407" customFormat="1" ht="15">
      <c r="A33" s="405"/>
      <c r="B33" s="363" t="s">
        <v>1694</v>
      </c>
      <c r="C33" s="406">
        <f>ROUND('5号楼'!F6/6,2)</f>
        <v>9391.0499999999993</v>
      </c>
      <c r="D33" s="118">
        <v>100</v>
      </c>
      <c r="E33" s="368">
        <v>120</v>
      </c>
      <c r="F33" s="363">
        <f>LOOKUP(E33,103:103,104:104)-LOOKUP(C33,103:103,104:104)+100</f>
        <v>108</v>
      </c>
      <c r="G33" s="367">
        <v>180</v>
      </c>
      <c r="H33" s="118">
        <f>LOOKUP(G33,103:103,104:104)-LOOKUP(C33,103:103,104:104)+100</f>
        <v>108</v>
      </c>
      <c r="I33" s="367">
        <v>330</v>
      </c>
      <c r="J33" s="118">
        <f>LOOKUP(I33,103:103,104:104)-LOOKUP(C33,103:103,104:104)+100</f>
        <v>107</v>
      </c>
      <c r="K33" s="538"/>
      <c r="L33" s="2485"/>
      <c r="M33" s="2487"/>
      <c r="N33" s="2487"/>
      <c r="O33" s="2487"/>
      <c r="P33" s="3441"/>
      <c r="Q33" s="530" t="str">
        <f t="shared" si="11"/>
        <v>项目建筑规模</v>
      </c>
      <c r="R33" s="667" t="s">
        <v>14</v>
      </c>
      <c r="S33" s="668">
        <f t="shared" si="12"/>
        <v>108</v>
      </c>
      <c r="T33" s="667" t="s">
        <v>14</v>
      </c>
      <c r="U33" s="668">
        <f t="shared" si="13"/>
        <v>108</v>
      </c>
      <c r="V33" s="667" t="s">
        <v>14</v>
      </c>
      <c r="W33" s="668">
        <f t="shared" si="14"/>
        <v>107</v>
      </c>
      <c r="X33" s="669"/>
      <c r="Y33" s="3443"/>
      <c r="Z33" s="670" t="str">
        <f t="shared" si="15"/>
        <v>项目建筑规模</v>
      </c>
      <c r="AA33" s="1257">
        <f t="shared" si="3"/>
        <v>0.92592592592592593</v>
      </c>
      <c r="AB33" s="1257">
        <f t="shared" si="4"/>
        <v>0.92592592592592593</v>
      </c>
      <c r="AC33" s="1257">
        <f t="shared" si="5"/>
        <v>0.93457943925233644</v>
      </c>
    </row>
    <row r="34" spans="1:29" ht="15">
      <c r="A34" s="408"/>
      <c r="B34" s="363" t="s">
        <v>1695</v>
      </c>
      <c r="C34" s="398" t="s">
        <v>4184</v>
      </c>
      <c r="D34" s="373">
        <v>100</v>
      </c>
      <c r="E34" s="398" t="s">
        <v>4184</v>
      </c>
      <c r="F34" s="399">
        <f>SUMIF(105:105,E34,106:106)-SUMIF(105:105,C34,106:106)+100</f>
        <v>100</v>
      </c>
      <c r="G34" s="398" t="s">
        <v>4184</v>
      </c>
      <c r="H34" s="373">
        <f>SUMIF(105:105,G34,106:106)-SUMIF(105:105,C34,106:106)+100</f>
        <v>100</v>
      </c>
      <c r="I34" s="398" t="s">
        <v>4184</v>
      </c>
      <c r="J34" s="373">
        <f>SUMIF(105:105,I34,106:106)-SUMIF(105:105,C34,106:106)+100</f>
        <v>100</v>
      </c>
      <c r="K34" s="537">
        <v>1</v>
      </c>
      <c r="L34" s="2486"/>
      <c r="M34" s="2481"/>
      <c r="N34" s="2481"/>
      <c r="O34" s="2481"/>
      <c r="P34" s="3441"/>
      <c r="Q34" s="1256" t="str">
        <f t="shared" si="11"/>
        <v>建筑结构</v>
      </c>
      <c r="R34" s="665" t="s">
        <v>14</v>
      </c>
      <c r="S34" s="666">
        <f t="shared" si="12"/>
        <v>100</v>
      </c>
      <c r="T34" s="665" t="s">
        <v>14</v>
      </c>
      <c r="U34" s="666">
        <f t="shared" si="13"/>
        <v>100</v>
      </c>
      <c r="V34" s="665" t="s">
        <v>14</v>
      </c>
      <c r="W34" s="666">
        <f t="shared" si="14"/>
        <v>100</v>
      </c>
      <c r="X34" s="1258"/>
      <c r="Y34" s="3443"/>
      <c r="Z34" s="1257" t="str">
        <f t="shared" si="15"/>
        <v>建筑结构</v>
      </c>
      <c r="AA34" s="1257">
        <f t="shared" si="3"/>
        <v>1</v>
      </c>
      <c r="AB34" s="1257">
        <f t="shared" si="4"/>
        <v>1</v>
      </c>
      <c r="AC34" s="1257">
        <f t="shared" si="5"/>
        <v>1</v>
      </c>
    </row>
    <row r="35" spans="1:29" ht="15">
      <c r="A35" s="408"/>
      <c r="B35" s="363" t="s">
        <v>1782</v>
      </c>
      <c r="C35" s="1753" t="s">
        <v>4213</v>
      </c>
      <c r="D35" s="373">
        <v>100</v>
      </c>
      <c r="E35" s="1753" t="s">
        <v>4213</v>
      </c>
      <c r="F35" s="399">
        <f>SUMIF(107:107,E35,108:108)-SUMIF(107:107,C35,108:108)+100</f>
        <v>100</v>
      </c>
      <c r="G35" s="1753" t="s">
        <v>4213</v>
      </c>
      <c r="H35" s="373">
        <f>SUMIF(107:107,G35,108:108)-SUMIF(107:107,C35,108:108)+100</f>
        <v>100</v>
      </c>
      <c r="I35" s="1753" t="s">
        <v>4213</v>
      </c>
      <c r="J35" s="373">
        <f>SUMIF(107:107,I35,108:108)-SUMIF(107:107,C35,108:108)+100</f>
        <v>100</v>
      </c>
      <c r="K35" s="537">
        <v>1</v>
      </c>
      <c r="L35" s="2486"/>
      <c r="M35" s="2481"/>
      <c r="N35" s="2481"/>
      <c r="O35" s="2481"/>
      <c r="P35" s="3441"/>
      <c r="Q35" s="1256" t="str">
        <f t="shared" si="11"/>
        <v>公共部分装修</v>
      </c>
      <c r="R35" s="665" t="s">
        <v>14</v>
      </c>
      <c r="S35" s="666">
        <f t="shared" si="12"/>
        <v>100</v>
      </c>
      <c r="T35" s="665" t="s">
        <v>14</v>
      </c>
      <c r="U35" s="666">
        <f t="shared" si="13"/>
        <v>100</v>
      </c>
      <c r="V35" s="665" t="s">
        <v>14</v>
      </c>
      <c r="W35" s="666">
        <f t="shared" si="14"/>
        <v>100</v>
      </c>
      <c r="X35" s="1258"/>
      <c r="Y35" s="3443"/>
      <c r="Z35" s="1257" t="str">
        <f t="shared" si="15"/>
        <v>公共部分装修</v>
      </c>
      <c r="AA35" s="1257">
        <f t="shared" si="3"/>
        <v>1</v>
      </c>
      <c r="AB35" s="1257">
        <f t="shared" si="4"/>
        <v>1</v>
      </c>
      <c r="AC35" s="1257">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41"/>
      <c r="Q36" s="1256" t="str">
        <f t="shared" si="11"/>
        <v>成新度</v>
      </c>
      <c r="R36" s="665" t="s">
        <v>14</v>
      </c>
      <c r="S36" s="666">
        <f t="shared" si="12"/>
        <v>100</v>
      </c>
      <c r="T36" s="665" t="s">
        <v>14</v>
      </c>
      <c r="U36" s="666">
        <f t="shared" si="13"/>
        <v>100</v>
      </c>
      <c r="V36" s="665" t="s">
        <v>14</v>
      </c>
      <c r="W36" s="666">
        <f t="shared" si="14"/>
        <v>100</v>
      </c>
      <c r="X36" s="1258"/>
      <c r="Y36" s="3443"/>
      <c r="Z36" s="1257" t="str">
        <f t="shared" si="15"/>
        <v>成新度</v>
      </c>
      <c r="AA36" s="1257">
        <f t="shared" si="3"/>
        <v>1</v>
      </c>
      <c r="AB36" s="1257">
        <f t="shared" si="4"/>
        <v>1</v>
      </c>
      <c r="AC36" s="1257">
        <f t="shared" si="5"/>
        <v>1</v>
      </c>
    </row>
    <row r="37" spans="1:29" s="102" customFormat="1" ht="15">
      <c r="A37" s="409"/>
      <c r="B37" s="363" t="s">
        <v>1784</v>
      </c>
      <c r="C37" s="1753" t="s">
        <v>4483</v>
      </c>
      <c r="D37" s="118">
        <v>100</v>
      </c>
      <c r="E37" s="1753" t="s">
        <v>4483</v>
      </c>
      <c r="F37" s="399">
        <f>SUMIF(112:112,E37,113:113)-SUMIF(112:112,C37,113:113)+100</f>
        <v>100</v>
      </c>
      <c r="G37" s="1753" t="s">
        <v>4483</v>
      </c>
      <c r="H37" s="373">
        <f>SUMIF(112:112,G37,113:113)-SUMIF(112:112,C37,113:113)+100</f>
        <v>100</v>
      </c>
      <c r="I37" s="1753" t="s">
        <v>4483</v>
      </c>
      <c r="J37" s="373">
        <f>SUMIF(112:112,I37,113:113)-SUMIF(112:112,C37,113:113)+100</f>
        <v>100</v>
      </c>
      <c r="K37" s="537">
        <v>1</v>
      </c>
      <c r="L37" s="2482"/>
      <c r="M37" s="2433"/>
      <c r="N37" s="2433"/>
      <c r="O37" s="2433"/>
      <c r="P37" s="3441"/>
      <c r="Q37" s="529" t="str">
        <f t="shared" si="11"/>
        <v>市政基础设施</v>
      </c>
      <c r="R37" s="662" t="s">
        <v>14</v>
      </c>
      <c r="S37" s="663">
        <f t="shared" si="12"/>
        <v>100</v>
      </c>
      <c r="T37" s="662" t="s">
        <v>14</v>
      </c>
      <c r="U37" s="663">
        <f t="shared" si="13"/>
        <v>100</v>
      </c>
      <c r="V37" s="662" t="s">
        <v>14</v>
      </c>
      <c r="W37" s="663">
        <f t="shared" si="14"/>
        <v>100</v>
      </c>
      <c r="X37" s="664"/>
      <c r="Y37" s="3443"/>
      <c r="Z37" s="50" t="str">
        <f t="shared" si="15"/>
        <v>市政基础设施</v>
      </c>
      <c r="AA37" s="50">
        <f t="shared" si="3"/>
        <v>1</v>
      </c>
      <c r="AB37" s="50">
        <f t="shared" si="4"/>
        <v>1</v>
      </c>
      <c r="AC37" s="50">
        <f t="shared" si="5"/>
        <v>1</v>
      </c>
    </row>
    <row r="38" spans="1:29" ht="15">
      <c r="A38" s="408"/>
      <c r="B38" s="363" t="s">
        <v>1785</v>
      </c>
      <c r="C38" s="1753" t="s">
        <v>4464</v>
      </c>
      <c r="D38" s="373">
        <v>100</v>
      </c>
      <c r="E38" s="1753" t="s">
        <v>4464</v>
      </c>
      <c r="F38" s="399">
        <f>SUMIF(114:114,E38,115:115)-SUMIF(114:114,C38,115:115)+100</f>
        <v>100</v>
      </c>
      <c r="G38" s="1753" t="s">
        <v>4464</v>
      </c>
      <c r="H38" s="373">
        <f>SUMIF(114:114,G38,115:115)-SUMIF(114:114,C38,115:115)+100</f>
        <v>100</v>
      </c>
      <c r="I38" s="1753" t="s">
        <v>4464</v>
      </c>
      <c r="J38" s="373">
        <f>SUMIF(114:114,I38,115:115)-SUMIF(114:114,C38,115:115)+100</f>
        <v>100</v>
      </c>
      <c r="K38" s="537">
        <v>1</v>
      </c>
      <c r="L38" s="2486"/>
      <c r="M38" s="2481"/>
      <c r="N38" s="2481"/>
      <c r="O38" s="2481"/>
      <c r="P38" s="3441" t="s">
        <v>1693</v>
      </c>
      <c r="Q38" s="1256" t="str">
        <f t="shared" si="11"/>
        <v>业态</v>
      </c>
      <c r="R38" s="665" t="s">
        <v>14</v>
      </c>
      <c r="S38" s="666">
        <f t="shared" si="12"/>
        <v>100</v>
      </c>
      <c r="T38" s="665" t="s">
        <v>14</v>
      </c>
      <c r="U38" s="666">
        <f t="shared" si="13"/>
        <v>100</v>
      </c>
      <c r="V38" s="665" t="s">
        <v>14</v>
      </c>
      <c r="W38" s="666">
        <f t="shared" si="14"/>
        <v>100</v>
      </c>
      <c r="X38" s="1258"/>
      <c r="Y38" s="3443" t="s">
        <v>1693</v>
      </c>
      <c r="Z38" s="1257" t="str">
        <f t="shared" si="15"/>
        <v>业态</v>
      </c>
      <c r="AA38" s="1257">
        <f t="shared" si="3"/>
        <v>1</v>
      </c>
      <c r="AB38" s="1257">
        <f t="shared" si="4"/>
        <v>1</v>
      </c>
      <c r="AC38" s="1257">
        <f t="shared" si="5"/>
        <v>1</v>
      </c>
    </row>
    <row r="39" spans="1:29" ht="15">
      <c r="A39" s="408"/>
      <c r="B39" s="363" t="s">
        <v>1786</v>
      </c>
      <c r="C39" s="1753" t="s">
        <v>4484</v>
      </c>
      <c r="D39" s="373">
        <v>100</v>
      </c>
      <c r="E39" s="1753" t="s">
        <v>4491</v>
      </c>
      <c r="F39" s="399">
        <f>SUMIF(116:116,E39,117:117)-SUMIF(116:116,C39,117:117)+100</f>
        <v>95</v>
      </c>
      <c r="G39" s="1753" t="s">
        <v>4491</v>
      </c>
      <c r="H39" s="373">
        <f>SUMIF(116:116,G39,117:117)-SUMIF(116:116,C39,117:117)+100</f>
        <v>95</v>
      </c>
      <c r="I39" s="1753" t="s">
        <v>4491</v>
      </c>
      <c r="J39" s="373">
        <f>SUMIF(116:116,I39,117:117)-SUMIF(116:116,C39,117:117)+100</f>
        <v>95</v>
      </c>
      <c r="K39" s="537">
        <v>5</v>
      </c>
      <c r="L39" s="2486"/>
      <c r="M39" s="2481"/>
      <c r="N39" s="2481"/>
      <c r="O39" s="2481"/>
      <c r="P39" s="3441"/>
      <c r="Q39" s="1256" t="str">
        <f t="shared" si="11"/>
        <v>层高</v>
      </c>
      <c r="R39" s="665" t="s">
        <v>14</v>
      </c>
      <c r="S39" s="666">
        <f t="shared" si="12"/>
        <v>95</v>
      </c>
      <c r="T39" s="665" t="s">
        <v>14</v>
      </c>
      <c r="U39" s="666">
        <f t="shared" si="13"/>
        <v>95</v>
      </c>
      <c r="V39" s="665" t="s">
        <v>14</v>
      </c>
      <c r="W39" s="666">
        <f t="shared" si="14"/>
        <v>95</v>
      </c>
      <c r="X39" s="1258"/>
      <c r="Y39" s="3443"/>
      <c r="Z39" s="1257" t="str">
        <f t="shared" si="15"/>
        <v>层高</v>
      </c>
      <c r="AA39" s="1257">
        <f t="shared" si="3"/>
        <v>1.0526315789473684</v>
      </c>
      <c r="AB39" s="1257">
        <f t="shared" si="4"/>
        <v>1.0526315789473684</v>
      </c>
      <c r="AC39" s="1257">
        <f t="shared" si="5"/>
        <v>1.0526315789473684</v>
      </c>
    </row>
    <row r="40" spans="1:29" ht="15" hidden="1">
      <c r="A40" s="408"/>
      <c r="B40" s="363" t="s">
        <v>1787</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41"/>
      <c r="Q40" s="1256" t="str">
        <f t="shared" si="11"/>
        <v>单套建筑面积</v>
      </c>
      <c r="R40" s="665" t="s">
        <v>14</v>
      </c>
      <c r="S40" s="666">
        <f t="shared" si="12"/>
        <v>100</v>
      </c>
      <c r="T40" s="665" t="s">
        <v>14</v>
      </c>
      <c r="U40" s="666">
        <f t="shared" si="13"/>
        <v>100</v>
      </c>
      <c r="V40" s="665" t="s">
        <v>14</v>
      </c>
      <c r="W40" s="666">
        <f t="shared" si="14"/>
        <v>100</v>
      </c>
      <c r="X40" s="1258"/>
      <c r="Y40" s="3443"/>
      <c r="Z40" s="1257" t="str">
        <f t="shared" si="15"/>
        <v>单套建筑面积</v>
      </c>
      <c r="AA40" s="1257">
        <f t="shared" si="3"/>
        <v>1</v>
      </c>
      <c r="AB40" s="1257">
        <f t="shared" si="4"/>
        <v>1</v>
      </c>
      <c r="AC40" s="1257">
        <f t="shared" si="5"/>
        <v>1</v>
      </c>
    </row>
    <row r="41" spans="1:29" s="407" customFormat="1" ht="15">
      <c r="A41" s="405"/>
      <c r="B41" s="399" t="s">
        <v>1788</v>
      </c>
      <c r="C41" s="541" t="s">
        <v>4487</v>
      </c>
      <c r="D41" s="373">
        <v>100</v>
      </c>
      <c r="E41" s="541" t="s">
        <v>4487</v>
      </c>
      <c r="F41" s="399">
        <f>SUMIF(120:120,E41,121:121)-SUMIF(120:120,C41,121:121)+100</f>
        <v>100</v>
      </c>
      <c r="G41" s="541" t="s">
        <v>4487</v>
      </c>
      <c r="H41" s="373">
        <f>SUMIF(120:120,G41,121:121)-SUMIF(120:120,C41,121:121)+100</f>
        <v>100</v>
      </c>
      <c r="I41" s="541" t="s">
        <v>4487</v>
      </c>
      <c r="J41" s="373">
        <f>SUMIF(120:120,I41,121:121)-SUMIF(120:120,C41,121:121)+100</f>
        <v>100</v>
      </c>
      <c r="K41" s="537">
        <v>1</v>
      </c>
      <c r="L41" s="2485"/>
      <c r="M41" s="2487"/>
      <c r="N41" s="2487"/>
      <c r="O41" s="2487"/>
      <c r="P41" s="3441"/>
      <c r="Q41" s="530" t="str">
        <f t="shared" si="11"/>
        <v>进深比</v>
      </c>
      <c r="R41" s="667" t="s">
        <v>14</v>
      </c>
      <c r="S41" s="668">
        <f t="shared" si="12"/>
        <v>100</v>
      </c>
      <c r="T41" s="667" t="s">
        <v>14</v>
      </c>
      <c r="U41" s="668">
        <f t="shared" si="13"/>
        <v>100</v>
      </c>
      <c r="V41" s="667" t="s">
        <v>14</v>
      </c>
      <c r="W41" s="668">
        <f t="shared" si="14"/>
        <v>100</v>
      </c>
      <c r="X41" s="669"/>
      <c r="Y41" s="3443"/>
      <c r="Z41" s="670" t="str">
        <f t="shared" si="15"/>
        <v>进深比</v>
      </c>
      <c r="AA41" s="1257">
        <f t="shared" si="3"/>
        <v>1</v>
      </c>
      <c r="AB41" s="1257">
        <f t="shared" si="4"/>
        <v>1</v>
      </c>
      <c r="AC41" s="1257">
        <f t="shared" si="5"/>
        <v>1</v>
      </c>
    </row>
    <row r="42" spans="1:29" ht="15">
      <c r="A42" s="408"/>
      <c r="B42" s="363" t="s">
        <v>1789</v>
      </c>
      <c r="C42" s="1753" t="s">
        <v>4218</v>
      </c>
      <c r="D42" s="373">
        <v>100</v>
      </c>
      <c r="E42" s="1753" t="s">
        <v>4218</v>
      </c>
      <c r="F42" s="399">
        <f>SUMIF(122:122,E42,123:123)-SUMIF(122:122,C42,123:123)+100</f>
        <v>100</v>
      </c>
      <c r="G42" s="1753" t="s">
        <v>4218</v>
      </c>
      <c r="H42" s="373">
        <f>SUMIF(122:122,G42,123:123)-SUMIF(122:122,C42,123:123)+100</f>
        <v>100</v>
      </c>
      <c r="I42" s="1753" t="s">
        <v>4218</v>
      </c>
      <c r="J42" s="373">
        <f>SUMIF(122:122,I42,123:123)-SUMIF(122:122,C42,123:123)+100</f>
        <v>100</v>
      </c>
      <c r="K42" s="537">
        <v>1</v>
      </c>
      <c r="L42" s="2486"/>
      <c r="M42" s="2481"/>
      <c r="N42" s="2481"/>
      <c r="O42" s="2481"/>
      <c r="P42" s="3441"/>
      <c r="Q42" s="1256" t="str">
        <f t="shared" si="11"/>
        <v>内部装修</v>
      </c>
      <c r="R42" s="665" t="s">
        <v>14</v>
      </c>
      <c r="S42" s="666">
        <f t="shared" si="12"/>
        <v>100</v>
      </c>
      <c r="T42" s="665" t="s">
        <v>14</v>
      </c>
      <c r="U42" s="666">
        <f t="shared" si="13"/>
        <v>100</v>
      </c>
      <c r="V42" s="665" t="s">
        <v>14</v>
      </c>
      <c r="W42" s="666">
        <f t="shared" si="14"/>
        <v>100</v>
      </c>
      <c r="X42" s="1258"/>
      <c r="Y42" s="3443"/>
      <c r="Z42" s="1257" t="str">
        <f t="shared" si="15"/>
        <v>内部装修</v>
      </c>
      <c r="AA42" s="1257">
        <f t="shared" si="3"/>
        <v>1</v>
      </c>
      <c r="AB42" s="1257">
        <f t="shared" si="4"/>
        <v>1</v>
      </c>
      <c r="AC42" s="1257">
        <f t="shared" si="5"/>
        <v>1</v>
      </c>
    </row>
    <row r="43" spans="1:29" ht="15.75" thickBot="1">
      <c r="A43" s="408"/>
      <c r="B43" s="363" t="s">
        <v>1704</v>
      </c>
      <c r="C43" s="1753" t="s">
        <v>4165</v>
      </c>
      <c r="D43" s="373">
        <v>100</v>
      </c>
      <c r="E43" s="1753" t="s">
        <v>4165</v>
      </c>
      <c r="F43" s="399">
        <f>SUMIF(124:124,E43,125:125)-SUMIF(124:124,C43,125:125)+100</f>
        <v>100</v>
      </c>
      <c r="G43" s="1753" t="s">
        <v>4165</v>
      </c>
      <c r="H43" s="373">
        <f>SUMIF(124:124,G43,125:125)-SUMIF(124:124,C43,125:125)+100</f>
        <v>100</v>
      </c>
      <c r="I43" s="1753" t="s">
        <v>4165</v>
      </c>
      <c r="J43" s="373">
        <f>SUMIF(124:124,I43,125:125)-SUMIF(124:124,C43,125:125)+100</f>
        <v>100</v>
      </c>
      <c r="K43" s="537">
        <v>1</v>
      </c>
      <c r="L43" s="2486"/>
      <c r="M43" s="2481"/>
      <c r="N43" s="2481"/>
      <c r="O43" s="2481"/>
      <c r="P43" s="3441"/>
      <c r="Q43" s="1256" t="str">
        <f t="shared" si="11"/>
        <v>内部装修维护情况</v>
      </c>
      <c r="R43" s="665" t="s">
        <v>14</v>
      </c>
      <c r="S43" s="666">
        <f t="shared" si="12"/>
        <v>100</v>
      </c>
      <c r="T43" s="665" t="s">
        <v>14</v>
      </c>
      <c r="U43" s="666">
        <f t="shared" si="13"/>
        <v>100</v>
      </c>
      <c r="V43" s="665" t="s">
        <v>14</v>
      </c>
      <c r="W43" s="666">
        <f t="shared" si="14"/>
        <v>100</v>
      </c>
      <c r="X43" s="1258"/>
      <c r="Y43" s="3443"/>
      <c r="Z43" s="1257" t="str">
        <f t="shared" si="15"/>
        <v>内部装修维护情况</v>
      </c>
      <c r="AA43" s="1257">
        <f t="shared" si="3"/>
        <v>1</v>
      </c>
      <c r="AB43" s="1257">
        <f t="shared" si="4"/>
        <v>1</v>
      </c>
      <c r="AC43" s="1257">
        <f t="shared" si="5"/>
        <v>1</v>
      </c>
    </row>
    <row r="44" spans="1:29" s="102" customFormat="1" ht="15" hidden="1">
      <c r="A44" s="409"/>
      <c r="B44" s="1061">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441"/>
      <c r="Q44" s="529">
        <f t="shared" si="11"/>
        <v>111</v>
      </c>
      <c r="R44" s="662" t="s">
        <v>14</v>
      </c>
      <c r="S44" s="663">
        <f t="shared" si="12"/>
        <v>100</v>
      </c>
      <c r="T44" s="662" t="s">
        <v>14</v>
      </c>
      <c r="U44" s="663">
        <f t="shared" si="13"/>
        <v>100</v>
      </c>
      <c r="V44" s="662" t="s">
        <v>14</v>
      </c>
      <c r="W44" s="663">
        <f t="shared" si="14"/>
        <v>100</v>
      </c>
      <c r="X44" s="664"/>
      <c r="Y44" s="3443"/>
      <c r="Z44" s="50">
        <f t="shared" si="15"/>
        <v>111</v>
      </c>
      <c r="AA44" s="50">
        <f t="shared" si="3"/>
        <v>1</v>
      </c>
      <c r="AB44" s="50">
        <f t="shared" si="4"/>
        <v>1</v>
      </c>
      <c r="AC44" s="50">
        <f t="shared" si="5"/>
        <v>1</v>
      </c>
    </row>
    <row r="45" spans="1:29" ht="15" hidden="1">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41"/>
      <c r="Q45" s="1256">
        <f t="shared" si="11"/>
        <v>111</v>
      </c>
      <c r="R45" s="665" t="s">
        <v>14</v>
      </c>
      <c r="S45" s="666">
        <f t="shared" si="12"/>
        <v>100</v>
      </c>
      <c r="T45" s="665" t="s">
        <v>14</v>
      </c>
      <c r="U45" s="666">
        <f t="shared" si="13"/>
        <v>100</v>
      </c>
      <c r="V45" s="665" t="s">
        <v>14</v>
      </c>
      <c r="W45" s="666">
        <f t="shared" si="14"/>
        <v>100</v>
      </c>
      <c r="X45" s="1258"/>
      <c r="Y45" s="3443"/>
      <c r="Z45" s="1257">
        <f t="shared" si="15"/>
        <v>111</v>
      </c>
      <c r="AA45" s="1257">
        <f t="shared" si="3"/>
        <v>1</v>
      </c>
      <c r="AB45" s="1257">
        <f t="shared" si="4"/>
        <v>1</v>
      </c>
      <c r="AC45" s="1257">
        <f t="shared" si="5"/>
        <v>1</v>
      </c>
    </row>
    <row r="46" spans="1:29" ht="15.75" hidden="1" thickBot="1">
      <c r="A46" s="414"/>
      <c r="B46" s="1742">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42"/>
      <c r="Q46" s="1256">
        <f t="shared" si="11"/>
        <v>111</v>
      </c>
      <c r="R46" s="665" t="s">
        <v>14</v>
      </c>
      <c r="S46" s="666">
        <f t="shared" si="12"/>
        <v>100</v>
      </c>
      <c r="T46" s="665" t="s">
        <v>14</v>
      </c>
      <c r="U46" s="666">
        <f t="shared" si="13"/>
        <v>100</v>
      </c>
      <c r="V46" s="665" t="s">
        <v>14</v>
      </c>
      <c r="W46" s="666">
        <f t="shared" si="14"/>
        <v>100</v>
      </c>
      <c r="X46" s="1258"/>
      <c r="Y46" s="3444"/>
      <c r="Z46" s="1257">
        <f t="shared" si="15"/>
        <v>111</v>
      </c>
      <c r="AA46" s="1257">
        <f t="shared" si="3"/>
        <v>1</v>
      </c>
      <c r="AB46" s="1257">
        <f t="shared" si="4"/>
        <v>1</v>
      </c>
      <c r="AC46" s="1257">
        <f t="shared" si="5"/>
        <v>1</v>
      </c>
    </row>
    <row r="47" spans="1:29" ht="15">
      <c r="A47" s="415" t="s">
        <v>1705</v>
      </c>
      <c r="B47" s="416"/>
      <c r="C47" s="1076" t="s">
        <v>0</v>
      </c>
      <c r="D47" s="417"/>
      <c r="E47" s="418">
        <v>6.9</v>
      </c>
      <c r="F47" s="419"/>
      <c r="G47" s="420">
        <v>5</v>
      </c>
      <c r="H47" s="421"/>
      <c r="I47" s="418">
        <v>6.89</v>
      </c>
      <c r="J47" s="421"/>
      <c r="K47" s="672"/>
      <c r="L47" s="2488"/>
      <c r="M47" s="2481"/>
      <c r="N47" s="2481"/>
      <c r="O47" s="2481"/>
      <c r="P47" s="3436" t="str">
        <f>A47</f>
        <v>成交单价（元/平方米）</v>
      </c>
      <c r="Q47" s="3436"/>
      <c r="R47" s="3437">
        <f>E47</f>
        <v>6.9</v>
      </c>
      <c r="S47" s="3437"/>
      <c r="T47" s="3437">
        <f>G47</f>
        <v>5</v>
      </c>
      <c r="U47" s="3437"/>
      <c r="V47" s="3437">
        <f>I47</f>
        <v>6.89</v>
      </c>
      <c r="W47" s="3437"/>
      <c r="X47" s="384"/>
      <c r="Y47" s="671"/>
      <c r="Z47" s="384"/>
      <c r="AA47" s="384"/>
      <c r="AB47" s="384"/>
      <c r="AC47" s="384"/>
    </row>
    <row r="48" spans="1:29" ht="15.75" thickBot="1">
      <c r="A48" s="422" t="s">
        <v>1790</v>
      </c>
      <c r="B48" s="423"/>
      <c r="C48" s="1077">
        <f>R49</f>
        <v>6</v>
      </c>
      <c r="D48" s="2134" t="s">
        <v>2134</v>
      </c>
      <c r="E48" s="1078">
        <f>R48</f>
        <v>6.5</v>
      </c>
      <c r="F48" s="2135"/>
      <c r="G48" s="1077">
        <f>T48</f>
        <v>4.9000000000000004</v>
      </c>
      <c r="H48" s="2135"/>
      <c r="I48" s="1078">
        <f>V48</f>
        <v>6.6</v>
      </c>
      <c r="J48" s="2135"/>
      <c r="K48" s="2137">
        <f>F48+H48+J48</f>
        <v>0</v>
      </c>
      <c r="L48" s="2488"/>
      <c r="M48" s="2481"/>
      <c r="N48" s="2481"/>
      <c r="O48" s="2481"/>
      <c r="P48" s="3436" t="str">
        <f>A48</f>
        <v>比较价值（元/平方米）</v>
      </c>
      <c r="Q48" s="3436"/>
      <c r="R48" s="3437">
        <f>IF(F1="售价",ROUND(PRODUCT(R47,AA7:AA46),0),ROUND(PRODUCT(R47,AA7:AA46),1))</f>
        <v>6.5</v>
      </c>
      <c r="S48" s="3437"/>
      <c r="T48" s="3437">
        <f>IF(F1="售价",ROUND(PRODUCT(T47,AB7:AB46),0),ROUND(PRODUCT(T47,AB7:AB46),1))</f>
        <v>4.9000000000000004</v>
      </c>
      <c r="U48" s="3437"/>
      <c r="V48" s="3437">
        <f>IF(F1="售价",ROUND(PRODUCT(V47,AC7:AC46),0),ROUND(PRODUCT(V47,AC7:AC46),1))</f>
        <v>6.6</v>
      </c>
      <c r="W48" s="3437"/>
      <c r="X48" s="384"/>
      <c r="Y48" s="384"/>
      <c r="Z48" s="384"/>
      <c r="AA48" s="384"/>
      <c r="AB48" s="384"/>
      <c r="AC48" s="384"/>
    </row>
    <row r="49" spans="1:29" ht="15.75" thickBot="1">
      <c r="A49" s="426" t="s">
        <v>1791</v>
      </c>
      <c r="B49" s="427"/>
      <c r="C49" s="350">
        <f>R49</f>
        <v>6</v>
      </c>
      <c r="D49" s="350"/>
      <c r="E49" s="350"/>
      <c r="F49" s="350"/>
      <c r="G49" s="350"/>
      <c r="H49" s="350"/>
      <c r="I49" s="350"/>
      <c r="J49" s="350"/>
      <c r="K49" s="673"/>
      <c r="L49" s="2488"/>
      <c r="M49" s="2481"/>
      <c r="N49" s="2481"/>
      <c r="O49" s="2481"/>
      <c r="P49" s="3433" t="str">
        <f>A49</f>
        <v>估价对象XX用房的比较价值（楼面单价，元/平方米）</v>
      </c>
      <c r="Q49" s="3434"/>
      <c r="R49" s="3435">
        <f>IF(F1="售价",ROUND(IF(D48="简单平均",AVERAGE(R48:V48),R48*F48+T48*H48+V48*J48),0),ROUND(IF(D48="简单平均",AVERAGE(R48:V48),R48*F48+T48*H48+V48*J48),1))</f>
        <v>6</v>
      </c>
      <c r="S49" s="3435"/>
      <c r="T49" s="3435"/>
      <c r="U49" s="3435"/>
      <c r="V49" s="3435"/>
      <c r="W49" s="3435"/>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1792</v>
      </c>
      <c r="D52" s="432"/>
      <c r="E52" s="433">
        <f>IF(E47&lt;E48,E48/E47-1,E47/E48-1)</f>
        <v>6.1538461538461542E-2</v>
      </c>
      <c r="F52" s="434" t="str">
        <f>IF(OR(E52&gt;=0.3,E52&lt;=-0.3),"超过30%","")</f>
        <v/>
      </c>
      <c r="G52" s="433">
        <f>IF(G47&lt;G48,G48/G47-1,G47/G48-1)</f>
        <v>2.0408163265306145E-2</v>
      </c>
      <c r="H52" s="434" t="str">
        <f>IF(OR(G52&gt;=0.3,G52&lt;=-0.3),"超过30%","")</f>
        <v/>
      </c>
      <c r="I52" s="433">
        <f>IF(I47&lt;I48,I48/I47-1,I47/I48-1)</f>
        <v>4.3939393939393945E-2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1793</v>
      </c>
      <c r="D53" s="435"/>
      <c r="E53" s="433">
        <f>IF(E48&lt;G48,G48/E48-1,E48/G48-1)</f>
        <v>0.32653061224489788</v>
      </c>
      <c r="F53" s="434" t="str">
        <f>IF(OR(E53&gt;=0.2,E53&lt;=-0.2),"超过20%","")</f>
        <v>超过20%</v>
      </c>
      <c r="G53" s="433">
        <f>IF(G48&lt;I48,I48/G48-1,G48/I48-1)</f>
        <v>0.3469387755102038</v>
      </c>
      <c r="H53" s="434" t="str">
        <f>IF(OR(G53&gt;=0.2,G53&lt;=-0.2),"超过20%","")</f>
        <v>超过20%</v>
      </c>
      <c r="I53" s="433">
        <f>IF(I48&lt;E48,E48/I48-1,I48/E48-1)</f>
        <v>1.538461538461533E-2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1794</v>
      </c>
      <c r="D54" s="435"/>
      <c r="E54" s="433">
        <f>IF(E47&lt;G47,G47/E47-1,E47/G47-1)</f>
        <v>0.38000000000000012</v>
      </c>
      <c r="F54" s="434" t="str">
        <f>IF(OR(E54&gt;=0.3,E54&lt;=-0.3),"超过30%","")</f>
        <v>超过30%</v>
      </c>
      <c r="G54" s="433">
        <f>IF(G47&lt;I47,I47/G47-1,G47/I47-1)</f>
        <v>0.37799999999999989</v>
      </c>
      <c r="H54" s="434" t="str">
        <f>IF(OR(G54&gt;=0.3,G54&lt;=-0.3),"超过30%","")</f>
        <v>超过30%</v>
      </c>
      <c r="I54" s="433">
        <f>IF(I47&lt;E47,E47/I47-1,I47/E47-1)</f>
        <v>1.4513788098695635E-3</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1795</v>
      </c>
      <c r="B57" s="384"/>
      <c r="C57" s="657"/>
      <c r="D57" s="657"/>
      <c r="E57" s="657"/>
      <c r="F57" s="658"/>
      <c r="G57" s="658"/>
      <c r="H57" s="657"/>
      <c r="I57" s="657"/>
      <c r="J57" s="657"/>
      <c r="K57" s="659"/>
      <c r="L57" s="884"/>
      <c r="M57" s="882"/>
      <c r="N57" s="882"/>
      <c r="O57" s="882"/>
      <c r="P57" s="2501"/>
      <c r="Q57" s="2502"/>
      <c r="R57" s="2481"/>
      <c r="S57" s="2481"/>
      <c r="T57" s="2481"/>
      <c r="U57" s="2481"/>
      <c r="V57" s="2481"/>
      <c r="W57" s="2481"/>
      <c r="X57" s="2481"/>
      <c r="Y57" s="2481"/>
      <c r="Z57" s="2481"/>
      <c r="AA57" s="2481"/>
      <c r="AB57" s="2481"/>
      <c r="AC57" s="2481"/>
    </row>
    <row r="58" spans="1:29" s="441" customFormat="1" ht="15">
      <c r="A58" s="439" t="s">
        <v>1676</v>
      </c>
      <c r="B58" s="440"/>
      <c r="C58" s="1098" t="str">
        <f>YEAR(C7)&amp;"-"&amp;MONTH(C7)</f>
        <v>2024-7</v>
      </c>
      <c r="D58" s="1099">
        <f>EDATE(C58,-1)</f>
        <v>45444</v>
      </c>
      <c r="E58" s="1099">
        <f t="shared" ref="E58:N58" si="16">EDATE(D58,-1)</f>
        <v>45413</v>
      </c>
      <c r="F58" s="1099">
        <f t="shared" si="16"/>
        <v>45383</v>
      </c>
      <c r="G58" s="1099">
        <f t="shared" si="16"/>
        <v>45352</v>
      </c>
      <c r="H58" s="1099">
        <f t="shared" si="16"/>
        <v>45323</v>
      </c>
      <c r="I58" s="1099">
        <f t="shared" si="16"/>
        <v>45292</v>
      </c>
      <c r="J58" s="1099">
        <f t="shared" si="16"/>
        <v>45261</v>
      </c>
      <c r="K58" s="1099">
        <f t="shared" si="16"/>
        <v>45231</v>
      </c>
      <c r="L58" s="1099">
        <f t="shared" si="16"/>
        <v>45200</v>
      </c>
      <c r="M58" s="1099">
        <f t="shared" si="16"/>
        <v>45170</v>
      </c>
      <c r="N58" s="1099">
        <f t="shared" si="16"/>
        <v>45139</v>
      </c>
      <c r="O58" s="1099">
        <f>EDATE(N58,-1)</f>
        <v>45108</v>
      </c>
      <c r="P58" s="2503"/>
      <c r="Q58" s="2504"/>
      <c r="R58" s="2504"/>
      <c r="S58" s="2504"/>
      <c r="T58" s="2504"/>
      <c r="U58" s="2504"/>
      <c r="V58" s="2504"/>
      <c r="W58" s="2504"/>
      <c r="X58" s="2504"/>
      <c r="Y58" s="2504"/>
      <c r="Z58" s="2504"/>
      <c r="AA58" s="2504"/>
      <c r="AB58" s="2504"/>
      <c r="AC58" s="2504"/>
    </row>
    <row r="59" spans="1:29" s="102" customFormat="1" ht="15">
      <c r="A59" s="442"/>
      <c r="B59" s="443"/>
      <c r="C59" s="1097">
        <v>100</v>
      </c>
      <c r="D59" s="445"/>
      <c r="E59" s="445"/>
      <c r="F59" s="445"/>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2" customFormat="1" ht="15.75" thickBot="1">
      <c r="A60" s="448" t="s">
        <v>1713</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2" customFormat="1" ht="15">
      <c r="A61" s="454" t="s">
        <v>1678</v>
      </c>
      <c r="B61" s="443"/>
      <c r="C61" s="455" t="s">
        <v>1773</v>
      </c>
      <c r="D61" s="3176" t="s">
        <v>4466</v>
      </c>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2" customFormat="1" ht="15.75" thickBot="1">
      <c r="A62" s="454"/>
      <c r="B62" s="443"/>
      <c r="C62" s="444">
        <v>100</v>
      </c>
      <c r="D62" s="3175">
        <v>103</v>
      </c>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1716</v>
      </c>
      <c r="B63" s="459" t="s">
        <v>1682</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1685</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1686</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1687</v>
      </c>
      <c r="B76" s="459" t="s">
        <v>1717</v>
      </c>
      <c r="C76" s="503" t="s">
        <v>1718</v>
      </c>
      <c r="D76" s="503" t="s">
        <v>1719</v>
      </c>
      <c r="E76" s="503" t="s">
        <v>1720</v>
      </c>
      <c r="F76" s="503" t="s">
        <v>1721</v>
      </c>
      <c r="G76" s="503" t="s">
        <v>1722</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1723</v>
      </c>
      <c r="C78" s="508" t="s">
        <v>1718</v>
      </c>
      <c r="D78" s="508" t="s">
        <v>1719</v>
      </c>
      <c r="E78" s="508" t="s">
        <v>1720</v>
      </c>
      <c r="F78" s="508" t="s">
        <v>1721</v>
      </c>
      <c r="G78" s="508" t="s">
        <v>1722</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1724</v>
      </c>
      <c r="C80" s="508" t="s">
        <v>1718</v>
      </c>
      <c r="D80" s="508" t="s">
        <v>1719</v>
      </c>
      <c r="E80" s="508" t="s">
        <v>1720</v>
      </c>
      <c r="F80" s="508" t="s">
        <v>1721</v>
      </c>
      <c r="G80" s="508" t="s">
        <v>1722</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1776</v>
      </c>
      <c r="C82" s="579" t="s">
        <v>1796</v>
      </c>
      <c r="D82" s="579" t="s">
        <v>1797</v>
      </c>
      <c r="E82" s="579" t="s">
        <v>1798</v>
      </c>
      <c r="F82" s="579" t="s">
        <v>1799</v>
      </c>
      <c r="G82" s="579" t="s">
        <v>1800</v>
      </c>
      <c r="H82" s="469"/>
      <c r="I82" s="469"/>
      <c r="J82" s="469"/>
      <c r="K82" s="469"/>
      <c r="L82" s="469"/>
      <c r="M82" s="1058"/>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98</v>
      </c>
      <c r="E83" s="474">
        <f t="shared" ref="E83:G83" si="19">D83-$K21</f>
        <v>96</v>
      </c>
      <c r="F83" s="474">
        <f t="shared" si="19"/>
        <v>94</v>
      </c>
      <c r="G83" s="474">
        <f t="shared" si="19"/>
        <v>92</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1730</v>
      </c>
      <c r="C84" s="508" t="s">
        <v>1718</v>
      </c>
      <c r="D84" s="508" t="s">
        <v>1719</v>
      </c>
      <c r="E84" s="508" t="s">
        <v>1720</v>
      </c>
      <c r="F84" s="508" t="s">
        <v>1721</v>
      </c>
      <c r="G84" s="508" t="s">
        <v>1722</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2" customFormat="1" ht="15.75" thickTop="1">
      <c r="A86" s="369"/>
      <c r="B86" s="468" t="s">
        <v>1801</v>
      </c>
      <c r="C86" s="3177" t="s">
        <v>4467</v>
      </c>
      <c r="D86" s="3177" t="s">
        <v>4468</v>
      </c>
      <c r="E86" s="3177" t="s">
        <v>4469</v>
      </c>
      <c r="F86" s="3177" t="s">
        <v>4470</v>
      </c>
      <c r="G86" s="3177" t="s">
        <v>4471</v>
      </c>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2"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69"/>
      <c r="B88" s="468" t="str">
        <f>B26</f>
        <v>平面位置/可视性</v>
      </c>
      <c r="C88" s="3177" t="s">
        <v>4428</v>
      </c>
      <c r="D88" s="3177" t="s">
        <v>4165</v>
      </c>
      <c r="E88" s="3177" t="s">
        <v>4164</v>
      </c>
      <c r="F88" s="3178" t="s">
        <v>4472</v>
      </c>
      <c r="G88" s="3177" t="s">
        <v>4473</v>
      </c>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2" customFormat="1" ht="15.75" thickBot="1">
      <c r="A89" s="369"/>
      <c r="B89" s="473"/>
      <c r="C89" s="3179">
        <v>100</v>
      </c>
      <c r="D89" s="3180">
        <v>98</v>
      </c>
      <c r="E89" s="3179">
        <v>96</v>
      </c>
      <c r="F89" s="3180">
        <v>94</v>
      </c>
      <c r="G89" s="3179">
        <v>92</v>
      </c>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181" t="s">
        <v>4474</v>
      </c>
      <c r="D90" s="3181" t="s">
        <v>4475</v>
      </c>
      <c r="E90" s="3181" t="s">
        <v>4164</v>
      </c>
      <c r="F90" s="3181" t="s">
        <v>4476</v>
      </c>
      <c r="G90" s="3181" t="s">
        <v>4477</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3181" t="s">
        <v>4478</v>
      </c>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3180">
        <v>100</v>
      </c>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1691</v>
      </c>
      <c r="B100" s="459" t="s">
        <v>1802</v>
      </c>
      <c r="C100" s="3182" t="s">
        <v>4479</v>
      </c>
      <c r="D100" s="3182" t="s">
        <v>4480</v>
      </c>
      <c r="E100" s="3182" t="s">
        <v>4481</v>
      </c>
      <c r="F100" s="3182" t="s">
        <v>4482</v>
      </c>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6"/>
      <c r="B102" s="468" t="s">
        <v>1734</v>
      </c>
      <c r="C102" s="508" t="str">
        <f>C103&amp;"(含)"&amp;"-"&amp;D103</f>
        <v>0(含)-200</v>
      </c>
      <c r="D102" s="508" t="str">
        <f t="shared" ref="D102:L102" si="23">D103&amp;"(含)"&amp;"-"&amp;E103</f>
        <v>200(含)-400</v>
      </c>
      <c r="E102" s="508" t="str">
        <f t="shared" si="23"/>
        <v>400(含)-600</v>
      </c>
      <c r="F102" s="508" t="str">
        <f t="shared" si="23"/>
        <v>600(含)-800</v>
      </c>
      <c r="G102" s="508" t="str">
        <f t="shared" si="23"/>
        <v>800(含)-1000</v>
      </c>
      <c r="H102" s="508" t="str">
        <f t="shared" si="23"/>
        <v>1000(含)-1200</v>
      </c>
      <c r="I102" s="508" t="str">
        <f t="shared" si="23"/>
        <v>1200(含)-1400</v>
      </c>
      <c r="J102" s="508" t="str">
        <f t="shared" si="23"/>
        <v>1400(含)-1600</v>
      </c>
      <c r="K102" s="508" t="str">
        <f t="shared" si="23"/>
        <v>1600(含)-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3185">
        <v>0</v>
      </c>
      <c r="D103" s="3185">
        <v>200</v>
      </c>
      <c r="E103" s="3185">
        <v>400</v>
      </c>
      <c r="F103" s="3185">
        <v>600</v>
      </c>
      <c r="G103" s="3185">
        <v>800</v>
      </c>
      <c r="H103" s="3185">
        <v>1000</v>
      </c>
      <c r="I103" s="3185">
        <v>1200</v>
      </c>
      <c r="J103" s="3185">
        <v>1400</v>
      </c>
      <c r="K103" s="3185">
        <v>1600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3179">
        <v>100</v>
      </c>
      <c r="D104" s="3180">
        <v>99</v>
      </c>
      <c r="E104" s="3179">
        <v>98</v>
      </c>
      <c r="F104" s="3180">
        <v>97</v>
      </c>
      <c r="G104" s="3179">
        <v>96</v>
      </c>
      <c r="H104" s="3180">
        <v>95</v>
      </c>
      <c r="I104" s="3179">
        <v>94</v>
      </c>
      <c r="J104" s="3180">
        <v>93</v>
      </c>
      <c r="K104" s="3179">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1735</v>
      </c>
      <c r="C105" s="3181" t="s">
        <v>4184</v>
      </c>
      <c r="D105" s="3177"/>
      <c r="E105" s="3183"/>
      <c r="F105" s="3183"/>
      <c r="G105" s="3183"/>
      <c r="H105" s="3183"/>
      <c r="I105" s="3183"/>
      <c r="J105" s="3183"/>
      <c r="K105" s="3184"/>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1737</v>
      </c>
      <c r="C107" s="3181" t="s">
        <v>4213</v>
      </c>
      <c r="D107" s="3181" t="s">
        <v>4237</v>
      </c>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5">C108-$K35</f>
        <v>99</v>
      </c>
      <c r="E108" s="474">
        <f t="shared" si="25"/>
        <v>98</v>
      </c>
      <c r="F108" s="474">
        <f t="shared" si="25"/>
        <v>97</v>
      </c>
      <c r="G108" s="474">
        <f t="shared" si="25"/>
        <v>96</v>
      </c>
      <c r="H108" s="474">
        <f t="shared" si="25"/>
        <v>95</v>
      </c>
      <c r="I108" s="474">
        <f t="shared" si="25"/>
        <v>94</v>
      </c>
      <c r="J108" s="474">
        <f t="shared" si="25"/>
        <v>93</v>
      </c>
      <c r="K108" s="474">
        <f t="shared" si="25"/>
        <v>92</v>
      </c>
      <c r="L108" s="474">
        <f t="shared" si="25"/>
        <v>91</v>
      </c>
      <c r="M108" s="475">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1739</v>
      </c>
      <c r="C112" s="3181" t="s">
        <v>4210</v>
      </c>
      <c r="D112" s="3181" t="s">
        <v>4483</v>
      </c>
      <c r="E112" s="3181" t="s">
        <v>4216</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1803</v>
      </c>
      <c r="C114" s="3181" t="s">
        <v>4464</v>
      </c>
      <c r="D114" s="3181" t="s">
        <v>4486</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5">
        <f t="shared" si="28"/>
        <v>90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1804</v>
      </c>
      <c r="C116" s="3181" t="s">
        <v>4484</v>
      </c>
      <c r="D116" s="3177" t="s">
        <v>4485</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95</v>
      </c>
      <c r="E117" s="474">
        <f>D117-$K39</f>
        <v>90</v>
      </c>
      <c r="F117" s="474">
        <f>E117-$K39</f>
        <v>85</v>
      </c>
      <c r="G117" s="474">
        <f>F117-$K39</f>
        <v>80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1805</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1806</v>
      </c>
      <c r="C120" s="3186" t="s">
        <v>4487</v>
      </c>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99</v>
      </c>
      <c r="E121" s="474">
        <f t="shared" ref="E121:M121" si="29">D121-$K41</f>
        <v>98</v>
      </c>
      <c r="F121" s="474">
        <f t="shared" si="29"/>
        <v>97</v>
      </c>
      <c r="G121" s="474">
        <f t="shared" si="29"/>
        <v>96</v>
      </c>
      <c r="H121" s="474">
        <f t="shared" si="29"/>
        <v>95</v>
      </c>
      <c r="I121" s="474">
        <f t="shared" si="29"/>
        <v>94</v>
      </c>
      <c r="J121" s="474">
        <f t="shared" si="29"/>
        <v>93</v>
      </c>
      <c r="K121" s="474">
        <f t="shared" si="29"/>
        <v>92</v>
      </c>
      <c r="L121" s="474">
        <f t="shared" si="29"/>
        <v>91</v>
      </c>
      <c r="M121" s="475">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1741</v>
      </c>
      <c r="C122" s="3181" t="s">
        <v>4237</v>
      </c>
      <c r="D122" s="3181" t="s">
        <v>4488</v>
      </c>
      <c r="E122" s="3181" t="s">
        <v>4218</v>
      </c>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5">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C00000"/>
  </sheetPr>
  <dimension ref="A1:AS524"/>
  <sheetViews>
    <sheetView zoomScale="90" zoomScaleNormal="90" workbookViewId="0">
      <pane ySplit="24" topLeftCell="A192" activePane="bottomLeft" state="frozen"/>
      <selection activeCell="C50" sqref="C50"/>
      <selection pane="bottomLeft" activeCell="A146" sqref="A146:S199"/>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5" t="s">
        <v>2080</v>
      </c>
      <c r="C1" s="3483" t="s">
        <v>2081</v>
      </c>
      <c r="D1" s="3484"/>
      <c r="E1" s="3484"/>
      <c r="F1" s="3484"/>
      <c r="G1" s="3484"/>
      <c r="H1" s="3484"/>
      <c r="I1" s="3484"/>
      <c r="J1" s="3484"/>
      <c r="K1" s="3484"/>
      <c r="L1" s="3484"/>
      <c r="M1" s="3484"/>
      <c r="N1" s="3484"/>
      <c r="O1" s="3484"/>
      <c r="P1" s="3484"/>
      <c r="Q1" s="3484"/>
      <c r="R1" s="3484"/>
      <c r="S1" s="3485"/>
      <c r="T1" s="925" t="s">
        <v>2082</v>
      </c>
    </row>
    <row r="2" spans="1:45" s="623" customFormat="1" ht="38.25">
      <c r="A2" s="926"/>
      <c r="B2" s="620" t="s">
        <v>2083</v>
      </c>
      <c r="C2" s="14" t="str">
        <f t="shared" ref="C2:L2" si="0">C3&amp;"(含)"&amp;"-"&amp;D3</f>
        <v>0(含)-300</v>
      </c>
      <c r="D2" s="621" t="str">
        <f t="shared" si="0"/>
        <v>300(含)-600</v>
      </c>
      <c r="E2" s="621" t="str">
        <f t="shared" si="0"/>
        <v>600(含)-900</v>
      </c>
      <c r="F2" s="621" t="str">
        <f t="shared" si="0"/>
        <v>900(含)-1200</v>
      </c>
      <c r="G2" s="621" t="str">
        <f t="shared" si="0"/>
        <v>1200(含)-1500</v>
      </c>
      <c r="H2" s="621" t="str">
        <f t="shared" si="0"/>
        <v>1500(含)-1800</v>
      </c>
      <c r="I2" s="621" t="str">
        <f t="shared" si="0"/>
        <v>1800(含)-2100</v>
      </c>
      <c r="J2" s="621" t="str">
        <f t="shared" si="0"/>
        <v>2100(含)-2400</v>
      </c>
      <c r="K2" s="621" t="str">
        <f t="shared" si="0"/>
        <v>2400(含)-2700</v>
      </c>
      <c r="L2" s="621" t="str">
        <f t="shared" si="0"/>
        <v>2700(含)-3000</v>
      </c>
      <c r="M2" s="621" t="str">
        <f t="shared" ref="M2" si="1">M3&amp;"(含)"&amp;"-"&amp;N3</f>
        <v>3000(含)-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f>'比较法-办公'!C104</f>
        <v>0</v>
      </c>
      <c r="D3" s="625">
        <f>'比较法-办公'!D104</f>
        <v>300</v>
      </c>
      <c r="E3" s="625">
        <f>'比较法-办公'!E104</f>
        <v>600</v>
      </c>
      <c r="F3" s="625">
        <f>'比较法-办公'!F104</f>
        <v>900</v>
      </c>
      <c r="G3" s="625">
        <f>'比较法-办公'!G104</f>
        <v>1200</v>
      </c>
      <c r="H3" s="625">
        <f>'比较法-办公'!H104</f>
        <v>1500</v>
      </c>
      <c r="I3" s="625">
        <f>'比较法-办公'!I104</f>
        <v>1800</v>
      </c>
      <c r="J3" s="625">
        <f>'比较法-办公'!J104</f>
        <v>2100</v>
      </c>
      <c r="K3" s="625">
        <f>'比较法-办公'!K104</f>
        <v>2400</v>
      </c>
      <c r="L3" s="625">
        <f>'比较法-办公'!L104</f>
        <v>2700</v>
      </c>
      <c r="M3" s="625">
        <f>'比较法-办公'!M104</f>
        <v>3000</v>
      </c>
      <c r="N3" s="625"/>
      <c r="O3" s="625"/>
      <c r="P3" s="1215"/>
      <c r="Q3" s="1215"/>
      <c r="R3" s="1215"/>
      <c r="S3" s="1217"/>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931">
        <f>'比较法-办公'!C105</f>
        <v>100</v>
      </c>
      <c r="D4" s="931">
        <f>'比较法-办公'!D105</f>
        <v>99</v>
      </c>
      <c r="E4" s="931">
        <f>'比较法-办公'!E105</f>
        <v>98</v>
      </c>
      <c r="F4" s="931">
        <f>'比较法-办公'!F105</f>
        <v>97</v>
      </c>
      <c r="G4" s="931">
        <f>'比较法-办公'!G105</f>
        <v>96</v>
      </c>
      <c r="H4" s="931">
        <f>'比较法-办公'!H105</f>
        <v>95</v>
      </c>
      <c r="I4" s="931">
        <f>'比较法-办公'!I105</f>
        <v>94</v>
      </c>
      <c r="J4" s="931">
        <f>'比较法-办公'!J105</f>
        <v>93</v>
      </c>
      <c r="K4" s="931">
        <f>'比较法-办公'!K105</f>
        <v>92</v>
      </c>
      <c r="L4" s="931">
        <f>'比较法-办公'!L105</f>
        <v>91</v>
      </c>
      <c r="M4" s="931">
        <f>'比较法-办公'!M105</f>
        <v>90</v>
      </c>
      <c r="N4" s="931"/>
      <c r="O4" s="931"/>
      <c r="P4" s="1218"/>
      <c r="Q4" s="1218"/>
      <c r="R4" s="1218"/>
      <c r="S4" s="1219"/>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2" t="s">
        <v>2084</v>
      </c>
      <c r="C5" s="936"/>
      <c r="D5" s="937"/>
      <c r="E5" s="937"/>
      <c r="F5" s="1220"/>
      <c r="G5" s="1220"/>
      <c r="H5" s="1220"/>
      <c r="I5" s="1220"/>
      <c r="J5" s="1220"/>
      <c r="K5" s="1220"/>
      <c r="L5" s="1221"/>
      <c r="M5" s="1222"/>
      <c r="N5" s="1222"/>
      <c r="O5" s="1220"/>
      <c r="P5" s="1220"/>
      <c r="Q5" s="1220"/>
      <c r="R5" s="1220"/>
      <c r="S5" s="1223"/>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3" t="s">
        <v>2085</v>
      </c>
      <c r="C7" s="847"/>
      <c r="D7" s="841"/>
      <c r="E7" s="841"/>
      <c r="F7" s="1225"/>
      <c r="G7" s="1225"/>
      <c r="H7" s="1225"/>
      <c r="I7" s="1225"/>
      <c r="J7" s="1225"/>
      <c r="K7" s="1225"/>
      <c r="L7" s="1225"/>
      <c r="M7" s="1226"/>
      <c r="N7" s="1227"/>
      <c r="O7" s="1228"/>
      <c r="P7" s="1228"/>
      <c r="Q7" s="1229"/>
      <c r="R7" s="1230"/>
      <c r="S7" s="1231"/>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3" t="s">
        <v>2086</v>
      </c>
      <c r="C9" s="847"/>
      <c r="D9" s="841"/>
      <c r="E9" s="841"/>
      <c r="F9" s="1225"/>
      <c r="G9" s="1225"/>
      <c r="H9" s="1225"/>
      <c r="I9" s="1225"/>
      <c r="J9" s="1225"/>
      <c r="K9" s="1225"/>
      <c r="L9" s="1232"/>
      <c r="M9" s="1226"/>
      <c r="N9" s="1227"/>
      <c r="O9" s="1228"/>
      <c r="P9" s="1228"/>
      <c r="Q9" s="1229"/>
      <c r="R9" s="1230"/>
      <c r="S9" s="1231"/>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2" t="s">
        <v>2087</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2" t="s">
        <v>2088</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1242" t="s">
        <v>2089</v>
      </c>
      <c r="C15" s="936"/>
      <c r="D15" s="937"/>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79" t="s">
        <v>2090</v>
      </c>
      <c r="B17" s="1980" t="s">
        <v>2091</v>
      </c>
      <c r="C17" s="3165" t="s">
        <v>4415</v>
      </c>
      <c r="D17" s="3166" t="s">
        <v>4417</v>
      </c>
      <c r="E17" s="3166" t="s">
        <v>4418</v>
      </c>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3"/>
      <c r="AS17" s="683"/>
    </row>
    <row r="18" spans="1:45" s="623" customFormat="1" ht="13.5" thickBot="1">
      <c r="A18" s="957"/>
      <c r="B18" s="958"/>
      <c r="C18" s="959">
        <v>100</v>
      </c>
      <c r="D18" s="960">
        <v>95</v>
      </c>
      <c r="E18" s="960">
        <v>90</v>
      </c>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3"/>
      <c r="AS18" s="683"/>
    </row>
    <row r="19" spans="1:45">
      <c r="A19" s="120"/>
      <c r="B19" s="150"/>
      <c r="C19" s="150"/>
      <c r="D19" s="1981" t="s">
        <v>2092</v>
      </c>
      <c r="E19" s="1246"/>
      <c r="F19" s="1246"/>
      <c r="G19" s="1246"/>
      <c r="H19" s="991"/>
      <c r="I19" s="150"/>
      <c r="J19" s="150"/>
      <c r="K19" s="150"/>
      <c r="L19" s="150"/>
      <c r="M19" s="150"/>
      <c r="N19" s="150"/>
      <c r="O19" s="150"/>
      <c r="P19" s="150"/>
      <c r="Q19" s="150"/>
      <c r="R19" s="150"/>
      <c r="S19" s="120"/>
    </row>
    <row r="20" spans="1:45" ht="16.5" thickBot="1">
      <c r="A20" s="630" t="s">
        <v>2093</v>
      </c>
      <c r="B20" s="285">
        <f ca="1">IF(D20="——",S22,S22-F20)</f>
        <v>275090</v>
      </c>
      <c r="C20" s="150"/>
      <c r="D20" s="1982" t="s">
        <v>43</v>
      </c>
      <c r="E20" s="1247"/>
      <c r="F20" s="925" t="e">
        <f ca="1">SUMIF(INDIRECT("'"&amp;H20&amp;"'"&amp;"!A:A"),"承租人权益价值",INDIRECT("'"&amp;H20&amp;"'"&amp;"!c:c"))</f>
        <v>#REF!</v>
      </c>
      <c r="G20" s="925" t="s">
        <v>2094</v>
      </c>
      <c r="H20" s="1983"/>
      <c r="I20" s="150"/>
      <c r="J20" s="150"/>
      <c r="K20" s="150"/>
      <c r="L20" s="150"/>
      <c r="M20" s="150"/>
      <c r="N20" s="150"/>
      <c r="O20" s="150"/>
      <c r="P20" s="150"/>
      <c r="Q20" s="150"/>
      <c r="R20" s="150"/>
      <c r="S20" s="120"/>
    </row>
    <row r="21" spans="1:45" ht="15.75">
      <c r="A21" s="630" t="s">
        <v>2095</v>
      </c>
      <c r="B21" s="285">
        <f ca="1">ROUND(B20*10000/B22,0)</f>
        <v>20148</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136535.1700000001</v>
      </c>
      <c r="C22" s="3480" t="s">
        <v>27</v>
      </c>
      <c r="D22" s="3481"/>
      <c r="E22" s="3481"/>
      <c r="F22" s="3481"/>
      <c r="G22" s="3481"/>
      <c r="H22" s="3481"/>
      <c r="I22" s="3481"/>
      <c r="J22" s="3481"/>
      <c r="K22" s="3481"/>
      <c r="L22" s="3481"/>
      <c r="M22" s="3481"/>
      <c r="N22" s="3481"/>
      <c r="O22" s="3481"/>
      <c r="P22" s="3481"/>
      <c r="Q22" s="3482"/>
      <c r="R22" s="21">
        <f ca="1">ROUND(S22*10000/B22,0)</f>
        <v>20148</v>
      </c>
      <c r="S22" s="21">
        <f ca="1">SUM(S24:S10000)</f>
        <v>275090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'1号楼'!B3</f>
        <v>1号楼501</v>
      </c>
      <c r="B24" s="631">
        <f>'1号楼'!C3</f>
        <v>754.84</v>
      </c>
      <c r="C24" s="2564">
        <v>1</v>
      </c>
      <c r="D24" s="2565"/>
      <c r="E24" s="2564">
        <v>1</v>
      </c>
      <c r="F24" s="2565"/>
      <c r="G24" s="2564">
        <v>1</v>
      </c>
      <c r="H24" s="2565"/>
      <c r="I24" s="2564">
        <v>1</v>
      </c>
      <c r="J24" s="2565"/>
      <c r="K24" s="2564">
        <v>1</v>
      </c>
      <c r="L24" s="2565"/>
      <c r="M24" s="2564">
        <v>1</v>
      </c>
      <c r="N24" s="2565"/>
      <c r="O24" s="2564">
        <v>1</v>
      </c>
      <c r="P24" s="2565" t="s">
        <v>4211</v>
      </c>
      <c r="Q24" s="2564">
        <v>1</v>
      </c>
      <c r="R24" s="631">
        <f ca="1">办公结果表!G20</f>
        <v>19023</v>
      </c>
      <c r="S24" s="632">
        <f t="shared" ref="S24:S54" ca="1" si="11">ROUND(R24*B24/10000,0)</f>
        <v>1436</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64" t="str">
        <f>'1号楼'!B4</f>
        <v>1号楼502</v>
      </c>
      <c r="B25" s="3164">
        <f>'1号楼'!C4</f>
        <v>776.82</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5" t="s">
        <v>4211</v>
      </c>
      <c r="Q25" s="21">
        <f>(SUMIF($17:$17,P25,$18:$18)-SUMIF($17:$17,$P$24,$18:$18)+100)/100</f>
        <v>1</v>
      </c>
      <c r="R25" s="21">
        <f ca="1">IF(B25="",0,ROUND($R$24*C25*E25*G25*I25*K25*M25*O25*Q25,0))</f>
        <v>19023</v>
      </c>
      <c r="S25" s="307">
        <f t="shared" ca="1" si="11"/>
        <v>1478</v>
      </c>
    </row>
    <row r="26" spans="1:45">
      <c r="A26" s="3164" t="str">
        <f>'1号楼'!B5</f>
        <v>1号楼601</v>
      </c>
      <c r="B26" s="3164">
        <f>'1号楼'!C5</f>
        <v>780.05</v>
      </c>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2565" t="s">
        <v>4211</v>
      </c>
      <c r="Q26" s="21">
        <f t="shared" ref="Q26:Q89" si="19">(SUMIF($17:$17,P26,$18:$18)-SUMIF($17:$17,$P$24,$18:$18)+100)/100</f>
        <v>1</v>
      </c>
      <c r="R26" s="21">
        <f t="shared" ref="R26:R89" ca="1" si="20">IF(B26="",0,ROUND($R$24*C26*E26*G26*I26*K26*M26*O26*Q26,0))</f>
        <v>19023</v>
      </c>
      <c r="S26" s="307">
        <f t="shared" ca="1" si="11"/>
        <v>1484</v>
      </c>
    </row>
    <row r="27" spans="1:45">
      <c r="A27" s="3164" t="str">
        <f>'1号楼'!B6</f>
        <v>1号楼602</v>
      </c>
      <c r="B27" s="3164">
        <f>'1号楼'!C6</f>
        <v>772.92</v>
      </c>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2565" t="s">
        <v>4211</v>
      </c>
      <c r="Q27" s="21">
        <f t="shared" si="19"/>
        <v>1</v>
      </c>
      <c r="R27" s="21">
        <f t="shared" ca="1" si="20"/>
        <v>19023</v>
      </c>
      <c r="S27" s="307">
        <f t="shared" ca="1" si="11"/>
        <v>1470</v>
      </c>
    </row>
    <row r="28" spans="1:45">
      <c r="A28" s="3164" t="str">
        <f>'1号楼'!B7</f>
        <v>1号楼701</v>
      </c>
      <c r="B28" s="3164">
        <f>'1号楼'!C7</f>
        <v>780.05</v>
      </c>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2565" t="s">
        <v>4211</v>
      </c>
      <c r="Q28" s="21">
        <f t="shared" si="19"/>
        <v>1</v>
      </c>
      <c r="R28" s="21">
        <f t="shared" ca="1" si="20"/>
        <v>19023</v>
      </c>
      <c r="S28" s="307">
        <f t="shared" ca="1" si="11"/>
        <v>1484</v>
      </c>
    </row>
    <row r="29" spans="1:45">
      <c r="A29" s="3164" t="str">
        <f>'1号楼'!B8</f>
        <v>1号楼702</v>
      </c>
      <c r="B29" s="3164">
        <f>'1号楼'!C8</f>
        <v>772.92</v>
      </c>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2565" t="s">
        <v>4211</v>
      </c>
      <c r="Q29" s="21">
        <f t="shared" si="19"/>
        <v>1</v>
      </c>
      <c r="R29" s="21">
        <f t="shared" ca="1" si="20"/>
        <v>19023</v>
      </c>
      <c r="S29" s="307">
        <f t="shared" ca="1" si="11"/>
        <v>1470</v>
      </c>
    </row>
    <row r="30" spans="1:45">
      <c r="A30" s="3164" t="str">
        <f>'1号楼'!B9</f>
        <v>1号楼801</v>
      </c>
      <c r="B30" s="3164">
        <f>'1号楼'!C9</f>
        <v>780.05</v>
      </c>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2565" t="s">
        <v>4211</v>
      </c>
      <c r="Q30" s="21">
        <f t="shared" si="19"/>
        <v>1</v>
      </c>
      <c r="R30" s="21">
        <f t="shared" ca="1" si="20"/>
        <v>19023</v>
      </c>
      <c r="S30" s="307">
        <f t="shared" ca="1" si="11"/>
        <v>1484</v>
      </c>
    </row>
    <row r="31" spans="1:45">
      <c r="A31" s="3164" t="str">
        <f>'1号楼'!B10</f>
        <v>1号楼802</v>
      </c>
      <c r="B31" s="3164">
        <f>'1号楼'!C10</f>
        <v>772.92</v>
      </c>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2565" t="s">
        <v>4211</v>
      </c>
      <c r="Q31" s="21">
        <f t="shared" si="19"/>
        <v>1</v>
      </c>
      <c r="R31" s="21">
        <f t="shared" ca="1" si="20"/>
        <v>19023</v>
      </c>
      <c r="S31" s="307">
        <f t="shared" ca="1" si="11"/>
        <v>1470</v>
      </c>
    </row>
    <row r="32" spans="1:45">
      <c r="A32" s="3164" t="str">
        <f>'1号楼'!B11</f>
        <v>1号楼901</v>
      </c>
      <c r="B32" s="3164">
        <f>'1号楼'!C11</f>
        <v>780.05</v>
      </c>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2565" t="s">
        <v>4211</v>
      </c>
      <c r="Q32" s="21">
        <f t="shared" si="19"/>
        <v>1</v>
      </c>
      <c r="R32" s="21">
        <f t="shared" ca="1" si="20"/>
        <v>19023</v>
      </c>
      <c r="S32" s="307">
        <f t="shared" ca="1" si="11"/>
        <v>1484</v>
      </c>
    </row>
    <row r="33" spans="1:19">
      <c r="A33" s="3164" t="str">
        <f>'1号楼'!B12</f>
        <v>1号楼902</v>
      </c>
      <c r="B33" s="3164">
        <f>'1号楼'!C12</f>
        <v>772.92</v>
      </c>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2565" t="s">
        <v>4211</v>
      </c>
      <c r="Q33" s="21">
        <f t="shared" si="19"/>
        <v>1</v>
      </c>
      <c r="R33" s="21">
        <f t="shared" ca="1" si="20"/>
        <v>19023</v>
      </c>
      <c r="S33" s="307">
        <f t="shared" ca="1" si="11"/>
        <v>1470</v>
      </c>
    </row>
    <row r="34" spans="1:19">
      <c r="A34" s="3164" t="str">
        <f>'1号楼'!B13</f>
        <v>1号楼1001</v>
      </c>
      <c r="B34" s="3164">
        <f>'1号楼'!C13</f>
        <v>780.05</v>
      </c>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2565" t="s">
        <v>4211</v>
      </c>
      <c r="Q34" s="21">
        <f t="shared" si="19"/>
        <v>1</v>
      </c>
      <c r="R34" s="21">
        <f t="shared" ca="1" si="20"/>
        <v>19023</v>
      </c>
      <c r="S34" s="307">
        <f t="shared" ca="1" si="11"/>
        <v>1484</v>
      </c>
    </row>
    <row r="35" spans="1:19">
      <c r="A35" s="3164" t="str">
        <f>'1号楼'!B14</f>
        <v>1号楼1002</v>
      </c>
      <c r="B35" s="3164">
        <f>'1号楼'!C14</f>
        <v>772.92</v>
      </c>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2565" t="s">
        <v>4211</v>
      </c>
      <c r="Q35" s="21">
        <f t="shared" si="19"/>
        <v>1</v>
      </c>
      <c r="R35" s="21">
        <f t="shared" ca="1" si="20"/>
        <v>19023</v>
      </c>
      <c r="S35" s="307">
        <f t="shared" ca="1" si="11"/>
        <v>1470</v>
      </c>
    </row>
    <row r="36" spans="1:19">
      <c r="A36" s="3164" t="str">
        <f>'1号楼'!B15</f>
        <v>1号楼1201</v>
      </c>
      <c r="B36" s="3164">
        <f>'1号楼'!C15</f>
        <v>780.05</v>
      </c>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t="s">
        <v>4416</v>
      </c>
      <c r="Q36" s="21">
        <f t="shared" si="19"/>
        <v>1.05</v>
      </c>
      <c r="R36" s="21">
        <f t="shared" ca="1" si="20"/>
        <v>19974</v>
      </c>
      <c r="S36" s="307">
        <f t="shared" ca="1" si="11"/>
        <v>1558</v>
      </c>
    </row>
    <row r="37" spans="1:19">
      <c r="A37" s="3164" t="str">
        <f>'1号楼'!B16</f>
        <v>1号楼1202</v>
      </c>
      <c r="B37" s="3164">
        <f>'1号楼'!C16</f>
        <v>772.92</v>
      </c>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t="s">
        <v>4416</v>
      </c>
      <c r="Q37" s="21">
        <f t="shared" si="19"/>
        <v>1.05</v>
      </c>
      <c r="R37" s="21">
        <f t="shared" ca="1" si="20"/>
        <v>19974</v>
      </c>
      <c r="S37" s="307">
        <f t="shared" ca="1" si="11"/>
        <v>1544</v>
      </c>
    </row>
    <row r="38" spans="1:19">
      <c r="A38" s="3164" t="str">
        <f>'1号楼'!B17</f>
        <v>1号楼1301</v>
      </c>
      <c r="B38" s="3164">
        <f>'1号楼'!C17</f>
        <v>780.05</v>
      </c>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t="s">
        <v>4416</v>
      </c>
      <c r="Q38" s="21">
        <f t="shared" si="19"/>
        <v>1.05</v>
      </c>
      <c r="R38" s="21">
        <f t="shared" ca="1" si="20"/>
        <v>19974</v>
      </c>
      <c r="S38" s="307">
        <f t="shared" ca="1" si="11"/>
        <v>1558</v>
      </c>
    </row>
    <row r="39" spans="1:19">
      <c r="A39" s="3164" t="str">
        <f>'1号楼'!B18</f>
        <v>1号楼1302</v>
      </c>
      <c r="B39" s="3164">
        <f>'1号楼'!C18</f>
        <v>772.92</v>
      </c>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t="s">
        <v>4416</v>
      </c>
      <c r="Q39" s="21">
        <f t="shared" si="19"/>
        <v>1.05</v>
      </c>
      <c r="R39" s="21">
        <f t="shared" ca="1" si="20"/>
        <v>19974</v>
      </c>
      <c r="S39" s="307">
        <f t="shared" ca="1" si="11"/>
        <v>1544</v>
      </c>
    </row>
    <row r="40" spans="1:19">
      <c r="A40" s="3164" t="str">
        <f>'1号楼'!B19</f>
        <v>1号楼1401</v>
      </c>
      <c r="B40" s="3164">
        <f>'1号楼'!C19</f>
        <v>780.05</v>
      </c>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t="s">
        <v>4416</v>
      </c>
      <c r="Q40" s="21">
        <f t="shared" si="19"/>
        <v>1.05</v>
      </c>
      <c r="R40" s="21">
        <f t="shared" ca="1" si="20"/>
        <v>19974</v>
      </c>
      <c r="S40" s="307">
        <f t="shared" ca="1" si="11"/>
        <v>1558</v>
      </c>
    </row>
    <row r="41" spans="1:19">
      <c r="A41" s="3164" t="str">
        <f>'1号楼'!B20</f>
        <v>1号楼1402</v>
      </c>
      <c r="B41" s="3164">
        <f>'1号楼'!C20</f>
        <v>772.92</v>
      </c>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t="s">
        <v>4416</v>
      </c>
      <c r="Q41" s="21">
        <f t="shared" si="19"/>
        <v>1.05</v>
      </c>
      <c r="R41" s="21">
        <f t="shared" ca="1" si="20"/>
        <v>19974</v>
      </c>
      <c r="S41" s="307">
        <f t="shared" ca="1" si="11"/>
        <v>1544</v>
      </c>
    </row>
    <row r="42" spans="1:19">
      <c r="A42" s="3164" t="str">
        <f>'1号楼'!B21</f>
        <v>1号楼1501</v>
      </c>
      <c r="B42" s="3164">
        <f>'1号楼'!C21</f>
        <v>780.05</v>
      </c>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t="s">
        <v>4416</v>
      </c>
      <c r="Q42" s="21">
        <f t="shared" si="19"/>
        <v>1.05</v>
      </c>
      <c r="R42" s="21">
        <f t="shared" ca="1" si="20"/>
        <v>19974</v>
      </c>
      <c r="S42" s="307">
        <f t="shared" ca="1" si="11"/>
        <v>1558</v>
      </c>
    </row>
    <row r="43" spans="1:19">
      <c r="A43" s="3164" t="str">
        <f>'1号楼'!B22</f>
        <v>1号楼1502</v>
      </c>
      <c r="B43" s="3164">
        <f>'1号楼'!C22</f>
        <v>772.92</v>
      </c>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t="s">
        <v>4416</v>
      </c>
      <c r="Q43" s="21">
        <f t="shared" si="19"/>
        <v>1.05</v>
      </c>
      <c r="R43" s="21">
        <f t="shared" ca="1" si="20"/>
        <v>19974</v>
      </c>
      <c r="S43" s="307">
        <f t="shared" ca="1" si="11"/>
        <v>1544</v>
      </c>
    </row>
    <row r="44" spans="1:19">
      <c r="A44" s="3164" t="str">
        <f>'1号楼'!B23</f>
        <v>1号楼1601</v>
      </c>
      <c r="B44" s="3164">
        <f>'1号楼'!C23</f>
        <v>780.05</v>
      </c>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t="s">
        <v>4416</v>
      </c>
      <c r="Q44" s="21">
        <f t="shared" si="19"/>
        <v>1.05</v>
      </c>
      <c r="R44" s="21">
        <f t="shared" ca="1" si="20"/>
        <v>19974</v>
      </c>
      <c r="S44" s="307">
        <f t="shared" ca="1" si="11"/>
        <v>1558</v>
      </c>
    </row>
    <row r="45" spans="1:19">
      <c r="A45" s="3164" t="str">
        <f>'1号楼'!B24</f>
        <v>1号楼1602</v>
      </c>
      <c r="B45" s="3164">
        <f>'1号楼'!C24</f>
        <v>772.92</v>
      </c>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t="s">
        <v>4416</v>
      </c>
      <c r="Q45" s="21">
        <f t="shared" si="19"/>
        <v>1.05</v>
      </c>
      <c r="R45" s="21">
        <f t="shared" ca="1" si="20"/>
        <v>19974</v>
      </c>
      <c r="S45" s="307">
        <f t="shared" ca="1" si="11"/>
        <v>1544</v>
      </c>
    </row>
    <row r="46" spans="1:19">
      <c r="A46" s="3164" t="str">
        <f>'1号楼'!B25</f>
        <v>1号楼1701</v>
      </c>
      <c r="B46" s="3164">
        <f>'1号楼'!C25</f>
        <v>780.05</v>
      </c>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t="s">
        <v>4416</v>
      </c>
      <c r="Q46" s="21">
        <f t="shared" si="19"/>
        <v>1.05</v>
      </c>
      <c r="R46" s="21">
        <f t="shared" ca="1" si="20"/>
        <v>19974</v>
      </c>
      <c r="S46" s="307">
        <f t="shared" ca="1" si="11"/>
        <v>1558</v>
      </c>
    </row>
    <row r="47" spans="1:19">
      <c r="A47" s="3164" t="str">
        <f>'1号楼'!B26</f>
        <v>1号楼1702</v>
      </c>
      <c r="B47" s="3164">
        <f>'1号楼'!C26</f>
        <v>772.92</v>
      </c>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t="s">
        <v>4416</v>
      </c>
      <c r="Q47" s="21">
        <f t="shared" si="19"/>
        <v>1.05</v>
      </c>
      <c r="R47" s="21">
        <f t="shared" ca="1" si="20"/>
        <v>19974</v>
      </c>
      <c r="S47" s="307">
        <f t="shared" ca="1" si="11"/>
        <v>1544</v>
      </c>
    </row>
    <row r="48" spans="1:19">
      <c r="A48" s="3164" t="str">
        <f>'1号楼'!B27</f>
        <v>1号楼1801</v>
      </c>
      <c r="B48" s="3164">
        <f>'1号楼'!C27</f>
        <v>788.94</v>
      </c>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t="s">
        <v>4416</v>
      </c>
      <c r="Q48" s="21">
        <f t="shared" si="19"/>
        <v>1.05</v>
      </c>
      <c r="R48" s="21">
        <f t="shared" ca="1" si="20"/>
        <v>19974</v>
      </c>
      <c r="S48" s="307">
        <f t="shared" ca="1" si="11"/>
        <v>1576</v>
      </c>
    </row>
    <row r="49" spans="1:19">
      <c r="A49" s="3164" t="str">
        <f>'1号楼'!B28</f>
        <v>1号楼1802</v>
      </c>
      <c r="B49" s="3164">
        <f>'1号楼'!C28</f>
        <v>780.61</v>
      </c>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t="s">
        <v>4416</v>
      </c>
      <c r="Q49" s="21">
        <f t="shared" si="19"/>
        <v>1.05</v>
      </c>
      <c r="R49" s="21">
        <f t="shared" ca="1" si="20"/>
        <v>19974</v>
      </c>
      <c r="S49" s="307">
        <f t="shared" ca="1" si="11"/>
        <v>1559</v>
      </c>
    </row>
    <row r="50" spans="1:19">
      <c r="A50" s="3164" t="str">
        <f>'1号楼'!B29</f>
        <v>1号楼1901</v>
      </c>
      <c r="B50" s="3164">
        <f>'1号楼'!C29</f>
        <v>788.94</v>
      </c>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t="s">
        <v>4416</v>
      </c>
      <c r="Q50" s="21">
        <f t="shared" si="19"/>
        <v>1.05</v>
      </c>
      <c r="R50" s="21">
        <f t="shared" ca="1" si="20"/>
        <v>19974</v>
      </c>
      <c r="S50" s="307">
        <f t="shared" ca="1" si="11"/>
        <v>1576</v>
      </c>
    </row>
    <row r="51" spans="1:19">
      <c r="A51" s="3164" t="str">
        <f>'1号楼'!B30</f>
        <v>1号楼1902</v>
      </c>
      <c r="B51" s="3164">
        <f>'1号楼'!C30</f>
        <v>780.61</v>
      </c>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t="s">
        <v>4416</v>
      </c>
      <c r="Q51" s="21">
        <f t="shared" si="19"/>
        <v>1.05</v>
      </c>
      <c r="R51" s="21">
        <f t="shared" ca="1" si="20"/>
        <v>19974</v>
      </c>
      <c r="S51" s="307">
        <f t="shared" ca="1" si="11"/>
        <v>1559</v>
      </c>
    </row>
    <row r="52" spans="1:19">
      <c r="A52" s="3164" t="str">
        <f>'1号楼'!B31</f>
        <v>1号楼2001</v>
      </c>
      <c r="B52" s="3164">
        <f>'1号楼'!C31</f>
        <v>788.94</v>
      </c>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t="s">
        <v>4416</v>
      </c>
      <c r="Q52" s="21">
        <f t="shared" si="19"/>
        <v>1.05</v>
      </c>
      <c r="R52" s="21">
        <f t="shared" ca="1" si="20"/>
        <v>19974</v>
      </c>
      <c r="S52" s="307">
        <f t="shared" ca="1" si="11"/>
        <v>1576</v>
      </c>
    </row>
    <row r="53" spans="1:19">
      <c r="A53" s="3164" t="str">
        <f>'1号楼'!B32</f>
        <v>1号楼2002</v>
      </c>
      <c r="B53" s="3164">
        <f>'1号楼'!C32</f>
        <v>780.61</v>
      </c>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t="s">
        <v>4416</v>
      </c>
      <c r="Q53" s="21">
        <f t="shared" si="19"/>
        <v>1.05</v>
      </c>
      <c r="R53" s="21">
        <f t="shared" ca="1" si="20"/>
        <v>19974</v>
      </c>
      <c r="S53" s="307">
        <f t="shared" ca="1" si="11"/>
        <v>1559</v>
      </c>
    </row>
    <row r="54" spans="1:19">
      <c r="A54" s="3164" t="str">
        <f>'1号楼'!B33</f>
        <v>1号楼2101</v>
      </c>
      <c r="B54" s="3164">
        <f>'1号楼'!C33</f>
        <v>788.94</v>
      </c>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t="s">
        <v>4416</v>
      </c>
      <c r="Q54" s="21">
        <f t="shared" si="19"/>
        <v>1.05</v>
      </c>
      <c r="R54" s="21">
        <f t="shared" ca="1" si="20"/>
        <v>19974</v>
      </c>
      <c r="S54" s="307">
        <f t="shared" ca="1" si="11"/>
        <v>1576</v>
      </c>
    </row>
    <row r="55" spans="1:19">
      <c r="A55" s="3164" t="str">
        <f>'1号楼'!B34</f>
        <v>1号楼2102</v>
      </c>
      <c r="B55" s="3164">
        <f>'1号楼'!C34</f>
        <v>780.61</v>
      </c>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t="s">
        <v>4416</v>
      </c>
      <c r="Q55" s="21">
        <f t="shared" si="19"/>
        <v>1.05</v>
      </c>
      <c r="R55" s="21">
        <f t="shared" ca="1" si="20"/>
        <v>19974</v>
      </c>
      <c r="S55" s="307">
        <f t="shared" ref="S55:S77" ca="1" si="21">ROUND(R55*B55/10000,0)</f>
        <v>1559</v>
      </c>
    </row>
    <row r="56" spans="1:19">
      <c r="A56" s="3164" t="str">
        <f>'1号楼'!B35</f>
        <v>1号楼2201</v>
      </c>
      <c r="B56" s="3164">
        <f>'1号楼'!C35</f>
        <v>789.56</v>
      </c>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t="s">
        <v>4416</v>
      </c>
      <c r="Q56" s="21">
        <f t="shared" si="19"/>
        <v>1.05</v>
      </c>
      <c r="R56" s="21">
        <f t="shared" ca="1" si="20"/>
        <v>19974</v>
      </c>
      <c r="S56" s="307">
        <f t="shared" ca="1" si="21"/>
        <v>1577</v>
      </c>
    </row>
    <row r="57" spans="1:19">
      <c r="A57" s="3164" t="str">
        <f>'1号楼'!B36</f>
        <v>1号楼2202</v>
      </c>
      <c r="B57" s="3164">
        <f>'1号楼'!C36</f>
        <v>781.22</v>
      </c>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t="s">
        <v>4416</v>
      </c>
      <c r="Q57" s="21">
        <f t="shared" si="19"/>
        <v>1.05</v>
      </c>
      <c r="R57" s="21">
        <f t="shared" ca="1" si="20"/>
        <v>19974</v>
      </c>
      <c r="S57" s="307">
        <f t="shared" ca="1" si="21"/>
        <v>1560</v>
      </c>
    </row>
    <row r="58" spans="1:19">
      <c r="A58" s="3164" t="str">
        <f>'1号楼'!B37</f>
        <v>1号楼2401</v>
      </c>
      <c r="B58" s="3164">
        <f>'1号楼'!C37</f>
        <v>789.56</v>
      </c>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t="s">
        <v>4414</v>
      </c>
      <c r="Q58" s="21">
        <f t="shared" si="19"/>
        <v>1.1000000000000001</v>
      </c>
      <c r="R58" s="21">
        <f t="shared" ca="1" si="20"/>
        <v>20925</v>
      </c>
      <c r="S58" s="307">
        <f t="shared" ca="1" si="21"/>
        <v>1652</v>
      </c>
    </row>
    <row r="59" spans="1:19">
      <c r="A59" s="3164" t="str">
        <f>'1号楼'!B38</f>
        <v>1号楼2402</v>
      </c>
      <c r="B59" s="3164">
        <f>'1号楼'!C38</f>
        <v>781.22</v>
      </c>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t="s">
        <v>4414</v>
      </c>
      <c r="Q59" s="21">
        <f t="shared" si="19"/>
        <v>1.1000000000000001</v>
      </c>
      <c r="R59" s="21">
        <f t="shared" ca="1" si="20"/>
        <v>20925</v>
      </c>
      <c r="S59" s="307">
        <f t="shared" ca="1" si="21"/>
        <v>1635</v>
      </c>
    </row>
    <row r="60" spans="1:19">
      <c r="A60" s="3164" t="str">
        <f>'1号楼'!B39</f>
        <v>1号楼2501</v>
      </c>
      <c r="B60" s="3164">
        <f>'1号楼'!C39</f>
        <v>789.56</v>
      </c>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t="s">
        <v>4414</v>
      </c>
      <c r="Q60" s="21">
        <f t="shared" si="19"/>
        <v>1.1000000000000001</v>
      </c>
      <c r="R60" s="21">
        <f t="shared" ca="1" si="20"/>
        <v>20925</v>
      </c>
      <c r="S60" s="307">
        <f t="shared" ca="1" si="21"/>
        <v>1652</v>
      </c>
    </row>
    <row r="61" spans="1:19">
      <c r="A61" s="3164" t="str">
        <f>'1号楼'!B40</f>
        <v>1号楼2502</v>
      </c>
      <c r="B61" s="3164">
        <f>'1号楼'!C40</f>
        <v>781.22</v>
      </c>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t="s">
        <v>4414</v>
      </c>
      <c r="Q61" s="21">
        <f t="shared" si="19"/>
        <v>1.1000000000000001</v>
      </c>
      <c r="R61" s="21">
        <f t="shared" ca="1" si="20"/>
        <v>20925</v>
      </c>
      <c r="S61" s="307">
        <f t="shared" ca="1" si="21"/>
        <v>1635</v>
      </c>
    </row>
    <row r="62" spans="1:19">
      <c r="A62" s="3164" t="str">
        <f>'1号楼'!B41</f>
        <v>1号楼2601</v>
      </c>
      <c r="B62" s="3164">
        <f>'1号楼'!C41</f>
        <v>789.56</v>
      </c>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t="s">
        <v>4414</v>
      </c>
      <c r="Q62" s="21">
        <f t="shared" si="19"/>
        <v>1.1000000000000001</v>
      </c>
      <c r="R62" s="21">
        <f t="shared" ca="1" si="20"/>
        <v>20925</v>
      </c>
      <c r="S62" s="307">
        <f t="shared" ca="1" si="21"/>
        <v>1652</v>
      </c>
    </row>
    <row r="63" spans="1:19">
      <c r="A63" s="3164" t="str">
        <f>'1号楼'!B42</f>
        <v>1号楼2602</v>
      </c>
      <c r="B63" s="3164">
        <f>'1号楼'!C42</f>
        <v>781.22</v>
      </c>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t="s">
        <v>4414</v>
      </c>
      <c r="Q63" s="21">
        <f t="shared" si="19"/>
        <v>1.1000000000000001</v>
      </c>
      <c r="R63" s="21">
        <f t="shared" ca="1" si="20"/>
        <v>20925</v>
      </c>
      <c r="S63" s="307">
        <f t="shared" ca="1" si="21"/>
        <v>1635</v>
      </c>
    </row>
    <row r="64" spans="1:19">
      <c r="A64" s="3164" t="str">
        <f>'1号楼'!B43</f>
        <v>1号楼2701</v>
      </c>
      <c r="B64" s="3164">
        <f>'1号楼'!C43</f>
        <v>789.56</v>
      </c>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t="s">
        <v>4414</v>
      </c>
      <c r="Q64" s="21">
        <f t="shared" si="19"/>
        <v>1.1000000000000001</v>
      </c>
      <c r="R64" s="21">
        <f t="shared" ca="1" si="20"/>
        <v>20925</v>
      </c>
      <c r="S64" s="307">
        <f t="shared" ca="1" si="21"/>
        <v>1652</v>
      </c>
    </row>
    <row r="65" spans="1:19">
      <c r="A65" s="3164" t="str">
        <f>'1号楼'!B44</f>
        <v>1号楼2702</v>
      </c>
      <c r="B65" s="3164">
        <f>'1号楼'!C44</f>
        <v>781.22</v>
      </c>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t="s">
        <v>4414</v>
      </c>
      <c r="Q65" s="21">
        <f t="shared" si="19"/>
        <v>1.1000000000000001</v>
      </c>
      <c r="R65" s="21">
        <f t="shared" ca="1" si="20"/>
        <v>20925</v>
      </c>
      <c r="S65" s="307">
        <f t="shared" ca="1" si="21"/>
        <v>1635</v>
      </c>
    </row>
    <row r="66" spans="1:19">
      <c r="A66" s="3164" t="str">
        <f>'1号楼'!B45</f>
        <v>1号楼2801</v>
      </c>
      <c r="B66" s="3164">
        <f>'1号楼'!C45</f>
        <v>789.56</v>
      </c>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t="s">
        <v>4414</v>
      </c>
      <c r="Q66" s="21">
        <f t="shared" si="19"/>
        <v>1.1000000000000001</v>
      </c>
      <c r="R66" s="21">
        <f t="shared" ca="1" si="20"/>
        <v>20925</v>
      </c>
      <c r="S66" s="307">
        <f t="shared" ca="1" si="21"/>
        <v>1652</v>
      </c>
    </row>
    <row r="67" spans="1:19">
      <c r="A67" s="3164" t="str">
        <f>'1号楼'!B46</f>
        <v>1号楼2802</v>
      </c>
      <c r="B67" s="3164">
        <f>'1号楼'!C46</f>
        <v>781.22</v>
      </c>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t="s">
        <v>4414</v>
      </c>
      <c r="Q67" s="21">
        <f t="shared" si="19"/>
        <v>1.1000000000000001</v>
      </c>
      <c r="R67" s="21">
        <f t="shared" ca="1" si="20"/>
        <v>20925</v>
      </c>
      <c r="S67" s="307">
        <f t="shared" ca="1" si="21"/>
        <v>1635</v>
      </c>
    </row>
    <row r="68" spans="1:19">
      <c r="A68" s="3164" t="str">
        <f>'1号楼'!B47</f>
        <v>1号楼2901</v>
      </c>
      <c r="B68" s="3164">
        <f>'1号楼'!C47</f>
        <v>789.56</v>
      </c>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t="s">
        <v>4414</v>
      </c>
      <c r="Q68" s="21">
        <f t="shared" si="19"/>
        <v>1.1000000000000001</v>
      </c>
      <c r="R68" s="21">
        <f t="shared" ca="1" si="20"/>
        <v>20925</v>
      </c>
      <c r="S68" s="307">
        <f t="shared" ca="1" si="21"/>
        <v>1652</v>
      </c>
    </row>
    <row r="69" spans="1:19">
      <c r="A69" s="3164" t="str">
        <f>'1号楼'!B48</f>
        <v>1号楼2902</v>
      </c>
      <c r="B69" s="3164">
        <f>'1号楼'!C48</f>
        <v>781.22</v>
      </c>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t="s">
        <v>4414</v>
      </c>
      <c r="Q69" s="21">
        <f t="shared" si="19"/>
        <v>1.1000000000000001</v>
      </c>
      <c r="R69" s="21">
        <f t="shared" ca="1" si="20"/>
        <v>20925</v>
      </c>
      <c r="S69" s="307">
        <f t="shared" ca="1" si="21"/>
        <v>1635</v>
      </c>
    </row>
    <row r="70" spans="1:19">
      <c r="A70" s="3164" t="str">
        <f>'1号楼'!B49</f>
        <v>1号楼3001</v>
      </c>
      <c r="B70" s="3164">
        <f>'1号楼'!C49</f>
        <v>789.56</v>
      </c>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t="s">
        <v>4414</v>
      </c>
      <c r="Q70" s="21">
        <f t="shared" si="19"/>
        <v>1.1000000000000001</v>
      </c>
      <c r="R70" s="21">
        <f t="shared" ca="1" si="20"/>
        <v>20925</v>
      </c>
      <c r="S70" s="307">
        <f t="shared" ca="1" si="21"/>
        <v>1652</v>
      </c>
    </row>
    <row r="71" spans="1:19">
      <c r="A71" s="3164" t="str">
        <f>'1号楼'!B50</f>
        <v>1号楼3002</v>
      </c>
      <c r="B71" s="3164">
        <f>'1号楼'!C50</f>
        <v>781.22</v>
      </c>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t="s">
        <v>4414</v>
      </c>
      <c r="Q71" s="21">
        <f t="shared" si="19"/>
        <v>1.1000000000000001</v>
      </c>
      <c r="R71" s="21">
        <f t="shared" ca="1" si="20"/>
        <v>20925</v>
      </c>
      <c r="S71" s="307">
        <f t="shared" ca="1" si="21"/>
        <v>1635</v>
      </c>
    </row>
    <row r="72" spans="1:19">
      <c r="A72" s="3164" t="str">
        <f>'1号楼'!B51</f>
        <v>1号楼3101</v>
      </c>
      <c r="B72" s="3164">
        <f>'1号楼'!C51</f>
        <v>789.56</v>
      </c>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t="s">
        <v>4414</v>
      </c>
      <c r="Q72" s="21">
        <f t="shared" si="19"/>
        <v>1.1000000000000001</v>
      </c>
      <c r="R72" s="21">
        <f t="shared" ca="1" si="20"/>
        <v>20925</v>
      </c>
      <c r="S72" s="307">
        <f t="shared" ca="1" si="21"/>
        <v>1652</v>
      </c>
    </row>
    <row r="73" spans="1:19">
      <c r="A73" s="3164" t="str">
        <f>'1号楼'!B52</f>
        <v>1号楼3102</v>
      </c>
      <c r="B73" s="3164">
        <f>'1号楼'!C52</f>
        <v>781.22</v>
      </c>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t="s">
        <v>4414</v>
      </c>
      <c r="Q73" s="21">
        <f t="shared" si="19"/>
        <v>1.1000000000000001</v>
      </c>
      <c r="R73" s="21">
        <f t="shared" ca="1" si="20"/>
        <v>20925</v>
      </c>
      <c r="S73" s="307">
        <f t="shared" ca="1" si="21"/>
        <v>1635</v>
      </c>
    </row>
    <row r="74" spans="1:19">
      <c r="A74" s="3164" t="str">
        <f>'1号楼'!B53</f>
        <v>1号楼3201</v>
      </c>
      <c r="B74" s="3164">
        <f>'1号楼'!C53</f>
        <v>789.56</v>
      </c>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t="s">
        <v>4414</v>
      </c>
      <c r="Q74" s="21">
        <f t="shared" si="19"/>
        <v>1.1000000000000001</v>
      </c>
      <c r="R74" s="21">
        <f t="shared" ca="1" si="20"/>
        <v>20925</v>
      </c>
      <c r="S74" s="307">
        <f t="shared" ca="1" si="21"/>
        <v>1652</v>
      </c>
    </row>
    <row r="75" spans="1:19">
      <c r="A75" s="3164" t="str">
        <f>'1号楼'!B54</f>
        <v>1号楼3202</v>
      </c>
      <c r="B75" s="3164">
        <f>'1号楼'!C54</f>
        <v>781.22</v>
      </c>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t="s">
        <v>4414</v>
      </c>
      <c r="Q75" s="21">
        <f t="shared" si="19"/>
        <v>1.1000000000000001</v>
      </c>
      <c r="R75" s="21">
        <f t="shared" ca="1" si="20"/>
        <v>20925</v>
      </c>
      <c r="S75" s="307">
        <f t="shared" ca="1" si="21"/>
        <v>1635</v>
      </c>
    </row>
    <row r="76" spans="1:19">
      <c r="A76" s="3164" t="str">
        <f>'1号楼'!B55</f>
        <v>1号楼3301</v>
      </c>
      <c r="B76" s="3164">
        <f>'1号楼'!C55</f>
        <v>789.56</v>
      </c>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t="s">
        <v>4414</v>
      </c>
      <c r="Q76" s="21">
        <f t="shared" si="19"/>
        <v>1.1000000000000001</v>
      </c>
      <c r="R76" s="21">
        <f t="shared" ca="1" si="20"/>
        <v>20925</v>
      </c>
      <c r="S76" s="307">
        <f t="shared" ca="1" si="21"/>
        <v>1652</v>
      </c>
    </row>
    <row r="77" spans="1:19">
      <c r="A77" s="3164" t="str">
        <f>'1号楼'!B56</f>
        <v>1号楼3302</v>
      </c>
      <c r="B77" s="3164">
        <f>'1号楼'!C56</f>
        <v>781.22</v>
      </c>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t="s">
        <v>4414</v>
      </c>
      <c r="Q77" s="21">
        <f t="shared" si="19"/>
        <v>1.1000000000000001</v>
      </c>
      <c r="R77" s="21">
        <f t="shared" ca="1" si="20"/>
        <v>20925</v>
      </c>
      <c r="S77" s="307">
        <f t="shared" ca="1" si="21"/>
        <v>1635</v>
      </c>
    </row>
    <row r="78" spans="1:19">
      <c r="A78" s="3164" t="str">
        <f>'2号楼'!B3</f>
        <v>2号楼501</v>
      </c>
      <c r="B78" s="3164">
        <f>'2号楼'!C3</f>
        <v>728.32</v>
      </c>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t="s">
        <v>4211</v>
      </c>
      <c r="Q78" s="21">
        <f t="shared" si="19"/>
        <v>1</v>
      </c>
      <c r="R78" s="21">
        <f t="shared" ca="1" si="20"/>
        <v>19023</v>
      </c>
      <c r="S78" s="307">
        <f t="shared" ref="S78:S122" ca="1" si="22">ROUND(R78*B78/10000,0)</f>
        <v>1385</v>
      </c>
    </row>
    <row r="79" spans="1:19">
      <c r="A79" s="3164" t="str">
        <f>'2号楼'!B4</f>
        <v>2号楼502</v>
      </c>
      <c r="B79" s="3164">
        <f>'2号楼'!C4</f>
        <v>773.1</v>
      </c>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t="s">
        <v>4211</v>
      </c>
      <c r="Q79" s="21">
        <f t="shared" si="19"/>
        <v>1</v>
      </c>
      <c r="R79" s="21">
        <f t="shared" ca="1" si="20"/>
        <v>19023</v>
      </c>
      <c r="S79" s="307">
        <f t="shared" ca="1" si="22"/>
        <v>1471</v>
      </c>
    </row>
    <row r="80" spans="1:19">
      <c r="A80" s="3164" t="str">
        <f>'2号楼'!B5</f>
        <v>2号楼601</v>
      </c>
      <c r="B80" s="3164">
        <f>'2号楼'!C5</f>
        <v>728.32</v>
      </c>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t="s">
        <v>4211</v>
      </c>
      <c r="Q80" s="21">
        <f t="shared" si="19"/>
        <v>1</v>
      </c>
      <c r="R80" s="21">
        <f t="shared" ca="1" si="20"/>
        <v>19023</v>
      </c>
      <c r="S80" s="307">
        <f t="shared" ca="1" si="22"/>
        <v>1385</v>
      </c>
    </row>
    <row r="81" spans="1:19">
      <c r="A81" s="3164" t="str">
        <f>'2号楼'!B6</f>
        <v>2号楼602</v>
      </c>
      <c r="B81" s="3164">
        <f>'2号楼'!C6</f>
        <v>773.1</v>
      </c>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t="s">
        <v>4211</v>
      </c>
      <c r="Q81" s="21">
        <f t="shared" si="19"/>
        <v>1</v>
      </c>
      <c r="R81" s="21">
        <f t="shared" ca="1" si="20"/>
        <v>19023</v>
      </c>
      <c r="S81" s="307">
        <f t="shared" ca="1" si="22"/>
        <v>1471</v>
      </c>
    </row>
    <row r="82" spans="1:19">
      <c r="A82" s="3164" t="str">
        <f>'2号楼'!B7</f>
        <v>2号楼701</v>
      </c>
      <c r="B82" s="3164">
        <f>'2号楼'!C7</f>
        <v>728.32</v>
      </c>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t="s">
        <v>4211</v>
      </c>
      <c r="Q82" s="21">
        <f t="shared" si="19"/>
        <v>1</v>
      </c>
      <c r="R82" s="21">
        <f t="shared" ca="1" si="20"/>
        <v>19023</v>
      </c>
      <c r="S82" s="307">
        <f t="shared" ca="1" si="22"/>
        <v>1385</v>
      </c>
    </row>
    <row r="83" spans="1:19">
      <c r="A83" s="3164" t="str">
        <f>'2号楼'!B8</f>
        <v>2号楼702</v>
      </c>
      <c r="B83" s="3164">
        <f>'2号楼'!C8</f>
        <v>773.1</v>
      </c>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t="s">
        <v>4211</v>
      </c>
      <c r="Q83" s="21">
        <f t="shared" si="19"/>
        <v>1</v>
      </c>
      <c r="R83" s="21">
        <f t="shared" ca="1" si="20"/>
        <v>19023</v>
      </c>
      <c r="S83" s="307">
        <f t="shared" ca="1" si="22"/>
        <v>1471</v>
      </c>
    </row>
    <row r="84" spans="1:19">
      <c r="A84" s="3164" t="str">
        <f>'2号楼'!B9</f>
        <v>2号楼801</v>
      </c>
      <c r="B84" s="3164">
        <f>'2号楼'!C9</f>
        <v>728.32</v>
      </c>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t="s">
        <v>4416</v>
      </c>
      <c r="Q84" s="21">
        <f t="shared" si="19"/>
        <v>1.05</v>
      </c>
      <c r="R84" s="21">
        <f t="shared" ca="1" si="20"/>
        <v>19974</v>
      </c>
      <c r="S84" s="307">
        <f t="shared" ca="1" si="22"/>
        <v>1455</v>
      </c>
    </row>
    <row r="85" spans="1:19">
      <c r="A85" s="3164" t="str">
        <f>'2号楼'!B10</f>
        <v>2号楼802</v>
      </c>
      <c r="B85" s="3164">
        <f>'2号楼'!C10</f>
        <v>773.1</v>
      </c>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t="s">
        <v>4416</v>
      </c>
      <c r="Q85" s="21">
        <f t="shared" si="19"/>
        <v>1.05</v>
      </c>
      <c r="R85" s="21">
        <f t="shared" ca="1" si="20"/>
        <v>19974</v>
      </c>
      <c r="S85" s="307">
        <f t="shared" ca="1" si="22"/>
        <v>1544</v>
      </c>
    </row>
    <row r="86" spans="1:19">
      <c r="A86" s="3164" t="str">
        <f>'2号楼'!B11</f>
        <v>2号楼901</v>
      </c>
      <c r="B86" s="3164">
        <f>'2号楼'!C11</f>
        <v>728.32</v>
      </c>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t="s">
        <v>4416</v>
      </c>
      <c r="Q86" s="21">
        <f t="shared" si="19"/>
        <v>1.05</v>
      </c>
      <c r="R86" s="21">
        <f t="shared" ca="1" si="20"/>
        <v>19974</v>
      </c>
      <c r="S86" s="307">
        <f t="shared" ca="1" si="22"/>
        <v>1455</v>
      </c>
    </row>
    <row r="87" spans="1:19">
      <c r="A87" s="3164" t="str">
        <f>'2号楼'!B12</f>
        <v>2号楼902</v>
      </c>
      <c r="B87" s="3164">
        <f>'2号楼'!C12</f>
        <v>773.1</v>
      </c>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t="s">
        <v>4416</v>
      </c>
      <c r="Q87" s="21">
        <f t="shared" si="19"/>
        <v>1.05</v>
      </c>
      <c r="R87" s="21">
        <f t="shared" ca="1" si="20"/>
        <v>19974</v>
      </c>
      <c r="S87" s="307">
        <f t="shared" ca="1" si="22"/>
        <v>1544</v>
      </c>
    </row>
    <row r="88" spans="1:19">
      <c r="A88" s="3164" t="str">
        <f>'2号楼'!B13</f>
        <v>2号楼1001</v>
      </c>
      <c r="B88" s="3164">
        <f>'2号楼'!C13</f>
        <v>728.32</v>
      </c>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t="s">
        <v>4416</v>
      </c>
      <c r="Q88" s="21">
        <f t="shared" si="19"/>
        <v>1.05</v>
      </c>
      <c r="R88" s="21">
        <f t="shared" ca="1" si="20"/>
        <v>19974</v>
      </c>
      <c r="S88" s="307">
        <f t="shared" ca="1" si="22"/>
        <v>1455</v>
      </c>
    </row>
    <row r="89" spans="1:19">
      <c r="A89" s="3164" t="str">
        <f>'2号楼'!B14</f>
        <v>2号楼1002</v>
      </c>
      <c r="B89" s="3164">
        <f>'2号楼'!C14</f>
        <v>773.1</v>
      </c>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t="s">
        <v>4416</v>
      </c>
      <c r="Q89" s="21">
        <f t="shared" si="19"/>
        <v>1.05</v>
      </c>
      <c r="R89" s="21">
        <f t="shared" ca="1" si="20"/>
        <v>19974</v>
      </c>
      <c r="S89" s="307">
        <f t="shared" ca="1" si="22"/>
        <v>1544</v>
      </c>
    </row>
    <row r="90" spans="1:19">
      <c r="A90" s="3164" t="str">
        <f>'2号楼'!B15</f>
        <v>2号楼1101</v>
      </c>
      <c r="B90" s="3164">
        <f>'2号楼'!C15</f>
        <v>728.32</v>
      </c>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t="s">
        <v>4416</v>
      </c>
      <c r="Q90" s="21">
        <f t="shared" ref="Q90:Q153" si="30">(SUMIF($17:$17,P90,$18:$18)-SUMIF($17:$17,$P$24,$18:$18)+100)/100</f>
        <v>1.05</v>
      </c>
      <c r="R90" s="21">
        <f t="shared" ref="R90:R153" ca="1" si="31">IF(B90="",0,ROUND($R$24*C90*E90*G90*I90*K90*M90*O90*Q90,0))</f>
        <v>19974</v>
      </c>
      <c r="S90" s="307">
        <f t="shared" ca="1" si="22"/>
        <v>1455</v>
      </c>
    </row>
    <row r="91" spans="1:19">
      <c r="A91" s="3164" t="str">
        <f>'2号楼'!B16</f>
        <v>2号楼1102</v>
      </c>
      <c r="B91" s="3164">
        <f>'2号楼'!C16</f>
        <v>773.1</v>
      </c>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t="s">
        <v>4416</v>
      </c>
      <c r="Q91" s="21">
        <f t="shared" si="30"/>
        <v>1.05</v>
      </c>
      <c r="R91" s="21">
        <f t="shared" ca="1" si="31"/>
        <v>19974</v>
      </c>
      <c r="S91" s="307">
        <f t="shared" ca="1" si="22"/>
        <v>1544</v>
      </c>
    </row>
    <row r="92" spans="1:19">
      <c r="A92" s="3164" t="str">
        <f>'2号楼'!B17</f>
        <v>2号楼1201</v>
      </c>
      <c r="B92" s="3164">
        <f>'2号楼'!C17</f>
        <v>728.32</v>
      </c>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t="s">
        <v>4416</v>
      </c>
      <c r="Q92" s="21">
        <f t="shared" si="30"/>
        <v>1.05</v>
      </c>
      <c r="R92" s="21">
        <f t="shared" ca="1" si="31"/>
        <v>19974</v>
      </c>
      <c r="S92" s="307">
        <f t="shared" ca="1" si="22"/>
        <v>1455</v>
      </c>
    </row>
    <row r="93" spans="1:19">
      <c r="A93" s="3164" t="str">
        <f>'2号楼'!B18</f>
        <v>2号楼1202</v>
      </c>
      <c r="B93" s="3164">
        <f>'2号楼'!C18</f>
        <v>773.1</v>
      </c>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t="s">
        <v>4416</v>
      </c>
      <c r="Q93" s="21">
        <f t="shared" si="30"/>
        <v>1.05</v>
      </c>
      <c r="R93" s="21">
        <f t="shared" ca="1" si="31"/>
        <v>19974</v>
      </c>
      <c r="S93" s="307">
        <f t="shared" ca="1" si="22"/>
        <v>1544</v>
      </c>
    </row>
    <row r="94" spans="1:19">
      <c r="A94" s="3164" t="str">
        <f>'2号楼'!B19</f>
        <v>2号楼1301</v>
      </c>
      <c r="B94" s="3164">
        <f>'2号楼'!C19</f>
        <v>728.32</v>
      </c>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t="s">
        <v>4416</v>
      </c>
      <c r="Q94" s="21">
        <f t="shared" si="30"/>
        <v>1.05</v>
      </c>
      <c r="R94" s="21">
        <f t="shared" ca="1" si="31"/>
        <v>19974</v>
      </c>
      <c r="S94" s="307">
        <f t="shared" ca="1" si="22"/>
        <v>1455</v>
      </c>
    </row>
    <row r="95" spans="1:19">
      <c r="A95" s="3164" t="str">
        <f>'2号楼'!B20</f>
        <v>2号楼1302</v>
      </c>
      <c r="B95" s="3164">
        <f>'2号楼'!C20</f>
        <v>773.1</v>
      </c>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t="s">
        <v>4416</v>
      </c>
      <c r="Q95" s="21">
        <f t="shared" si="30"/>
        <v>1.05</v>
      </c>
      <c r="R95" s="21">
        <f t="shared" ca="1" si="31"/>
        <v>19974</v>
      </c>
      <c r="S95" s="307">
        <f t="shared" ca="1" si="22"/>
        <v>1544</v>
      </c>
    </row>
    <row r="96" spans="1:19">
      <c r="A96" s="3164" t="str">
        <f>'2号楼'!B21</f>
        <v>2号楼1401</v>
      </c>
      <c r="B96" s="3164">
        <f>'2号楼'!C21</f>
        <v>728.32</v>
      </c>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t="s">
        <v>4416</v>
      </c>
      <c r="Q96" s="21">
        <f t="shared" si="30"/>
        <v>1.05</v>
      </c>
      <c r="R96" s="21">
        <f t="shared" ca="1" si="31"/>
        <v>19974</v>
      </c>
      <c r="S96" s="307">
        <f t="shared" ca="1" si="22"/>
        <v>1455</v>
      </c>
    </row>
    <row r="97" spans="1:19">
      <c r="A97" s="3164" t="str">
        <f>'2号楼'!B22</f>
        <v>2号楼1402</v>
      </c>
      <c r="B97" s="3164">
        <f>'2号楼'!C22</f>
        <v>773.1</v>
      </c>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t="s">
        <v>4416</v>
      </c>
      <c r="Q97" s="21">
        <f t="shared" si="30"/>
        <v>1.05</v>
      </c>
      <c r="R97" s="21">
        <f t="shared" ca="1" si="31"/>
        <v>19974</v>
      </c>
      <c r="S97" s="307">
        <f t="shared" ca="1" si="22"/>
        <v>1544</v>
      </c>
    </row>
    <row r="98" spans="1:19">
      <c r="A98" s="3164" t="str">
        <f>'2号楼'!B23</f>
        <v>2号楼1501</v>
      </c>
      <c r="B98" s="3164">
        <f>'2号楼'!C23</f>
        <v>728.32</v>
      </c>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t="s">
        <v>4414</v>
      </c>
      <c r="Q98" s="21">
        <f t="shared" si="30"/>
        <v>1.1000000000000001</v>
      </c>
      <c r="R98" s="21">
        <f t="shared" ca="1" si="31"/>
        <v>20925</v>
      </c>
      <c r="S98" s="307">
        <f t="shared" ca="1" si="22"/>
        <v>1524</v>
      </c>
    </row>
    <row r="99" spans="1:19">
      <c r="A99" s="3164" t="str">
        <f>'2号楼'!B24</f>
        <v>2号楼1502</v>
      </c>
      <c r="B99" s="3164">
        <f>'2号楼'!C24</f>
        <v>773.1</v>
      </c>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t="s">
        <v>4414</v>
      </c>
      <c r="Q99" s="21">
        <f t="shared" si="30"/>
        <v>1.1000000000000001</v>
      </c>
      <c r="R99" s="21">
        <f t="shared" ca="1" si="31"/>
        <v>20925</v>
      </c>
      <c r="S99" s="307">
        <f t="shared" ca="1" si="22"/>
        <v>1618</v>
      </c>
    </row>
    <row r="100" spans="1:19">
      <c r="A100" s="3164" t="str">
        <f>'2号楼'!B25</f>
        <v>2号楼1601</v>
      </c>
      <c r="B100" s="3164">
        <f>'2号楼'!C25</f>
        <v>728.32</v>
      </c>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t="s">
        <v>4414</v>
      </c>
      <c r="Q100" s="21">
        <f t="shared" si="30"/>
        <v>1.1000000000000001</v>
      </c>
      <c r="R100" s="21">
        <f t="shared" ca="1" si="31"/>
        <v>20925</v>
      </c>
      <c r="S100" s="307">
        <f t="shared" ca="1" si="22"/>
        <v>1524</v>
      </c>
    </row>
    <row r="101" spans="1:19">
      <c r="A101" s="3164" t="str">
        <f>'2号楼'!B26</f>
        <v>2号楼1602</v>
      </c>
      <c r="B101" s="3164">
        <f>'2号楼'!C26</f>
        <v>773.1</v>
      </c>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t="s">
        <v>4414</v>
      </c>
      <c r="Q101" s="21">
        <f t="shared" si="30"/>
        <v>1.1000000000000001</v>
      </c>
      <c r="R101" s="21">
        <f t="shared" ca="1" si="31"/>
        <v>20925</v>
      </c>
      <c r="S101" s="307">
        <f t="shared" ca="1" si="22"/>
        <v>1618</v>
      </c>
    </row>
    <row r="102" spans="1:19">
      <c r="A102" s="3164" t="str">
        <f>'2号楼'!B27</f>
        <v>2号楼1701</v>
      </c>
      <c r="B102" s="3164">
        <f>'2号楼'!C27</f>
        <v>728.32</v>
      </c>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t="s">
        <v>4414</v>
      </c>
      <c r="Q102" s="21">
        <f t="shared" si="30"/>
        <v>1.1000000000000001</v>
      </c>
      <c r="R102" s="21">
        <f t="shared" ca="1" si="31"/>
        <v>20925</v>
      </c>
      <c r="S102" s="307">
        <f t="shared" ca="1" si="22"/>
        <v>1524</v>
      </c>
    </row>
    <row r="103" spans="1:19">
      <c r="A103" s="3164" t="str">
        <f>'2号楼'!B28</f>
        <v>2号楼1702</v>
      </c>
      <c r="B103" s="3164">
        <f>'2号楼'!C28</f>
        <v>773.1</v>
      </c>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t="s">
        <v>4414</v>
      </c>
      <c r="Q103" s="21">
        <f t="shared" si="30"/>
        <v>1.1000000000000001</v>
      </c>
      <c r="R103" s="21">
        <f t="shared" ca="1" si="31"/>
        <v>20925</v>
      </c>
      <c r="S103" s="307">
        <f t="shared" ca="1" si="22"/>
        <v>1618</v>
      </c>
    </row>
    <row r="104" spans="1:19">
      <c r="A104" s="3164" t="str">
        <f>'2号楼'!B29</f>
        <v>2号楼1801</v>
      </c>
      <c r="B104" s="3164">
        <f>'2号楼'!C29</f>
        <v>728.32</v>
      </c>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t="s">
        <v>4414</v>
      </c>
      <c r="Q104" s="21">
        <f t="shared" si="30"/>
        <v>1.1000000000000001</v>
      </c>
      <c r="R104" s="21">
        <f t="shared" ca="1" si="31"/>
        <v>20925</v>
      </c>
      <c r="S104" s="307">
        <f t="shared" ca="1" si="22"/>
        <v>1524</v>
      </c>
    </row>
    <row r="105" spans="1:19">
      <c r="A105" s="3164" t="str">
        <f>'2号楼'!B30</f>
        <v>2号楼1802</v>
      </c>
      <c r="B105" s="3164">
        <f>'2号楼'!C30</f>
        <v>773.1</v>
      </c>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t="s">
        <v>4414</v>
      </c>
      <c r="Q105" s="21">
        <f t="shared" si="30"/>
        <v>1.1000000000000001</v>
      </c>
      <c r="R105" s="21">
        <f t="shared" ca="1" si="31"/>
        <v>20925</v>
      </c>
      <c r="S105" s="307">
        <f t="shared" ca="1" si="22"/>
        <v>1618</v>
      </c>
    </row>
    <row r="106" spans="1:19">
      <c r="A106" s="3164" t="str">
        <f>'2号楼'!B31</f>
        <v>2号楼1901</v>
      </c>
      <c r="B106" s="3164">
        <f>'2号楼'!C31</f>
        <v>728.32</v>
      </c>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t="s">
        <v>4414</v>
      </c>
      <c r="Q106" s="21">
        <f t="shared" si="30"/>
        <v>1.1000000000000001</v>
      </c>
      <c r="R106" s="21">
        <f t="shared" ca="1" si="31"/>
        <v>20925</v>
      </c>
      <c r="S106" s="307">
        <f t="shared" ca="1" si="22"/>
        <v>1524</v>
      </c>
    </row>
    <row r="107" spans="1:19">
      <c r="A107" s="3164" t="str">
        <f>'2号楼'!B32</f>
        <v>2号楼1902</v>
      </c>
      <c r="B107" s="3164">
        <f>'2号楼'!C32</f>
        <v>773.1</v>
      </c>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t="s">
        <v>4414</v>
      </c>
      <c r="Q107" s="21">
        <f t="shared" si="30"/>
        <v>1.1000000000000001</v>
      </c>
      <c r="R107" s="21">
        <f t="shared" ca="1" si="31"/>
        <v>20925</v>
      </c>
      <c r="S107" s="307">
        <f t="shared" ca="1" si="22"/>
        <v>1618</v>
      </c>
    </row>
    <row r="108" spans="1:19">
      <c r="A108" s="3164" t="str">
        <f>'2号楼'!B33</f>
        <v>2号楼2001</v>
      </c>
      <c r="B108" s="3164">
        <f>'2号楼'!C33</f>
        <v>728.32</v>
      </c>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t="s">
        <v>4414</v>
      </c>
      <c r="Q108" s="21">
        <f t="shared" si="30"/>
        <v>1.1000000000000001</v>
      </c>
      <c r="R108" s="21">
        <f t="shared" ca="1" si="31"/>
        <v>20925</v>
      </c>
      <c r="S108" s="307">
        <f t="shared" ca="1" si="22"/>
        <v>1524</v>
      </c>
    </row>
    <row r="109" spans="1:19">
      <c r="A109" s="3164" t="str">
        <f>'2号楼'!B34</f>
        <v>2号楼2002</v>
      </c>
      <c r="B109" s="3164">
        <f>'2号楼'!C34</f>
        <v>773.1</v>
      </c>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t="s">
        <v>4414</v>
      </c>
      <c r="Q109" s="21">
        <f t="shared" si="30"/>
        <v>1.1000000000000001</v>
      </c>
      <c r="R109" s="21">
        <f t="shared" ca="1" si="31"/>
        <v>20925</v>
      </c>
      <c r="S109" s="307">
        <f t="shared" ca="1" si="22"/>
        <v>1618</v>
      </c>
    </row>
    <row r="110" spans="1:19">
      <c r="A110" s="3164" t="str">
        <f>'2号楼'!B35</f>
        <v>2号楼2101</v>
      </c>
      <c r="B110" s="3164">
        <f>'2号楼'!C35</f>
        <v>728.32</v>
      </c>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t="s">
        <v>4414</v>
      </c>
      <c r="Q110" s="21">
        <f t="shared" si="30"/>
        <v>1.1000000000000001</v>
      </c>
      <c r="R110" s="21">
        <f t="shared" ca="1" si="31"/>
        <v>20925</v>
      </c>
      <c r="S110" s="307">
        <f t="shared" ca="1" si="22"/>
        <v>1524</v>
      </c>
    </row>
    <row r="111" spans="1:19">
      <c r="A111" s="3164" t="str">
        <f>'2号楼'!B36</f>
        <v>2号楼2102</v>
      </c>
      <c r="B111" s="3164">
        <f>'2号楼'!C36</f>
        <v>773.1</v>
      </c>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t="s">
        <v>4414</v>
      </c>
      <c r="Q111" s="21">
        <f t="shared" si="30"/>
        <v>1.1000000000000001</v>
      </c>
      <c r="R111" s="21">
        <f t="shared" ca="1" si="31"/>
        <v>20925</v>
      </c>
      <c r="S111" s="307">
        <f t="shared" ca="1" si="22"/>
        <v>1618</v>
      </c>
    </row>
    <row r="112" spans="1:19">
      <c r="A112" s="3164" t="str">
        <f>'3号楼'!B3</f>
        <v>3号楼501</v>
      </c>
      <c r="B112" s="3164">
        <f>'3号楼'!C3</f>
        <v>725.98</v>
      </c>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t="s">
        <v>4211</v>
      </c>
      <c r="Q112" s="21">
        <f t="shared" si="30"/>
        <v>1</v>
      </c>
      <c r="R112" s="21">
        <f t="shared" ca="1" si="31"/>
        <v>19023</v>
      </c>
      <c r="S112" s="307">
        <f t="shared" ca="1" si="22"/>
        <v>1381</v>
      </c>
    </row>
    <row r="113" spans="1:19">
      <c r="A113" s="3164" t="str">
        <f>'3号楼'!B4</f>
        <v>3号楼502</v>
      </c>
      <c r="B113" s="3164">
        <f>'3号楼'!C4</f>
        <v>769.63</v>
      </c>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t="s">
        <v>4211</v>
      </c>
      <c r="Q113" s="21">
        <f t="shared" si="30"/>
        <v>1</v>
      </c>
      <c r="R113" s="21">
        <f t="shared" ca="1" si="31"/>
        <v>19023</v>
      </c>
      <c r="S113" s="307">
        <f t="shared" ca="1" si="22"/>
        <v>1464</v>
      </c>
    </row>
    <row r="114" spans="1:19">
      <c r="A114" s="3164" t="str">
        <f>'3号楼'!B5</f>
        <v>3号楼601</v>
      </c>
      <c r="B114" s="3164">
        <f>'3号楼'!C5</f>
        <v>725.98</v>
      </c>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t="s">
        <v>4211</v>
      </c>
      <c r="Q114" s="21">
        <f t="shared" si="30"/>
        <v>1</v>
      </c>
      <c r="R114" s="21">
        <f t="shared" ca="1" si="31"/>
        <v>19023</v>
      </c>
      <c r="S114" s="307">
        <f t="shared" ca="1" si="22"/>
        <v>1381</v>
      </c>
    </row>
    <row r="115" spans="1:19">
      <c r="A115" s="3164" t="str">
        <f>'3号楼'!B6</f>
        <v>3号楼602</v>
      </c>
      <c r="B115" s="3164">
        <f>'3号楼'!C6</f>
        <v>769.63</v>
      </c>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t="s">
        <v>4211</v>
      </c>
      <c r="Q115" s="21">
        <f t="shared" si="30"/>
        <v>1</v>
      </c>
      <c r="R115" s="21">
        <f t="shared" ca="1" si="31"/>
        <v>19023</v>
      </c>
      <c r="S115" s="307">
        <f t="shared" ca="1" si="22"/>
        <v>1464</v>
      </c>
    </row>
    <row r="116" spans="1:19">
      <c r="A116" s="3164" t="str">
        <f>'3号楼'!B7</f>
        <v>3号楼701</v>
      </c>
      <c r="B116" s="3164">
        <f>'3号楼'!C7</f>
        <v>725.98</v>
      </c>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t="s">
        <v>4211</v>
      </c>
      <c r="Q116" s="21">
        <f t="shared" si="30"/>
        <v>1</v>
      </c>
      <c r="R116" s="21">
        <f t="shared" ca="1" si="31"/>
        <v>19023</v>
      </c>
      <c r="S116" s="307">
        <f t="shared" ca="1" si="22"/>
        <v>1381</v>
      </c>
    </row>
    <row r="117" spans="1:19">
      <c r="A117" s="3164" t="str">
        <f>'3号楼'!B8</f>
        <v>3号楼702</v>
      </c>
      <c r="B117" s="3164">
        <f>'3号楼'!C8</f>
        <v>769.63</v>
      </c>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t="s">
        <v>4211</v>
      </c>
      <c r="Q117" s="21">
        <f t="shared" si="30"/>
        <v>1</v>
      </c>
      <c r="R117" s="21">
        <f t="shared" ca="1" si="31"/>
        <v>19023</v>
      </c>
      <c r="S117" s="307">
        <f t="shared" ca="1" si="22"/>
        <v>1464</v>
      </c>
    </row>
    <row r="118" spans="1:19">
      <c r="A118" s="3164" t="str">
        <f>'3号楼'!B9</f>
        <v>3号楼801</v>
      </c>
      <c r="B118" s="3164">
        <f>'3号楼'!C9</f>
        <v>725.98</v>
      </c>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t="s">
        <v>4416</v>
      </c>
      <c r="Q118" s="21">
        <f t="shared" si="30"/>
        <v>1.05</v>
      </c>
      <c r="R118" s="21">
        <f t="shared" ca="1" si="31"/>
        <v>19974</v>
      </c>
      <c r="S118" s="307">
        <f t="shared" ca="1" si="22"/>
        <v>1450</v>
      </c>
    </row>
    <row r="119" spans="1:19">
      <c r="A119" s="3164" t="str">
        <f>'3号楼'!B10</f>
        <v>3号楼802</v>
      </c>
      <c r="B119" s="3164">
        <f>'3号楼'!C10</f>
        <v>769.63</v>
      </c>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t="s">
        <v>4416</v>
      </c>
      <c r="Q119" s="21">
        <f t="shared" si="30"/>
        <v>1.05</v>
      </c>
      <c r="R119" s="21">
        <f t="shared" ca="1" si="31"/>
        <v>19974</v>
      </c>
      <c r="S119" s="307">
        <f t="shared" ca="1" si="22"/>
        <v>1537</v>
      </c>
    </row>
    <row r="120" spans="1:19">
      <c r="A120" s="3164" t="str">
        <f>'3号楼'!B11</f>
        <v>3号楼901</v>
      </c>
      <c r="B120" s="3164">
        <f>'3号楼'!C11</f>
        <v>725.98</v>
      </c>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t="s">
        <v>4416</v>
      </c>
      <c r="Q120" s="21">
        <f t="shared" si="30"/>
        <v>1.05</v>
      </c>
      <c r="R120" s="21">
        <f t="shared" ca="1" si="31"/>
        <v>19974</v>
      </c>
      <c r="S120" s="307">
        <f t="shared" ca="1" si="22"/>
        <v>1450</v>
      </c>
    </row>
    <row r="121" spans="1:19">
      <c r="A121" s="3164" t="str">
        <f>'3号楼'!B12</f>
        <v>3号楼902</v>
      </c>
      <c r="B121" s="3164">
        <f>'3号楼'!C12</f>
        <v>769.63</v>
      </c>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t="s">
        <v>4416</v>
      </c>
      <c r="Q121" s="21">
        <f t="shared" si="30"/>
        <v>1.05</v>
      </c>
      <c r="R121" s="21">
        <f t="shared" ca="1" si="31"/>
        <v>19974</v>
      </c>
      <c r="S121" s="307">
        <f t="shared" ca="1" si="22"/>
        <v>1537</v>
      </c>
    </row>
    <row r="122" spans="1:19">
      <c r="A122" s="3164" t="str">
        <f>'3号楼'!B13</f>
        <v>3号楼1001</v>
      </c>
      <c r="B122" s="3164">
        <f>'3号楼'!C13</f>
        <v>725.98</v>
      </c>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t="s">
        <v>4416</v>
      </c>
      <c r="Q122" s="21">
        <f t="shared" si="30"/>
        <v>1.05</v>
      </c>
      <c r="R122" s="21">
        <f t="shared" ca="1" si="31"/>
        <v>19974</v>
      </c>
      <c r="S122" s="307">
        <f t="shared" ca="1" si="22"/>
        <v>1450</v>
      </c>
    </row>
    <row r="123" spans="1:19">
      <c r="A123" s="3164" t="str">
        <f>'3号楼'!B14</f>
        <v>3号楼1002</v>
      </c>
      <c r="B123" s="3164">
        <f>'3号楼'!C14</f>
        <v>769.63</v>
      </c>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t="s">
        <v>4416</v>
      </c>
      <c r="Q123" s="21">
        <f t="shared" si="30"/>
        <v>1.05</v>
      </c>
      <c r="R123" s="21">
        <f t="shared" ca="1" si="31"/>
        <v>19974</v>
      </c>
      <c r="S123" s="307">
        <f t="shared" ref="S123:S186" ca="1" si="32">ROUND(R123*B123/10000,0)</f>
        <v>1537</v>
      </c>
    </row>
    <row r="124" spans="1:19">
      <c r="A124" s="3164" t="str">
        <f>'3号楼'!B15</f>
        <v>3号楼1101</v>
      </c>
      <c r="B124" s="3164">
        <f>'3号楼'!C15</f>
        <v>725.98</v>
      </c>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t="s">
        <v>4416</v>
      </c>
      <c r="Q124" s="21">
        <f t="shared" si="30"/>
        <v>1.05</v>
      </c>
      <c r="R124" s="21">
        <f t="shared" ca="1" si="31"/>
        <v>19974</v>
      </c>
      <c r="S124" s="307">
        <f t="shared" ca="1" si="32"/>
        <v>1450</v>
      </c>
    </row>
    <row r="125" spans="1:19">
      <c r="A125" s="3164" t="str">
        <f>'3号楼'!B16</f>
        <v>3号楼1102</v>
      </c>
      <c r="B125" s="3164">
        <f>'3号楼'!C16</f>
        <v>769.63</v>
      </c>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t="s">
        <v>4416</v>
      </c>
      <c r="Q125" s="21">
        <f t="shared" si="30"/>
        <v>1.05</v>
      </c>
      <c r="R125" s="21">
        <f t="shared" ca="1" si="31"/>
        <v>19974</v>
      </c>
      <c r="S125" s="307">
        <f t="shared" ca="1" si="32"/>
        <v>1537</v>
      </c>
    </row>
    <row r="126" spans="1:19">
      <c r="A126" s="3164" t="str">
        <f>'3号楼'!B17</f>
        <v>3号楼1201</v>
      </c>
      <c r="B126" s="3164">
        <f>'3号楼'!C17</f>
        <v>725.98</v>
      </c>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t="s">
        <v>4416</v>
      </c>
      <c r="Q126" s="21">
        <f t="shared" si="30"/>
        <v>1.05</v>
      </c>
      <c r="R126" s="21">
        <f t="shared" ca="1" si="31"/>
        <v>19974</v>
      </c>
      <c r="S126" s="307">
        <f t="shared" ca="1" si="32"/>
        <v>1450</v>
      </c>
    </row>
    <row r="127" spans="1:19">
      <c r="A127" s="3164" t="str">
        <f>'3号楼'!B18</f>
        <v>3号楼1202</v>
      </c>
      <c r="B127" s="3164">
        <f>'3号楼'!C18</f>
        <v>769.63</v>
      </c>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t="s">
        <v>4416</v>
      </c>
      <c r="Q127" s="21">
        <f t="shared" si="30"/>
        <v>1.05</v>
      </c>
      <c r="R127" s="21">
        <f t="shared" ca="1" si="31"/>
        <v>19974</v>
      </c>
      <c r="S127" s="307">
        <f t="shared" ca="1" si="32"/>
        <v>1537</v>
      </c>
    </row>
    <row r="128" spans="1:19">
      <c r="A128" s="3164" t="str">
        <f>'3号楼'!B19</f>
        <v>3号楼1301</v>
      </c>
      <c r="B128" s="3164">
        <f>'3号楼'!C19</f>
        <v>725.98</v>
      </c>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t="s">
        <v>4416</v>
      </c>
      <c r="Q128" s="21">
        <f t="shared" si="30"/>
        <v>1.05</v>
      </c>
      <c r="R128" s="21">
        <f t="shared" ca="1" si="31"/>
        <v>19974</v>
      </c>
      <c r="S128" s="307">
        <f t="shared" ca="1" si="32"/>
        <v>1450</v>
      </c>
    </row>
    <row r="129" spans="1:19">
      <c r="A129" s="3164" t="str">
        <f>'3号楼'!B20</f>
        <v>3号楼1302</v>
      </c>
      <c r="B129" s="3164">
        <f>'3号楼'!C20</f>
        <v>769.63</v>
      </c>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t="s">
        <v>4416</v>
      </c>
      <c r="Q129" s="21">
        <f t="shared" si="30"/>
        <v>1.05</v>
      </c>
      <c r="R129" s="21">
        <f t="shared" ca="1" si="31"/>
        <v>19974</v>
      </c>
      <c r="S129" s="307">
        <f t="shared" ca="1" si="32"/>
        <v>1537</v>
      </c>
    </row>
    <row r="130" spans="1:19">
      <c r="A130" s="3164" t="str">
        <f>'3号楼'!B21</f>
        <v>3号楼1401</v>
      </c>
      <c r="B130" s="3164">
        <f>'3号楼'!C21</f>
        <v>725.98</v>
      </c>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t="s">
        <v>4416</v>
      </c>
      <c r="Q130" s="21">
        <f t="shared" si="30"/>
        <v>1.05</v>
      </c>
      <c r="R130" s="21">
        <f t="shared" ca="1" si="31"/>
        <v>19974</v>
      </c>
      <c r="S130" s="307">
        <f t="shared" ca="1" si="32"/>
        <v>1450</v>
      </c>
    </row>
    <row r="131" spans="1:19">
      <c r="A131" s="3164" t="str">
        <f>'3号楼'!B22</f>
        <v>3号楼1402</v>
      </c>
      <c r="B131" s="3164">
        <f>'3号楼'!C22</f>
        <v>769.63</v>
      </c>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t="s">
        <v>4416</v>
      </c>
      <c r="Q131" s="21">
        <f t="shared" si="30"/>
        <v>1.05</v>
      </c>
      <c r="R131" s="21">
        <f t="shared" ca="1" si="31"/>
        <v>19974</v>
      </c>
      <c r="S131" s="307">
        <f t="shared" ca="1" si="32"/>
        <v>1537</v>
      </c>
    </row>
    <row r="132" spans="1:19">
      <c r="A132" s="3164" t="str">
        <f>'3号楼'!B23</f>
        <v>3号楼1501</v>
      </c>
      <c r="B132" s="3164">
        <f>'3号楼'!C23</f>
        <v>725.98</v>
      </c>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t="s">
        <v>4414</v>
      </c>
      <c r="Q132" s="21">
        <f t="shared" si="30"/>
        <v>1.1000000000000001</v>
      </c>
      <c r="R132" s="21">
        <f t="shared" ca="1" si="31"/>
        <v>20925</v>
      </c>
      <c r="S132" s="307">
        <f t="shared" ca="1" si="32"/>
        <v>1519</v>
      </c>
    </row>
    <row r="133" spans="1:19">
      <c r="A133" s="3164" t="str">
        <f>'3号楼'!B24</f>
        <v>3号楼1502</v>
      </c>
      <c r="B133" s="3164">
        <f>'3号楼'!C24</f>
        <v>769.63</v>
      </c>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t="s">
        <v>4414</v>
      </c>
      <c r="Q133" s="21">
        <f t="shared" si="30"/>
        <v>1.1000000000000001</v>
      </c>
      <c r="R133" s="21">
        <f t="shared" ca="1" si="31"/>
        <v>20925</v>
      </c>
      <c r="S133" s="307">
        <f t="shared" ca="1" si="32"/>
        <v>1610</v>
      </c>
    </row>
    <row r="134" spans="1:19">
      <c r="A134" s="3164" t="str">
        <f>'3号楼'!B25</f>
        <v>3号楼1601</v>
      </c>
      <c r="B134" s="3164">
        <f>'3号楼'!C25</f>
        <v>725.98</v>
      </c>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t="s">
        <v>4414</v>
      </c>
      <c r="Q134" s="21">
        <f t="shared" si="30"/>
        <v>1.1000000000000001</v>
      </c>
      <c r="R134" s="21">
        <f t="shared" ca="1" si="31"/>
        <v>20925</v>
      </c>
      <c r="S134" s="307">
        <f t="shared" ca="1" si="32"/>
        <v>1519</v>
      </c>
    </row>
    <row r="135" spans="1:19">
      <c r="A135" s="3164" t="str">
        <f>'3号楼'!B26</f>
        <v>3号楼1602</v>
      </c>
      <c r="B135" s="3164">
        <f>'3号楼'!C26</f>
        <v>769.63</v>
      </c>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t="s">
        <v>4414</v>
      </c>
      <c r="Q135" s="21">
        <f t="shared" si="30"/>
        <v>1.1000000000000001</v>
      </c>
      <c r="R135" s="21">
        <f t="shared" ca="1" si="31"/>
        <v>20925</v>
      </c>
      <c r="S135" s="307">
        <f t="shared" ca="1" si="32"/>
        <v>1610</v>
      </c>
    </row>
    <row r="136" spans="1:19">
      <c r="A136" s="3164" t="str">
        <f>'3号楼'!B27</f>
        <v>3号楼1701</v>
      </c>
      <c r="B136" s="3164">
        <f>'3号楼'!C27</f>
        <v>725.98</v>
      </c>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t="s">
        <v>4414</v>
      </c>
      <c r="Q136" s="21">
        <f t="shared" si="30"/>
        <v>1.1000000000000001</v>
      </c>
      <c r="R136" s="21">
        <f t="shared" ca="1" si="31"/>
        <v>20925</v>
      </c>
      <c r="S136" s="307">
        <f t="shared" ca="1" si="32"/>
        <v>1519</v>
      </c>
    </row>
    <row r="137" spans="1:19">
      <c r="A137" s="3164" t="str">
        <f>'3号楼'!B28</f>
        <v>3号楼1702</v>
      </c>
      <c r="B137" s="3164">
        <f>'3号楼'!C28</f>
        <v>769.63</v>
      </c>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t="s">
        <v>4414</v>
      </c>
      <c r="Q137" s="21">
        <f t="shared" si="30"/>
        <v>1.1000000000000001</v>
      </c>
      <c r="R137" s="21">
        <f t="shared" ca="1" si="31"/>
        <v>20925</v>
      </c>
      <c r="S137" s="307">
        <f t="shared" ca="1" si="32"/>
        <v>1610</v>
      </c>
    </row>
    <row r="138" spans="1:19">
      <c r="A138" s="3164" t="str">
        <f>'3号楼'!B29</f>
        <v>3号楼1801</v>
      </c>
      <c r="B138" s="3164">
        <f>'3号楼'!C29</f>
        <v>725.98</v>
      </c>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t="s">
        <v>4414</v>
      </c>
      <c r="Q138" s="21">
        <f t="shared" si="30"/>
        <v>1.1000000000000001</v>
      </c>
      <c r="R138" s="21">
        <f t="shared" ca="1" si="31"/>
        <v>20925</v>
      </c>
      <c r="S138" s="307">
        <f t="shared" ca="1" si="32"/>
        <v>1519</v>
      </c>
    </row>
    <row r="139" spans="1:19">
      <c r="A139" s="3164" t="str">
        <f>'3号楼'!B30</f>
        <v>3号楼1802</v>
      </c>
      <c r="B139" s="3164">
        <f>'3号楼'!C30</f>
        <v>769.63</v>
      </c>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t="s">
        <v>4414</v>
      </c>
      <c r="Q139" s="21">
        <f t="shared" si="30"/>
        <v>1.1000000000000001</v>
      </c>
      <c r="R139" s="21">
        <f t="shared" ca="1" si="31"/>
        <v>20925</v>
      </c>
      <c r="S139" s="307">
        <f t="shared" ca="1" si="32"/>
        <v>1610</v>
      </c>
    </row>
    <row r="140" spans="1:19">
      <c r="A140" s="3164" t="str">
        <f>'3号楼'!B31</f>
        <v>3号楼1901</v>
      </c>
      <c r="B140" s="3164">
        <f>'3号楼'!C31</f>
        <v>725.98</v>
      </c>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t="s">
        <v>4414</v>
      </c>
      <c r="Q140" s="21">
        <f t="shared" si="30"/>
        <v>1.1000000000000001</v>
      </c>
      <c r="R140" s="21">
        <f t="shared" ca="1" si="31"/>
        <v>20925</v>
      </c>
      <c r="S140" s="307">
        <f t="shared" ca="1" si="32"/>
        <v>1519</v>
      </c>
    </row>
    <row r="141" spans="1:19">
      <c r="A141" s="3164" t="str">
        <f>'3号楼'!B32</f>
        <v>3号楼1902</v>
      </c>
      <c r="B141" s="3164">
        <f>'3号楼'!C32</f>
        <v>769.63</v>
      </c>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t="s">
        <v>4414</v>
      </c>
      <c r="Q141" s="21">
        <f t="shared" si="30"/>
        <v>1.1000000000000001</v>
      </c>
      <c r="R141" s="21">
        <f t="shared" ca="1" si="31"/>
        <v>20925</v>
      </c>
      <c r="S141" s="307">
        <f t="shared" ca="1" si="32"/>
        <v>1610</v>
      </c>
    </row>
    <row r="142" spans="1:19">
      <c r="A142" s="3164" t="str">
        <f>'3号楼'!B33</f>
        <v>3号楼2001</v>
      </c>
      <c r="B142" s="3164">
        <f>'3号楼'!C33</f>
        <v>725.98</v>
      </c>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t="s">
        <v>4414</v>
      </c>
      <c r="Q142" s="21">
        <f t="shared" si="30"/>
        <v>1.1000000000000001</v>
      </c>
      <c r="R142" s="21">
        <f t="shared" ca="1" si="31"/>
        <v>20925</v>
      </c>
      <c r="S142" s="307">
        <f t="shared" ca="1" si="32"/>
        <v>1519</v>
      </c>
    </row>
    <row r="143" spans="1:19">
      <c r="A143" s="3164" t="str">
        <f>'3号楼'!B34</f>
        <v>3号楼2002</v>
      </c>
      <c r="B143" s="3164">
        <f>'3号楼'!C34</f>
        <v>769.63</v>
      </c>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t="s">
        <v>4414</v>
      </c>
      <c r="Q143" s="21">
        <f t="shared" si="30"/>
        <v>1.1000000000000001</v>
      </c>
      <c r="R143" s="21">
        <f t="shared" ca="1" si="31"/>
        <v>20925</v>
      </c>
      <c r="S143" s="307">
        <f t="shared" ca="1" si="32"/>
        <v>1610</v>
      </c>
    </row>
    <row r="144" spans="1:19">
      <c r="A144" s="3164" t="str">
        <f>'3号楼'!B35</f>
        <v>3号楼2101</v>
      </c>
      <c r="B144" s="3164">
        <f>'3号楼'!C35</f>
        <v>725.98</v>
      </c>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t="s">
        <v>4414</v>
      </c>
      <c r="Q144" s="21">
        <f t="shared" si="30"/>
        <v>1.1000000000000001</v>
      </c>
      <c r="R144" s="21">
        <f t="shared" ca="1" si="31"/>
        <v>20925</v>
      </c>
      <c r="S144" s="307">
        <f t="shared" ca="1" si="32"/>
        <v>1519</v>
      </c>
    </row>
    <row r="145" spans="1:19">
      <c r="A145" s="3164" t="str">
        <f>'3号楼'!B36</f>
        <v>3号楼2102</v>
      </c>
      <c r="B145" s="3164">
        <f>'3号楼'!C36</f>
        <v>769.63</v>
      </c>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t="s">
        <v>4414</v>
      </c>
      <c r="Q145" s="21">
        <f t="shared" si="30"/>
        <v>1.1000000000000001</v>
      </c>
      <c r="R145" s="21">
        <f t="shared" ca="1" si="31"/>
        <v>20925</v>
      </c>
      <c r="S145" s="307">
        <f t="shared" ca="1" si="32"/>
        <v>1610</v>
      </c>
    </row>
    <row r="146" spans="1:19">
      <c r="A146" s="3164" t="str">
        <f>'4号楼'!B3</f>
        <v>4号楼501</v>
      </c>
      <c r="B146" s="3164">
        <f>'4号楼'!C3</f>
        <v>800.8</v>
      </c>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t="s">
        <v>4211</v>
      </c>
      <c r="Q146" s="21">
        <f t="shared" si="30"/>
        <v>1</v>
      </c>
      <c r="R146" s="21">
        <f t="shared" ca="1" si="31"/>
        <v>19023</v>
      </c>
      <c r="S146" s="307">
        <f t="shared" ca="1" si="32"/>
        <v>1523</v>
      </c>
    </row>
    <row r="147" spans="1:19">
      <c r="A147" s="3164" t="str">
        <f>'4号楼'!B4</f>
        <v>4号楼502</v>
      </c>
      <c r="B147" s="3164">
        <f>'4号楼'!C4</f>
        <v>775.93</v>
      </c>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t="s">
        <v>4211</v>
      </c>
      <c r="Q147" s="21">
        <f t="shared" si="30"/>
        <v>1</v>
      </c>
      <c r="R147" s="21">
        <f t="shared" ca="1" si="31"/>
        <v>19023</v>
      </c>
      <c r="S147" s="307">
        <f t="shared" ca="1" si="32"/>
        <v>1476</v>
      </c>
    </row>
    <row r="148" spans="1:19">
      <c r="A148" s="3164" t="str">
        <f>'4号楼'!B5</f>
        <v>4号楼601</v>
      </c>
      <c r="B148" s="3164">
        <f>'4号楼'!C5</f>
        <v>803.05</v>
      </c>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t="s">
        <v>4211</v>
      </c>
      <c r="Q148" s="21">
        <f t="shared" si="30"/>
        <v>1</v>
      </c>
      <c r="R148" s="21">
        <f t="shared" ca="1" si="31"/>
        <v>19023</v>
      </c>
      <c r="S148" s="307">
        <f t="shared" ca="1" si="32"/>
        <v>1528</v>
      </c>
    </row>
    <row r="149" spans="1:19">
      <c r="A149" s="3164" t="str">
        <f>'4号楼'!B6</f>
        <v>4号楼602</v>
      </c>
      <c r="B149" s="3164">
        <f>'4号楼'!C6</f>
        <v>795.71</v>
      </c>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t="s">
        <v>4211</v>
      </c>
      <c r="Q149" s="21">
        <f t="shared" si="30"/>
        <v>1</v>
      </c>
      <c r="R149" s="21">
        <f t="shared" ca="1" si="31"/>
        <v>19023</v>
      </c>
      <c r="S149" s="307">
        <f t="shared" ca="1" si="32"/>
        <v>1514</v>
      </c>
    </row>
    <row r="150" spans="1:19">
      <c r="A150" s="3164" t="str">
        <f>'4号楼'!B7</f>
        <v>4号楼701</v>
      </c>
      <c r="B150" s="3164">
        <f>'4号楼'!C7</f>
        <v>803.05</v>
      </c>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t="s">
        <v>4211</v>
      </c>
      <c r="Q150" s="21">
        <f t="shared" si="30"/>
        <v>1</v>
      </c>
      <c r="R150" s="21">
        <f t="shared" ca="1" si="31"/>
        <v>19023</v>
      </c>
      <c r="S150" s="307">
        <f t="shared" ca="1" si="32"/>
        <v>1528</v>
      </c>
    </row>
    <row r="151" spans="1:19">
      <c r="A151" s="3164" t="str">
        <f>'4号楼'!B8</f>
        <v>4号楼702</v>
      </c>
      <c r="B151" s="3164">
        <f>'4号楼'!C8</f>
        <v>795.71</v>
      </c>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t="s">
        <v>4211</v>
      </c>
      <c r="Q151" s="21">
        <f t="shared" si="30"/>
        <v>1</v>
      </c>
      <c r="R151" s="21">
        <f t="shared" ca="1" si="31"/>
        <v>19023</v>
      </c>
      <c r="S151" s="307">
        <f t="shared" ca="1" si="32"/>
        <v>1514</v>
      </c>
    </row>
    <row r="152" spans="1:19">
      <c r="A152" s="3164" t="str">
        <f>'4号楼'!B9</f>
        <v>4号楼801</v>
      </c>
      <c r="B152" s="3164">
        <f>'4号楼'!C9</f>
        <v>803.05</v>
      </c>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t="s">
        <v>4211</v>
      </c>
      <c r="Q152" s="21">
        <f t="shared" si="30"/>
        <v>1</v>
      </c>
      <c r="R152" s="21">
        <f t="shared" ca="1" si="31"/>
        <v>19023</v>
      </c>
      <c r="S152" s="307">
        <f t="shared" ca="1" si="32"/>
        <v>1528</v>
      </c>
    </row>
    <row r="153" spans="1:19">
      <c r="A153" s="3164" t="str">
        <f>'4号楼'!B10</f>
        <v>4号楼802</v>
      </c>
      <c r="B153" s="3164">
        <f>'4号楼'!C10</f>
        <v>795.71</v>
      </c>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t="s">
        <v>4211</v>
      </c>
      <c r="Q153" s="21">
        <f t="shared" si="30"/>
        <v>1</v>
      </c>
      <c r="R153" s="21">
        <f t="shared" ca="1" si="31"/>
        <v>19023</v>
      </c>
      <c r="S153" s="307">
        <f t="shared" ca="1" si="32"/>
        <v>1514</v>
      </c>
    </row>
    <row r="154" spans="1:19">
      <c r="A154" s="3164" t="str">
        <f>'4号楼'!B11</f>
        <v>4号楼901</v>
      </c>
      <c r="B154" s="3164">
        <f>'4号楼'!C11</f>
        <v>803.05</v>
      </c>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t="s">
        <v>4211</v>
      </c>
      <c r="Q154" s="21">
        <f t="shared" ref="Q154:Q217" si="40">(SUMIF($17:$17,P154,$18:$18)-SUMIF($17:$17,$P$24,$18:$18)+100)/100</f>
        <v>1</v>
      </c>
      <c r="R154" s="21">
        <f t="shared" ref="R154:R217" ca="1" si="41">IF(B154="",0,ROUND($R$24*C154*E154*G154*I154*K154*M154*O154*Q154,0))</f>
        <v>19023</v>
      </c>
      <c r="S154" s="307">
        <f t="shared" ca="1" si="32"/>
        <v>1528</v>
      </c>
    </row>
    <row r="155" spans="1:19">
      <c r="A155" s="3164" t="str">
        <f>'4号楼'!B12</f>
        <v>4号楼902</v>
      </c>
      <c r="B155" s="3164">
        <f>'4号楼'!C12</f>
        <v>795.71</v>
      </c>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t="s">
        <v>4211</v>
      </c>
      <c r="Q155" s="21">
        <f t="shared" si="40"/>
        <v>1</v>
      </c>
      <c r="R155" s="21">
        <f t="shared" ca="1" si="41"/>
        <v>19023</v>
      </c>
      <c r="S155" s="307">
        <f t="shared" ca="1" si="32"/>
        <v>1514</v>
      </c>
    </row>
    <row r="156" spans="1:19">
      <c r="A156" s="3164" t="str">
        <f>'4号楼'!B13</f>
        <v>4号楼1001</v>
      </c>
      <c r="B156" s="3164">
        <f>'4号楼'!C13</f>
        <v>803.05</v>
      </c>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t="s">
        <v>4211</v>
      </c>
      <c r="Q156" s="21">
        <f t="shared" si="40"/>
        <v>1</v>
      </c>
      <c r="R156" s="21">
        <f t="shared" ca="1" si="41"/>
        <v>19023</v>
      </c>
      <c r="S156" s="307">
        <f t="shared" ca="1" si="32"/>
        <v>1528</v>
      </c>
    </row>
    <row r="157" spans="1:19">
      <c r="A157" s="3164" t="str">
        <f>'4号楼'!B14</f>
        <v>4号楼1002</v>
      </c>
      <c r="B157" s="3164">
        <f>'4号楼'!C14</f>
        <v>795.71</v>
      </c>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t="s">
        <v>4211</v>
      </c>
      <c r="Q157" s="21">
        <f t="shared" si="40"/>
        <v>1</v>
      </c>
      <c r="R157" s="21">
        <f t="shared" ca="1" si="41"/>
        <v>19023</v>
      </c>
      <c r="S157" s="307">
        <f t="shared" ca="1" si="32"/>
        <v>1514</v>
      </c>
    </row>
    <row r="158" spans="1:19">
      <c r="A158" s="3164" t="str">
        <f>'4号楼'!B15</f>
        <v>4号楼1201</v>
      </c>
      <c r="B158" s="3164">
        <f>'4号楼'!C15</f>
        <v>803.05</v>
      </c>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t="s">
        <v>4416</v>
      </c>
      <c r="Q158" s="21">
        <f t="shared" si="40"/>
        <v>1.05</v>
      </c>
      <c r="R158" s="21">
        <f t="shared" ca="1" si="41"/>
        <v>19974</v>
      </c>
      <c r="S158" s="307">
        <f t="shared" ca="1" si="32"/>
        <v>1604</v>
      </c>
    </row>
    <row r="159" spans="1:19">
      <c r="A159" s="3164" t="str">
        <f>'4号楼'!B16</f>
        <v>4号楼1202</v>
      </c>
      <c r="B159" s="3164">
        <f>'4号楼'!C16</f>
        <v>795.71</v>
      </c>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t="s">
        <v>4416</v>
      </c>
      <c r="Q159" s="21">
        <f t="shared" si="40"/>
        <v>1.05</v>
      </c>
      <c r="R159" s="21">
        <f t="shared" ca="1" si="41"/>
        <v>19974</v>
      </c>
      <c r="S159" s="307">
        <f t="shared" ca="1" si="32"/>
        <v>1589</v>
      </c>
    </row>
    <row r="160" spans="1:19">
      <c r="A160" s="3164" t="str">
        <f>'4号楼'!B17</f>
        <v>4号楼1301</v>
      </c>
      <c r="B160" s="3164">
        <f>'4号楼'!C17</f>
        <v>803.05</v>
      </c>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t="s">
        <v>4416</v>
      </c>
      <c r="Q160" s="21">
        <f t="shared" si="40"/>
        <v>1.05</v>
      </c>
      <c r="R160" s="21">
        <f t="shared" ca="1" si="41"/>
        <v>19974</v>
      </c>
      <c r="S160" s="307">
        <f t="shared" ca="1" si="32"/>
        <v>1604</v>
      </c>
    </row>
    <row r="161" spans="1:19">
      <c r="A161" s="3164" t="str">
        <f>'4号楼'!B18</f>
        <v>4号楼1302</v>
      </c>
      <c r="B161" s="3164">
        <f>'4号楼'!C18</f>
        <v>795.71</v>
      </c>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t="s">
        <v>4416</v>
      </c>
      <c r="Q161" s="21">
        <f t="shared" si="40"/>
        <v>1.05</v>
      </c>
      <c r="R161" s="21">
        <f t="shared" ca="1" si="41"/>
        <v>19974</v>
      </c>
      <c r="S161" s="307">
        <f t="shared" ca="1" si="32"/>
        <v>1589</v>
      </c>
    </row>
    <row r="162" spans="1:19">
      <c r="A162" s="3164" t="str">
        <f>'4号楼'!B19</f>
        <v>4号楼1401</v>
      </c>
      <c r="B162" s="3164">
        <f>'4号楼'!C19</f>
        <v>803.05</v>
      </c>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t="s">
        <v>4416</v>
      </c>
      <c r="Q162" s="21">
        <f t="shared" si="40"/>
        <v>1.05</v>
      </c>
      <c r="R162" s="21">
        <f t="shared" ca="1" si="41"/>
        <v>19974</v>
      </c>
      <c r="S162" s="307">
        <f t="shared" ca="1" si="32"/>
        <v>1604</v>
      </c>
    </row>
    <row r="163" spans="1:19">
      <c r="A163" s="3164" t="str">
        <f>'4号楼'!B20</f>
        <v>4号楼1402</v>
      </c>
      <c r="B163" s="3164">
        <f>'4号楼'!C20</f>
        <v>795.71</v>
      </c>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t="s">
        <v>4416</v>
      </c>
      <c r="Q163" s="21">
        <f t="shared" si="40"/>
        <v>1.05</v>
      </c>
      <c r="R163" s="21">
        <f t="shared" ca="1" si="41"/>
        <v>19974</v>
      </c>
      <c r="S163" s="307">
        <f t="shared" ca="1" si="32"/>
        <v>1589</v>
      </c>
    </row>
    <row r="164" spans="1:19">
      <c r="A164" s="3164" t="str">
        <f>'4号楼'!B21</f>
        <v>4号楼1501</v>
      </c>
      <c r="B164" s="3164">
        <f>'4号楼'!C21</f>
        <v>803.05</v>
      </c>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t="s">
        <v>4416</v>
      </c>
      <c r="Q164" s="21">
        <f t="shared" si="40"/>
        <v>1.05</v>
      </c>
      <c r="R164" s="21">
        <f t="shared" ca="1" si="41"/>
        <v>19974</v>
      </c>
      <c r="S164" s="307">
        <f t="shared" ca="1" si="32"/>
        <v>1604</v>
      </c>
    </row>
    <row r="165" spans="1:19">
      <c r="A165" s="3164" t="str">
        <f>'4号楼'!B22</f>
        <v>4号楼1502</v>
      </c>
      <c r="B165" s="3164">
        <f>'4号楼'!C22</f>
        <v>795.71</v>
      </c>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t="s">
        <v>4416</v>
      </c>
      <c r="Q165" s="21">
        <f t="shared" si="40"/>
        <v>1.05</v>
      </c>
      <c r="R165" s="21">
        <f t="shared" ca="1" si="41"/>
        <v>19974</v>
      </c>
      <c r="S165" s="307">
        <f t="shared" ca="1" si="32"/>
        <v>1589</v>
      </c>
    </row>
    <row r="166" spans="1:19">
      <c r="A166" s="3164" t="str">
        <f>'4号楼'!B23</f>
        <v>4号楼1601</v>
      </c>
      <c r="B166" s="3164">
        <f>'4号楼'!C23</f>
        <v>803.05</v>
      </c>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t="s">
        <v>4416</v>
      </c>
      <c r="Q166" s="21">
        <f t="shared" si="40"/>
        <v>1.05</v>
      </c>
      <c r="R166" s="21">
        <f t="shared" ca="1" si="41"/>
        <v>19974</v>
      </c>
      <c r="S166" s="307">
        <f t="shared" ca="1" si="32"/>
        <v>1604</v>
      </c>
    </row>
    <row r="167" spans="1:19">
      <c r="A167" s="3164" t="str">
        <f>'4号楼'!B24</f>
        <v>4号楼1602</v>
      </c>
      <c r="B167" s="3164">
        <f>'4号楼'!C24</f>
        <v>795.71</v>
      </c>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t="s">
        <v>4416</v>
      </c>
      <c r="Q167" s="21">
        <f t="shared" si="40"/>
        <v>1.05</v>
      </c>
      <c r="R167" s="21">
        <f t="shared" ca="1" si="41"/>
        <v>19974</v>
      </c>
      <c r="S167" s="307">
        <f t="shared" ca="1" si="32"/>
        <v>1589</v>
      </c>
    </row>
    <row r="168" spans="1:19">
      <c r="A168" s="3164" t="str">
        <f>'4号楼'!B25</f>
        <v>4号楼1701</v>
      </c>
      <c r="B168" s="3164">
        <f>'4号楼'!C25</f>
        <v>803.05</v>
      </c>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t="s">
        <v>4416</v>
      </c>
      <c r="Q168" s="21">
        <f t="shared" si="40"/>
        <v>1.05</v>
      </c>
      <c r="R168" s="21">
        <f t="shared" ca="1" si="41"/>
        <v>19974</v>
      </c>
      <c r="S168" s="307">
        <f t="shared" ca="1" si="32"/>
        <v>1604</v>
      </c>
    </row>
    <row r="169" spans="1:19">
      <c r="A169" s="3164" t="str">
        <f>'4号楼'!B26</f>
        <v>4号楼1702</v>
      </c>
      <c r="B169" s="3164">
        <f>'4号楼'!C26</f>
        <v>795.71</v>
      </c>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t="s">
        <v>4416</v>
      </c>
      <c r="Q169" s="21">
        <f t="shared" si="40"/>
        <v>1.05</v>
      </c>
      <c r="R169" s="21">
        <f t="shared" ca="1" si="41"/>
        <v>19974</v>
      </c>
      <c r="S169" s="307">
        <f t="shared" ca="1" si="32"/>
        <v>1589</v>
      </c>
    </row>
    <row r="170" spans="1:19">
      <c r="A170" s="3164" t="str">
        <f>'4号楼'!B27</f>
        <v>4号楼1801</v>
      </c>
      <c r="B170" s="3164">
        <f>'4号楼'!C27</f>
        <v>812.21</v>
      </c>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t="s">
        <v>4416</v>
      </c>
      <c r="Q170" s="21">
        <f t="shared" si="40"/>
        <v>1.05</v>
      </c>
      <c r="R170" s="21">
        <f t="shared" ca="1" si="41"/>
        <v>19974</v>
      </c>
      <c r="S170" s="307">
        <f t="shared" ca="1" si="32"/>
        <v>1622</v>
      </c>
    </row>
    <row r="171" spans="1:19">
      <c r="A171" s="3164" t="str">
        <f>'4号楼'!B28</f>
        <v>4号楼1802</v>
      </c>
      <c r="B171" s="3164">
        <f>'4号楼'!C28</f>
        <v>803.63</v>
      </c>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t="s">
        <v>4416</v>
      </c>
      <c r="Q171" s="21">
        <f t="shared" si="40"/>
        <v>1.05</v>
      </c>
      <c r="R171" s="21">
        <f t="shared" ca="1" si="41"/>
        <v>19974</v>
      </c>
      <c r="S171" s="307">
        <f t="shared" ca="1" si="32"/>
        <v>1605</v>
      </c>
    </row>
    <row r="172" spans="1:19">
      <c r="A172" s="3164" t="str">
        <f>'4号楼'!B29</f>
        <v>4号楼1901</v>
      </c>
      <c r="B172" s="3164">
        <f>'4号楼'!C29</f>
        <v>812.21</v>
      </c>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t="s">
        <v>4416</v>
      </c>
      <c r="Q172" s="21">
        <f t="shared" si="40"/>
        <v>1.05</v>
      </c>
      <c r="R172" s="21">
        <f t="shared" ca="1" si="41"/>
        <v>19974</v>
      </c>
      <c r="S172" s="307">
        <f t="shared" ca="1" si="32"/>
        <v>1622</v>
      </c>
    </row>
    <row r="173" spans="1:19">
      <c r="A173" s="3164" t="str">
        <f>'4号楼'!B30</f>
        <v>4号楼1902</v>
      </c>
      <c r="B173" s="3164">
        <f>'4号楼'!C30</f>
        <v>803.63</v>
      </c>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t="s">
        <v>4416</v>
      </c>
      <c r="Q173" s="21">
        <f t="shared" si="40"/>
        <v>1.05</v>
      </c>
      <c r="R173" s="21">
        <f t="shared" ca="1" si="41"/>
        <v>19974</v>
      </c>
      <c r="S173" s="307">
        <f t="shared" ca="1" si="32"/>
        <v>1605</v>
      </c>
    </row>
    <row r="174" spans="1:19">
      <c r="A174" s="3164" t="str">
        <f>'4号楼'!B31</f>
        <v>4号楼2001</v>
      </c>
      <c r="B174" s="3164">
        <f>'4号楼'!C31</f>
        <v>812.21</v>
      </c>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t="s">
        <v>4416</v>
      </c>
      <c r="Q174" s="21">
        <f t="shared" si="40"/>
        <v>1.05</v>
      </c>
      <c r="R174" s="21">
        <f t="shared" ca="1" si="41"/>
        <v>19974</v>
      </c>
      <c r="S174" s="307">
        <f t="shared" ca="1" si="32"/>
        <v>1622</v>
      </c>
    </row>
    <row r="175" spans="1:19">
      <c r="A175" s="3164" t="str">
        <f>'4号楼'!B32</f>
        <v>4号楼2002</v>
      </c>
      <c r="B175" s="3164">
        <f>'4号楼'!C32</f>
        <v>803.63</v>
      </c>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t="s">
        <v>4416</v>
      </c>
      <c r="Q175" s="21">
        <f t="shared" si="40"/>
        <v>1.05</v>
      </c>
      <c r="R175" s="21">
        <f t="shared" ca="1" si="41"/>
        <v>19974</v>
      </c>
      <c r="S175" s="307">
        <f t="shared" ca="1" si="32"/>
        <v>1605</v>
      </c>
    </row>
    <row r="176" spans="1:19">
      <c r="A176" s="3164" t="str">
        <f>'4号楼'!B33</f>
        <v>4号楼2101</v>
      </c>
      <c r="B176" s="3164">
        <f>'4号楼'!C33</f>
        <v>812.21</v>
      </c>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t="s">
        <v>4416</v>
      </c>
      <c r="Q176" s="21">
        <f t="shared" si="40"/>
        <v>1.05</v>
      </c>
      <c r="R176" s="21">
        <f t="shared" ca="1" si="41"/>
        <v>19974</v>
      </c>
      <c r="S176" s="307">
        <f t="shared" ca="1" si="32"/>
        <v>1622</v>
      </c>
    </row>
    <row r="177" spans="1:19">
      <c r="A177" s="3164" t="str">
        <f>'4号楼'!B34</f>
        <v>4号楼2102</v>
      </c>
      <c r="B177" s="3164">
        <f>'4号楼'!C34</f>
        <v>803.63</v>
      </c>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t="s">
        <v>4416</v>
      </c>
      <c r="Q177" s="21">
        <f t="shared" si="40"/>
        <v>1.05</v>
      </c>
      <c r="R177" s="21">
        <f t="shared" ca="1" si="41"/>
        <v>19974</v>
      </c>
      <c r="S177" s="307">
        <f t="shared" ca="1" si="32"/>
        <v>1605</v>
      </c>
    </row>
    <row r="178" spans="1:19">
      <c r="A178" s="3164" t="str">
        <f>'4号楼'!B35</f>
        <v>4号楼2201</v>
      </c>
      <c r="B178" s="3164">
        <f>'4号楼'!C35</f>
        <v>812.84</v>
      </c>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t="s">
        <v>4416</v>
      </c>
      <c r="Q178" s="21">
        <f t="shared" si="40"/>
        <v>1.05</v>
      </c>
      <c r="R178" s="21">
        <f t="shared" ca="1" si="41"/>
        <v>19974</v>
      </c>
      <c r="S178" s="307">
        <f t="shared" ca="1" si="32"/>
        <v>1624</v>
      </c>
    </row>
    <row r="179" spans="1:19">
      <c r="A179" s="3164" t="str">
        <f>'4号楼'!B36</f>
        <v>4号楼2202</v>
      </c>
      <c r="B179" s="3164">
        <f>'4号楼'!C36</f>
        <v>804.26</v>
      </c>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t="s">
        <v>4416</v>
      </c>
      <c r="Q179" s="21">
        <f t="shared" si="40"/>
        <v>1.05</v>
      </c>
      <c r="R179" s="21">
        <f t="shared" ca="1" si="41"/>
        <v>19974</v>
      </c>
      <c r="S179" s="307">
        <f t="shared" ca="1" si="32"/>
        <v>1606</v>
      </c>
    </row>
    <row r="180" spans="1:19">
      <c r="A180" s="3164" t="str">
        <f>'4号楼'!B37</f>
        <v>4号楼2401</v>
      </c>
      <c r="B180" s="3164">
        <f>'4号楼'!C37</f>
        <v>812.84</v>
      </c>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t="s">
        <v>4414</v>
      </c>
      <c r="Q180" s="21">
        <f t="shared" si="40"/>
        <v>1.1000000000000001</v>
      </c>
      <c r="R180" s="21">
        <f t="shared" ca="1" si="41"/>
        <v>20925</v>
      </c>
      <c r="S180" s="307">
        <f t="shared" ca="1" si="32"/>
        <v>1701</v>
      </c>
    </row>
    <row r="181" spans="1:19">
      <c r="A181" s="3164" t="str">
        <f>'4号楼'!B38</f>
        <v>4号楼2402</v>
      </c>
      <c r="B181" s="3164">
        <f>'4号楼'!C38</f>
        <v>804.26</v>
      </c>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t="s">
        <v>4414</v>
      </c>
      <c r="Q181" s="21">
        <f t="shared" si="40"/>
        <v>1.1000000000000001</v>
      </c>
      <c r="R181" s="21">
        <f t="shared" ca="1" si="41"/>
        <v>20925</v>
      </c>
      <c r="S181" s="307">
        <f t="shared" ca="1" si="32"/>
        <v>1683</v>
      </c>
    </row>
    <row r="182" spans="1:19">
      <c r="A182" s="3164" t="str">
        <f>'4号楼'!B39</f>
        <v>4号楼2501</v>
      </c>
      <c r="B182" s="3164">
        <f>'4号楼'!C39</f>
        <v>812.84</v>
      </c>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t="s">
        <v>4414</v>
      </c>
      <c r="Q182" s="21">
        <f t="shared" si="40"/>
        <v>1.1000000000000001</v>
      </c>
      <c r="R182" s="21">
        <f t="shared" ca="1" si="41"/>
        <v>20925</v>
      </c>
      <c r="S182" s="307">
        <f t="shared" ca="1" si="32"/>
        <v>1701</v>
      </c>
    </row>
    <row r="183" spans="1:19">
      <c r="A183" s="3164" t="str">
        <f>'4号楼'!B40</f>
        <v>4号楼2502</v>
      </c>
      <c r="B183" s="3164">
        <f>'4号楼'!C40</f>
        <v>804.26</v>
      </c>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t="s">
        <v>4414</v>
      </c>
      <c r="Q183" s="21">
        <f t="shared" si="40"/>
        <v>1.1000000000000001</v>
      </c>
      <c r="R183" s="21">
        <f t="shared" ca="1" si="41"/>
        <v>20925</v>
      </c>
      <c r="S183" s="307">
        <f t="shared" ca="1" si="32"/>
        <v>1683</v>
      </c>
    </row>
    <row r="184" spans="1:19">
      <c r="A184" s="3164" t="str">
        <f>'4号楼'!B41</f>
        <v>4号楼2601</v>
      </c>
      <c r="B184" s="3164">
        <f>'4号楼'!C41</f>
        <v>812.84</v>
      </c>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t="s">
        <v>4414</v>
      </c>
      <c r="Q184" s="21">
        <f t="shared" si="40"/>
        <v>1.1000000000000001</v>
      </c>
      <c r="R184" s="21">
        <f t="shared" ca="1" si="41"/>
        <v>20925</v>
      </c>
      <c r="S184" s="307">
        <f t="shared" ca="1" si="32"/>
        <v>1701</v>
      </c>
    </row>
    <row r="185" spans="1:19">
      <c r="A185" s="3164" t="str">
        <f>'4号楼'!B42</f>
        <v>4号楼2602</v>
      </c>
      <c r="B185" s="3164">
        <f>'4号楼'!C42</f>
        <v>804.26</v>
      </c>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t="s">
        <v>4414</v>
      </c>
      <c r="Q185" s="21">
        <f t="shared" si="40"/>
        <v>1.1000000000000001</v>
      </c>
      <c r="R185" s="21">
        <f t="shared" ca="1" si="41"/>
        <v>20925</v>
      </c>
      <c r="S185" s="307">
        <f t="shared" ca="1" si="32"/>
        <v>1683</v>
      </c>
    </row>
    <row r="186" spans="1:19">
      <c r="A186" s="3164" t="str">
        <f>'4号楼'!B43</f>
        <v>4号楼2701</v>
      </c>
      <c r="B186" s="3164">
        <f>'4号楼'!C43</f>
        <v>812.84</v>
      </c>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t="s">
        <v>4414</v>
      </c>
      <c r="Q186" s="21">
        <f t="shared" si="40"/>
        <v>1.1000000000000001</v>
      </c>
      <c r="R186" s="21">
        <f t="shared" ca="1" si="41"/>
        <v>20925</v>
      </c>
      <c r="S186" s="307">
        <f t="shared" ca="1" si="32"/>
        <v>1701</v>
      </c>
    </row>
    <row r="187" spans="1:19">
      <c r="A187" s="3164" t="str">
        <f>'4号楼'!B44</f>
        <v>4号楼2702</v>
      </c>
      <c r="B187" s="3164">
        <f>'4号楼'!C44</f>
        <v>804.26</v>
      </c>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t="s">
        <v>4414</v>
      </c>
      <c r="Q187" s="21">
        <f t="shared" si="40"/>
        <v>1.1000000000000001</v>
      </c>
      <c r="R187" s="21">
        <f t="shared" ca="1" si="41"/>
        <v>20925</v>
      </c>
      <c r="S187" s="307">
        <f t="shared" ref="S187:S222" ca="1" si="42">ROUND(R187*B187/10000,0)</f>
        <v>1683</v>
      </c>
    </row>
    <row r="188" spans="1:19">
      <c r="A188" s="3164" t="str">
        <f>'4号楼'!B45</f>
        <v>4号楼2801</v>
      </c>
      <c r="B188" s="3164">
        <f>'4号楼'!C45</f>
        <v>812.84</v>
      </c>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t="s">
        <v>4414</v>
      </c>
      <c r="Q188" s="21">
        <f t="shared" si="40"/>
        <v>1.1000000000000001</v>
      </c>
      <c r="R188" s="21">
        <f t="shared" ca="1" si="41"/>
        <v>20925</v>
      </c>
      <c r="S188" s="307">
        <f t="shared" ca="1" si="42"/>
        <v>1701</v>
      </c>
    </row>
    <row r="189" spans="1:19">
      <c r="A189" s="3164" t="str">
        <f>'4号楼'!B46</f>
        <v>4号楼2802</v>
      </c>
      <c r="B189" s="3164">
        <f>'4号楼'!C46</f>
        <v>804.26</v>
      </c>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t="s">
        <v>4414</v>
      </c>
      <c r="Q189" s="21">
        <f t="shared" si="40"/>
        <v>1.1000000000000001</v>
      </c>
      <c r="R189" s="21">
        <f t="shared" ca="1" si="41"/>
        <v>20925</v>
      </c>
      <c r="S189" s="307">
        <f t="shared" ca="1" si="42"/>
        <v>1683</v>
      </c>
    </row>
    <row r="190" spans="1:19">
      <c r="A190" s="3164" t="str">
        <f>'4号楼'!B47</f>
        <v>4号楼2901</v>
      </c>
      <c r="B190" s="3164">
        <f>'4号楼'!C47</f>
        <v>812.84</v>
      </c>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t="s">
        <v>4414</v>
      </c>
      <c r="Q190" s="21">
        <f t="shared" si="40"/>
        <v>1.1000000000000001</v>
      </c>
      <c r="R190" s="21">
        <f t="shared" ca="1" si="41"/>
        <v>20925</v>
      </c>
      <c r="S190" s="307">
        <f t="shared" ca="1" si="42"/>
        <v>1701</v>
      </c>
    </row>
    <row r="191" spans="1:19">
      <c r="A191" s="3164" t="str">
        <f>'4号楼'!B48</f>
        <v>4号楼2902</v>
      </c>
      <c r="B191" s="3164">
        <f>'4号楼'!C48</f>
        <v>804.26</v>
      </c>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t="s">
        <v>4414</v>
      </c>
      <c r="Q191" s="21">
        <f t="shared" si="40"/>
        <v>1.1000000000000001</v>
      </c>
      <c r="R191" s="21">
        <f t="shared" ca="1" si="41"/>
        <v>20925</v>
      </c>
      <c r="S191" s="307">
        <f t="shared" ca="1" si="42"/>
        <v>1683</v>
      </c>
    </row>
    <row r="192" spans="1:19">
      <c r="A192" s="3164" t="str">
        <f>'4号楼'!B49</f>
        <v>4号楼3001</v>
      </c>
      <c r="B192" s="3164">
        <f>'4号楼'!C49</f>
        <v>812.84</v>
      </c>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t="s">
        <v>4414</v>
      </c>
      <c r="Q192" s="21">
        <f t="shared" si="40"/>
        <v>1.1000000000000001</v>
      </c>
      <c r="R192" s="21">
        <f t="shared" ca="1" si="41"/>
        <v>20925</v>
      </c>
      <c r="S192" s="307">
        <f t="shared" ca="1" si="42"/>
        <v>1701</v>
      </c>
    </row>
    <row r="193" spans="1:19">
      <c r="A193" s="3164" t="str">
        <f>'4号楼'!B50</f>
        <v>4号楼3002</v>
      </c>
      <c r="B193" s="3164">
        <f>'4号楼'!C50</f>
        <v>804.26</v>
      </c>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t="s">
        <v>4414</v>
      </c>
      <c r="Q193" s="21">
        <f t="shared" si="40"/>
        <v>1.1000000000000001</v>
      </c>
      <c r="R193" s="21">
        <f t="shared" ca="1" si="41"/>
        <v>20925</v>
      </c>
      <c r="S193" s="307">
        <f t="shared" ca="1" si="42"/>
        <v>1683</v>
      </c>
    </row>
    <row r="194" spans="1:19">
      <c r="A194" s="3164" t="str">
        <f>'4号楼'!B51</f>
        <v>4号楼3101</v>
      </c>
      <c r="B194" s="3164">
        <f>'4号楼'!C51</f>
        <v>812.84</v>
      </c>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t="s">
        <v>4414</v>
      </c>
      <c r="Q194" s="21">
        <f t="shared" si="40"/>
        <v>1.1000000000000001</v>
      </c>
      <c r="R194" s="21">
        <f t="shared" ca="1" si="41"/>
        <v>20925</v>
      </c>
      <c r="S194" s="307">
        <f t="shared" ca="1" si="42"/>
        <v>1701</v>
      </c>
    </row>
    <row r="195" spans="1:19">
      <c r="A195" s="3164" t="str">
        <f>'4号楼'!B52</f>
        <v>4号楼3102</v>
      </c>
      <c r="B195" s="3164">
        <f>'4号楼'!C52</f>
        <v>804.26</v>
      </c>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t="s">
        <v>4414</v>
      </c>
      <c r="Q195" s="21">
        <f t="shared" si="40"/>
        <v>1.1000000000000001</v>
      </c>
      <c r="R195" s="21">
        <f t="shared" ca="1" si="41"/>
        <v>20925</v>
      </c>
      <c r="S195" s="307">
        <f t="shared" ca="1" si="42"/>
        <v>1683</v>
      </c>
    </row>
    <row r="196" spans="1:19">
      <c r="A196" s="3164" t="str">
        <f>'4号楼'!B53</f>
        <v>4号楼3201</v>
      </c>
      <c r="B196" s="3164">
        <f>'4号楼'!C53</f>
        <v>812.84</v>
      </c>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t="s">
        <v>4414</v>
      </c>
      <c r="Q196" s="21">
        <f t="shared" si="40"/>
        <v>1.1000000000000001</v>
      </c>
      <c r="R196" s="21">
        <f t="shared" ca="1" si="41"/>
        <v>20925</v>
      </c>
      <c r="S196" s="307">
        <f t="shared" ca="1" si="42"/>
        <v>1701</v>
      </c>
    </row>
    <row r="197" spans="1:19">
      <c r="A197" s="3164" t="str">
        <f>'4号楼'!B54</f>
        <v>4号楼3202</v>
      </c>
      <c r="B197" s="3164">
        <f>'4号楼'!C54</f>
        <v>804.26</v>
      </c>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t="s">
        <v>4414</v>
      </c>
      <c r="Q197" s="21">
        <f t="shared" si="40"/>
        <v>1.1000000000000001</v>
      </c>
      <c r="R197" s="21">
        <f t="shared" ca="1" si="41"/>
        <v>20925</v>
      </c>
      <c r="S197" s="307">
        <f t="shared" ca="1" si="42"/>
        <v>1683</v>
      </c>
    </row>
    <row r="198" spans="1:19">
      <c r="A198" s="3164" t="str">
        <f>'4号楼'!B55</f>
        <v>4号楼3301</v>
      </c>
      <c r="B198" s="3164">
        <f>'4号楼'!C55</f>
        <v>812.84</v>
      </c>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t="s">
        <v>4414</v>
      </c>
      <c r="Q198" s="21">
        <f t="shared" si="40"/>
        <v>1.1000000000000001</v>
      </c>
      <c r="R198" s="21">
        <f t="shared" ca="1" si="41"/>
        <v>20925</v>
      </c>
      <c r="S198" s="307">
        <f t="shared" ca="1" si="42"/>
        <v>1701</v>
      </c>
    </row>
    <row r="199" spans="1:19">
      <c r="A199" s="3164" t="str">
        <f>'4号楼'!B56</f>
        <v>4号楼3302</v>
      </c>
      <c r="B199" s="3164">
        <f>'4号楼'!C56</f>
        <v>804.26</v>
      </c>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t="s">
        <v>4414</v>
      </c>
      <c r="Q199" s="21">
        <f t="shared" si="40"/>
        <v>1.1000000000000001</v>
      </c>
      <c r="R199" s="21">
        <f t="shared" ca="1" si="41"/>
        <v>20925</v>
      </c>
      <c r="S199" s="307">
        <f t="shared" ca="1" si="42"/>
        <v>1683</v>
      </c>
    </row>
    <row r="200" spans="1:19">
      <c r="A200" s="63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0.1</v>
      </c>
      <c r="R200" s="21">
        <f t="shared" si="41"/>
        <v>0</v>
      </c>
      <c r="S200" s="307">
        <f t="shared" si="42"/>
        <v>0</v>
      </c>
    </row>
    <row r="201" spans="1:19">
      <c r="A201" s="63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0.1</v>
      </c>
      <c r="R201" s="21">
        <f t="shared" si="41"/>
        <v>0</v>
      </c>
      <c r="S201" s="307">
        <f t="shared" si="42"/>
        <v>0</v>
      </c>
    </row>
    <row r="202" spans="1:19">
      <c r="A202" s="63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26" priority="1" operator="notEqual">
      <formula>1</formula>
    </cfRule>
  </conditionalFormatting>
  <dataValidations disablePrompts="1"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J512"/>
  <sheetViews>
    <sheetView view="pageBreakPreview" zoomScale="85" zoomScaleNormal="100" zoomScaleSheetLayoutView="85" zoomScalePageLayoutView="80" workbookViewId="0">
      <selection activeCell="J38" sqref="J38"/>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1259</v>
      </c>
      <c r="B1" s="644"/>
      <c r="C1" s="1613" t="s">
        <v>4192</v>
      </c>
      <c r="D1" s="644"/>
      <c r="E1" s="644"/>
      <c r="F1" s="1614" t="s">
        <v>1260</v>
      </c>
      <c r="G1" s="1446" t="s">
        <v>4426</v>
      </c>
      <c r="H1" s="1614" t="str">
        <f>IF(G1="现房","——","估价对象范围")</f>
        <v>——</v>
      </c>
      <c r="I1" s="1615" t="s">
        <v>4427</v>
      </c>
    </row>
    <row r="2" spans="1:12" ht="21.75" customHeight="1" thickBot="1">
      <c r="A2" s="3325" t="str">
        <f>项目基本情况!S2</f>
        <v>北京市房地产</v>
      </c>
      <c r="B2" s="3326"/>
      <c r="C2" s="3326"/>
      <c r="D2" s="3326"/>
      <c r="E2" s="3326"/>
      <c r="F2" s="3326"/>
      <c r="G2" s="3326"/>
      <c r="H2" s="3326"/>
      <c r="I2" s="3327"/>
    </row>
    <row r="3" spans="1:12" ht="12.75">
      <c r="A3" s="3329" t="s">
        <v>1261</v>
      </c>
      <c r="B3" s="3330"/>
      <c r="C3" s="3330"/>
      <c r="D3" s="3330"/>
      <c r="E3" s="3330"/>
      <c r="F3" s="3330"/>
      <c r="G3" s="3330"/>
      <c r="H3" s="3330"/>
      <c r="I3" s="3330"/>
    </row>
    <row r="4" spans="1:12" ht="14.25">
      <c r="A4" s="1617" t="s">
        <v>1262</v>
      </c>
      <c r="B4" s="1618" t="s">
        <v>1263</v>
      </c>
      <c r="C4" s="1619" t="s">
        <v>4195</v>
      </c>
      <c r="D4" s="1619" t="s">
        <v>4189</v>
      </c>
      <c r="E4" s="3331" t="s">
        <v>1264</v>
      </c>
      <c r="F4" s="3332"/>
      <c r="G4" s="3332"/>
      <c r="H4" s="3332"/>
      <c r="I4" s="3333"/>
      <c r="K4" s="137" t="str">
        <f>IF(ISNUMBER(FIND("比较法",办公结果表!C4)),"比较法",IF(ISNUMBER(FIND("成本法",办公结果表!C4)),"成本法",IF(ISNUMBER(FIND("假设开发法",办公结果表!C4)),"假设开发法",IF(ISNUMBER(FIND("收益法",办公结果表!C4)),"收益法","基准地价系数修正法"))))</f>
        <v>比较法</v>
      </c>
      <c r="L4" s="137"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305" t="s">
        <v>1265</v>
      </c>
      <c r="B5" s="3292">
        <v>25</v>
      </c>
      <c r="C5" s="3308"/>
      <c r="D5" s="3328"/>
      <c r="E5" s="122" t="s">
        <v>1266</v>
      </c>
      <c r="F5" s="1620"/>
      <c r="G5" s="1620"/>
      <c r="H5" s="1620"/>
      <c r="I5" s="1274"/>
    </row>
    <row r="6" spans="1:12" ht="12.75">
      <c r="A6" s="3305"/>
      <c r="B6" s="3292"/>
      <c r="C6" s="3309"/>
      <c r="D6" s="3328"/>
      <c r="E6" s="122" t="s">
        <v>1267</v>
      </c>
      <c r="F6" s="1620"/>
      <c r="G6" s="1620"/>
      <c r="H6" s="1620"/>
      <c r="I6" s="1274"/>
    </row>
    <row r="7" spans="1:12" ht="12.75">
      <c r="A7" s="3305"/>
      <c r="B7" s="3292"/>
      <c r="C7" s="3310"/>
      <c r="D7" s="3328"/>
      <c r="E7" s="122" t="s">
        <v>1268</v>
      </c>
      <c r="F7" s="1620"/>
      <c r="G7" s="1620"/>
      <c r="H7" s="1620"/>
      <c r="I7" s="1274"/>
    </row>
    <row r="8" spans="1:12" ht="12.75">
      <c r="A8" s="3305" t="s">
        <v>1269</v>
      </c>
      <c r="B8" s="3292">
        <v>15</v>
      </c>
      <c r="C8" s="3308"/>
      <c r="D8" s="3328"/>
      <c r="E8" s="122" t="s">
        <v>1270</v>
      </c>
      <c r="F8" s="1620"/>
      <c r="G8" s="1620"/>
      <c r="H8" s="1620"/>
      <c r="I8" s="1274"/>
    </row>
    <row r="9" spans="1:12" ht="12.75">
      <c r="A9" s="3305"/>
      <c r="B9" s="3292"/>
      <c r="C9" s="3310"/>
      <c r="D9" s="3328"/>
      <c r="E9" s="122" t="s">
        <v>1271</v>
      </c>
      <c r="F9" s="1620"/>
      <c r="G9" s="1620"/>
      <c r="H9" s="1620"/>
      <c r="I9" s="1274"/>
    </row>
    <row r="10" spans="1:12" ht="12.75">
      <c r="A10" s="3305" t="s">
        <v>1272</v>
      </c>
      <c r="B10" s="3292">
        <v>15</v>
      </c>
      <c r="C10" s="3308"/>
      <c r="D10" s="3328"/>
      <c r="E10" s="122" t="s">
        <v>1273</v>
      </c>
      <c r="F10" s="1620"/>
      <c r="G10" s="1620"/>
      <c r="H10" s="1620"/>
      <c r="I10" s="1274"/>
    </row>
    <row r="11" spans="1:12" ht="12.75">
      <c r="A11" s="3305"/>
      <c r="B11" s="3292"/>
      <c r="C11" s="3310"/>
      <c r="D11" s="3328"/>
      <c r="E11" s="122" t="s">
        <v>1274</v>
      </c>
      <c r="F11" s="1620"/>
      <c r="G11" s="1620"/>
      <c r="H11" s="1620"/>
      <c r="I11" s="1274"/>
    </row>
    <row r="12" spans="1:12" ht="12.75">
      <c r="A12" s="3305" t="s">
        <v>1275</v>
      </c>
      <c r="B12" s="3292">
        <v>15</v>
      </c>
      <c r="C12" s="3308"/>
      <c r="D12" s="3328"/>
      <c r="E12" s="122" t="s">
        <v>1276</v>
      </c>
      <c r="F12" s="1620"/>
      <c r="G12" s="1620"/>
      <c r="H12" s="1620"/>
      <c r="I12" s="1274"/>
    </row>
    <row r="13" spans="1:12" ht="12.75">
      <c r="A13" s="3305"/>
      <c r="B13" s="3292"/>
      <c r="C13" s="3310"/>
      <c r="D13" s="3328"/>
      <c r="E13" s="122" t="s">
        <v>1277</v>
      </c>
      <c r="F13" s="1620"/>
      <c r="G13" s="1620"/>
      <c r="H13" s="1620"/>
      <c r="I13" s="1274"/>
    </row>
    <row r="14" spans="1:12" ht="12.75">
      <c r="A14" s="3305" t="s">
        <v>1278</v>
      </c>
      <c r="B14" s="3292">
        <v>30</v>
      </c>
      <c r="C14" s="3308">
        <v>7</v>
      </c>
      <c r="D14" s="3328">
        <v>3</v>
      </c>
      <c r="E14" s="122" t="s">
        <v>1279</v>
      </c>
      <c r="F14" s="1620"/>
      <c r="G14" s="1620"/>
      <c r="H14" s="1620"/>
      <c r="I14" s="1274"/>
    </row>
    <row r="15" spans="1:12" ht="12.75">
      <c r="A15" s="3305"/>
      <c r="B15" s="3292"/>
      <c r="C15" s="3309"/>
      <c r="D15" s="3328"/>
      <c r="E15" s="122" t="s">
        <v>1280</v>
      </c>
      <c r="F15" s="1620"/>
      <c r="G15" s="1620"/>
      <c r="H15" s="1620"/>
      <c r="I15" s="1274"/>
    </row>
    <row r="16" spans="1:12" ht="12.75">
      <c r="A16" s="3305"/>
      <c r="B16" s="3292"/>
      <c r="C16" s="3310"/>
      <c r="D16" s="3328"/>
      <c r="E16" s="122" t="s">
        <v>1281</v>
      </c>
      <c r="F16" s="1620"/>
      <c r="G16" s="1620"/>
      <c r="H16" s="1620"/>
      <c r="I16" s="1274"/>
    </row>
    <row r="17" spans="1:36" ht="15">
      <c r="A17" s="1621" t="s">
        <v>1282</v>
      </c>
      <c r="B17" s="54"/>
      <c r="C17" s="123">
        <f>SUM(C5:C16)</f>
        <v>7</v>
      </c>
      <c r="D17" s="123">
        <f>SUM(D5:D16)</f>
        <v>3</v>
      </c>
      <c r="E17" s="120"/>
      <c r="F17" s="120"/>
      <c r="G17" s="120"/>
      <c r="H17" s="120"/>
      <c r="I17" s="120"/>
      <c r="K17" s="293"/>
      <c r="L17" s="293" t="s">
        <v>1283</v>
      </c>
      <c r="M17" s="293" t="s">
        <v>1284</v>
      </c>
    </row>
    <row r="18" spans="1:36" ht="31.9" customHeight="1" thickBot="1">
      <c r="A18" s="1622" t="s">
        <v>1285</v>
      </c>
      <c r="B18" s="1535"/>
      <c r="C18" s="124">
        <f>ROUND(C17/SUM(C17:D17),2)</f>
        <v>0.7</v>
      </c>
      <c r="D18" s="124">
        <f>1-C18</f>
        <v>0.30000000000000004</v>
      </c>
      <c r="E18" s="3315" t="s">
        <v>2127</v>
      </c>
      <c r="F18" s="3316"/>
      <c r="G18" s="3316"/>
      <c r="H18" s="3316"/>
      <c r="I18" s="3316"/>
      <c r="K18" s="293" t="s">
        <v>1286</v>
      </c>
      <c r="L18" s="293">
        <f>IF(C1="",'数据-汇总表'!E3,SUMIF(项目类型,C1,'数据-汇总表'!E17:E26)+SUMIF(项目类型,C1,'数据-汇总表'!I17:I26))</f>
        <v>754.84</v>
      </c>
      <c r="M18" s="293">
        <f>IF(C1="",'数据-汇总表'!E3,SUMIF(项目类型,C1,'数据-汇总表'!E17:E26))</f>
        <v>754.84</v>
      </c>
    </row>
    <row r="19" spans="1:36" ht="15">
      <c r="A19" s="1623" t="s">
        <v>1287</v>
      </c>
      <c r="B19" s="1624" t="s">
        <v>1288</v>
      </c>
      <c r="C19" s="125">
        <f ca="1">SUMIF(INDIRECT("'"&amp;C4&amp;"'"&amp;"!A:A"),办公结果表!B19,INDIRECT("'"&amp;C4&amp;"'"&amp;"!B:B"))</f>
        <v>1686</v>
      </c>
      <c r="D19" s="126">
        <f ca="1">SUMIF(INDIRECT("'"&amp;D4&amp;"'"&amp;"!A:A"),办公结果表!B19,INDIRECT("'"&amp;D4&amp;"'"&amp;"!B:B"))</f>
        <v>852</v>
      </c>
      <c r="E19" s="1623" t="s">
        <v>1289</v>
      </c>
      <c r="F19" s="1624" t="s">
        <v>1288</v>
      </c>
      <c r="G19" s="127">
        <f ca="1">ROUND(C19*$C$18+D19*$D$18,0)</f>
        <v>1436</v>
      </c>
      <c r="H19" s="1625" t="s">
        <v>1290</v>
      </c>
      <c r="I19" s="120"/>
      <c r="K19" s="293" t="s">
        <v>1291</v>
      </c>
      <c r="L19" s="293">
        <f>IF(C1="",'数据-汇总表'!D3,SUMIF(项目类型,C1,'数据-汇总表'!D17:D26)+SUMIF(项目类型,C1,'数据-汇总表'!H17:H27))</f>
        <v>93.1</v>
      </c>
      <c r="M19" s="293">
        <f>IF(C1="",'数据-汇总表'!D3,SUMIF(项目类型,C1,'数据-汇总表'!D17:D26))</f>
        <v>93.1</v>
      </c>
    </row>
    <row r="20" spans="1:36" ht="15">
      <c r="A20" s="1626"/>
      <c r="B20" s="43" t="s">
        <v>1292</v>
      </c>
      <c r="C20" s="128">
        <f ca="1">SUMIF(INDIRECT("'"&amp;C4&amp;"'"&amp;"!A:A"),办公结果表!B20,INDIRECT("'"&amp;C4&amp;"'"&amp;"!B:B"))</f>
        <v>22339</v>
      </c>
      <c r="D20" s="129">
        <f ca="1">SUMIF(INDIRECT("'"&amp;D4&amp;"'"&amp;"!A:A"),办公结果表!B20,INDIRECT("'"&amp;D4&amp;"'"&amp;"!B:B"))</f>
        <v>11287</v>
      </c>
      <c r="E20" s="1626"/>
      <c r="F20" s="43" t="s">
        <v>1292</v>
      </c>
      <c r="G20" s="130">
        <f ca="1">ROUND(C20*$C$18+D20*$D$18,0)</f>
        <v>19023</v>
      </c>
      <c r="H20" s="756" t="s">
        <v>1293</v>
      </c>
      <c r="I20" s="120"/>
    </row>
    <row r="21" spans="1:36" ht="15" customHeight="1" thickBot="1">
      <c r="A21" s="448"/>
      <c r="B21" s="93" t="s">
        <v>1294</v>
      </c>
      <c r="C21" s="676">
        <f ca="1">ROUND(C19*10000/L19,0)</f>
        <v>181096</v>
      </c>
      <c r="D21" s="677">
        <f ca="1">ROUND(D19*10000/L19,0)</f>
        <v>91515</v>
      </c>
      <c r="E21" s="448"/>
      <c r="F21" s="93" t="s">
        <v>1294</v>
      </c>
      <c r="G21" s="131">
        <f ca="1">ROUND(G19*10000/L19,0)</f>
        <v>154243</v>
      </c>
      <c r="H21" s="1627" t="s">
        <v>1293</v>
      </c>
      <c r="I21" s="120"/>
    </row>
    <row r="22" spans="1:36" ht="15" thickBot="1">
      <c r="A22" s="1557" t="s">
        <v>1295</v>
      </c>
      <c r="B22" s="1628"/>
      <c r="C22" s="1629"/>
      <c r="D22" s="678">
        <f ca="1">IF(C19&lt;D19,D19/C19-1,C19/D19-1)</f>
        <v>0.97887323943661975</v>
      </c>
      <c r="E22" s="120"/>
      <c r="F22" s="120"/>
      <c r="G22" s="120"/>
      <c r="H22" s="120"/>
      <c r="I22" s="120"/>
    </row>
    <row r="23" spans="1:36" ht="13.5" thickBot="1">
      <c r="A23" s="644"/>
      <c r="B23" s="644"/>
      <c r="C23" s="644"/>
      <c r="D23" s="644"/>
      <c r="E23" s="120"/>
      <c r="F23" s="120"/>
      <c r="G23" s="120"/>
      <c r="H23" s="120"/>
      <c r="I23" s="120"/>
    </row>
    <row r="24" spans="1:36" ht="14.25">
      <c r="A24" s="3299" t="s">
        <v>1296</v>
      </c>
      <c r="B24" s="1624" t="s">
        <v>1288</v>
      </c>
      <c r="C24" s="127">
        <f>IF(B30=0,0,D30)</f>
        <v>0</v>
      </c>
      <c r="D24" s="1630"/>
      <c r="E24" s="120"/>
      <c r="F24" s="120"/>
      <c r="G24" s="120"/>
      <c r="H24" s="120"/>
      <c r="I24" s="120"/>
    </row>
    <row r="25" spans="1:36" ht="14.25">
      <c r="A25" s="3300"/>
      <c r="B25" s="43" t="s">
        <v>1292</v>
      </c>
      <c r="C25" s="132">
        <f>IF(B30=0,0,C30)</f>
        <v>0</v>
      </c>
      <c r="D25" s="1631"/>
      <c r="E25" s="120"/>
      <c r="F25" s="120"/>
      <c r="G25" s="120"/>
      <c r="H25" s="120"/>
      <c r="I25" s="120"/>
    </row>
    <row r="26" spans="1:36" ht="13.5" customHeight="1">
      <c r="A26" s="1632" t="s">
        <v>1297</v>
      </c>
      <c r="B26" s="133" t="s">
        <v>1298</v>
      </c>
      <c r="C26" s="133" t="s">
        <v>1299</v>
      </c>
      <c r="D26" s="134" t="s">
        <v>1300</v>
      </c>
      <c r="E26" s="120"/>
      <c r="F26" s="120"/>
      <c r="G26" s="120"/>
      <c r="H26" s="120"/>
      <c r="I26" s="120"/>
    </row>
    <row r="27" spans="1:36" ht="14.25">
      <c r="A27" s="1632"/>
      <c r="B27" s="133">
        <v>0</v>
      </c>
      <c r="C27" s="133">
        <v>0</v>
      </c>
      <c r="D27" s="134">
        <f>ROUND(C27*B27/10000,0)</f>
        <v>0</v>
      </c>
      <c r="E27" s="120"/>
      <c r="F27" s="120"/>
      <c r="G27" s="120"/>
      <c r="H27" s="120"/>
      <c r="I27" s="120"/>
    </row>
    <row r="28" spans="1:36" ht="14.25">
      <c r="A28" s="1632"/>
      <c r="B28" s="133"/>
      <c r="C28" s="133"/>
      <c r="D28" s="134"/>
      <c r="E28" s="120"/>
      <c r="F28" s="120"/>
      <c r="G28" s="120"/>
      <c r="H28" s="120"/>
      <c r="I28" s="120"/>
    </row>
    <row r="29" spans="1:36" ht="14.25">
      <c r="A29" s="1632"/>
      <c r="B29" s="133"/>
      <c r="C29" s="133"/>
      <c r="D29" s="134"/>
      <c r="E29" s="120"/>
      <c r="F29" s="120"/>
      <c r="G29" s="120"/>
      <c r="H29" s="120"/>
      <c r="I29" s="120"/>
    </row>
    <row r="30" spans="1:36" ht="15" thickBot="1">
      <c r="A30" s="133" t="s">
        <v>1301</v>
      </c>
      <c r="B30" s="133"/>
      <c r="C30" s="133"/>
      <c r="D30" s="133"/>
      <c r="E30" s="2120" t="s">
        <v>2128</v>
      </c>
      <c r="F30" s="120"/>
      <c r="G30" s="120"/>
      <c r="H30" s="120"/>
      <c r="I30" s="120"/>
    </row>
    <row r="31" spans="1:36" s="2126" customFormat="1" ht="26.45" customHeight="1" thickTop="1" thickBot="1">
      <c r="A31" s="2121"/>
      <c r="B31" s="2122"/>
      <c r="C31" s="2122"/>
      <c r="D31" s="2122"/>
      <c r="E31" s="2122"/>
      <c r="F31" s="2122"/>
      <c r="G31" s="2122"/>
      <c r="H31" s="2122"/>
      <c r="I31" s="2123" t="s">
        <v>2129</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1302</v>
      </c>
      <c r="B32" s="1528"/>
      <c r="C32" s="135">
        <f ca="1">IF(D32="总价",G19-C24,G20-C25)</f>
        <v>19023</v>
      </c>
      <c r="D32" s="1634" t="s">
        <v>4849</v>
      </c>
      <c r="E32" s="120"/>
      <c r="F32" s="120"/>
      <c r="G32" s="120"/>
      <c r="H32" s="120"/>
      <c r="I32" s="120"/>
    </row>
    <row r="33" spans="1:15" ht="15">
      <c r="A33" s="736" t="s">
        <v>1303</v>
      </c>
      <c r="B33" s="122"/>
      <c r="C33" s="1635"/>
      <c r="D33" s="1636"/>
      <c r="E33" s="1637" t="s">
        <v>1304</v>
      </c>
      <c r="F33" s="1638" t="str">
        <f>IF(D32="楼面单价","取值（单价）","取值（总价）")</f>
        <v>取值（单价）</v>
      </c>
      <c r="G33" s="120"/>
      <c r="H33" s="120"/>
      <c r="I33" s="120"/>
    </row>
    <row r="34" spans="1:15" ht="15">
      <c r="A34" s="1639"/>
      <c r="B34" s="1640" t="s">
        <v>1305</v>
      </c>
      <c r="C34" s="139" t="e">
        <f ca="1">IF(C33="自定义",F34,C32-C35)</f>
        <v>#REF!</v>
      </c>
      <c r="D34" s="804" t="e">
        <f ca="1">IF(C33="自定义",ROUND(C34/C32,3),IF(C33="收益比率",SUMIF(INDIRECT("'"&amp;D33&amp;"'"&amp;"!b:b"),"土地收益比率",INDIRECT("'"&amp;D33&amp;"'"&amp;"!c:c")),SUMIF(INDIRECT("'"&amp;D33&amp;"'"&amp;"!b:b"),"土地成本比率",INDIRECT("'"&amp;D33&amp;"'"&amp;"!c:c"))))</f>
        <v>#REF!</v>
      </c>
      <c r="E34" s="1641" t="s">
        <v>1306</v>
      </c>
      <c r="F34" s="1236"/>
      <c r="G34" s="120"/>
      <c r="H34" s="120"/>
      <c r="I34" s="120"/>
    </row>
    <row r="35" spans="1:15" ht="15.75" thickBot="1">
      <c r="A35" s="1642"/>
      <c r="B35" s="1643" t="s">
        <v>1307</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4" t="s">
        <v>1308</v>
      </c>
      <c r="F35" s="145"/>
      <c r="G35" s="120"/>
      <c r="H35" s="120"/>
      <c r="I35" s="120"/>
    </row>
    <row r="36" spans="1:15" ht="15.75" thickBot="1">
      <c r="A36" s="3319" t="s">
        <v>1309</v>
      </c>
      <c r="B36" s="1645" t="s">
        <v>1310</v>
      </c>
      <c r="C36" s="136"/>
      <c r="D36" s="1646"/>
      <c r="E36" s="1560"/>
      <c r="F36" s="1647"/>
      <c r="G36" s="120"/>
      <c r="H36" s="120"/>
      <c r="I36" s="120"/>
    </row>
    <row r="37" spans="1:15" ht="15.75" thickBot="1">
      <c r="A37" s="3320"/>
      <c r="B37" s="1548" t="s">
        <v>1311</v>
      </c>
      <c r="C37" s="138"/>
      <c r="D37" s="1066"/>
      <c r="E37" s="1066"/>
      <c r="F37" s="1647"/>
      <c r="G37" s="120"/>
      <c r="H37" s="120"/>
      <c r="I37" s="120"/>
    </row>
    <row r="38" spans="1:15" ht="15.75" thickBot="1">
      <c r="A38" s="3321"/>
      <c r="B38" s="1648" t="s">
        <v>1312</v>
      </c>
      <c r="C38" s="639"/>
      <c r="D38" s="1649" t="s">
        <v>1313</v>
      </c>
      <c r="E38" s="1066"/>
      <c r="F38" s="1647"/>
      <c r="G38" s="120"/>
      <c r="H38" s="120"/>
      <c r="I38" s="120"/>
    </row>
    <row r="39" spans="1:15" ht="15">
      <c r="A39" s="1626" t="s">
        <v>1314</v>
      </c>
      <c r="B39" s="1650" t="s">
        <v>1298</v>
      </c>
      <c r="C39" s="1651" t="s">
        <v>1299</v>
      </c>
      <c r="D39" s="1651" t="s">
        <v>1317</v>
      </c>
      <c r="E39" s="1652" t="s">
        <v>1300</v>
      </c>
      <c r="F39" s="1647"/>
      <c r="G39" s="120"/>
      <c r="H39" s="120"/>
      <c r="I39" s="120"/>
    </row>
    <row r="40" spans="1:15" ht="14.25">
      <c r="A40" s="1653" t="s">
        <v>1319</v>
      </c>
      <c r="B40" s="140"/>
      <c r="C40" s="141"/>
      <c r="D40" s="141"/>
      <c r="E40" s="142"/>
      <c r="F40" s="1647"/>
      <c r="G40" s="120"/>
      <c r="H40" s="120"/>
      <c r="I40" s="120"/>
    </row>
    <row r="41" spans="1:15" ht="14.25">
      <c r="A41" s="1653" t="s">
        <v>1320</v>
      </c>
      <c r="B41" s="140"/>
      <c r="C41" s="141"/>
      <c r="D41" s="141"/>
      <c r="E41" s="142"/>
      <c r="F41" s="1647"/>
      <c r="G41" s="120"/>
      <c r="H41" s="120"/>
      <c r="I41" s="120"/>
    </row>
    <row r="42" spans="1:15" ht="15" thickBot="1">
      <c r="A42" s="1654"/>
      <c r="B42" s="143"/>
      <c r="C42" s="144"/>
      <c r="D42" s="144"/>
      <c r="E42" s="145"/>
      <c r="F42" s="1647"/>
      <c r="G42" s="120"/>
      <c r="H42" s="120"/>
      <c r="I42" s="120"/>
    </row>
    <row r="43" spans="1:15" ht="12.75">
      <c r="A43" s="1460"/>
      <c r="B43" s="1460"/>
      <c r="C43" s="1460"/>
      <c r="D43" s="1460"/>
      <c r="E43" s="1460"/>
      <c r="F43" s="1655"/>
      <c r="G43" s="1655"/>
      <c r="H43" s="1655"/>
      <c r="I43" s="1656"/>
    </row>
    <row r="44" spans="1:15" ht="18.75">
      <c r="A44" s="1457" t="s">
        <v>1321</v>
      </c>
      <c r="B44" s="1657"/>
      <c r="C44" s="1657"/>
      <c r="D44" s="1658"/>
      <c r="E44" s="1658"/>
      <c r="F44" s="1659"/>
      <c r="G44" s="1659"/>
      <c r="H44" s="1659"/>
      <c r="I44" s="1659"/>
      <c r="J44" s="1660" t="s">
        <v>1322</v>
      </c>
      <c r="K44" s="4"/>
      <c r="L44" s="4"/>
      <c r="M44" s="4"/>
      <c r="N44" s="4"/>
      <c r="O44" s="4"/>
    </row>
    <row r="45" spans="1:15" ht="14.25" customHeight="1" thickBot="1">
      <c r="A45" s="3296" t="s">
        <v>1323</v>
      </c>
      <c r="B45" s="3297"/>
      <c r="C45" s="3298"/>
      <c r="D45" s="146">
        <f ca="1">ROUND(H101*F45,0)</f>
        <v>1436</v>
      </c>
      <c r="E45" s="147" t="s">
        <v>1324</v>
      </c>
      <c r="F45" s="148">
        <v>1</v>
      </c>
      <c r="G45" s="149" t="s">
        <v>1325</v>
      </c>
      <c r="H45" s="120"/>
      <c r="I45" s="120"/>
      <c r="J45" s="3374" t="s">
        <v>1326</v>
      </c>
      <c r="K45" s="3374"/>
      <c r="L45" s="3374"/>
      <c r="M45" s="3374"/>
      <c r="N45" s="3374"/>
      <c r="O45" s="3374"/>
    </row>
    <row r="46" spans="1:15" ht="14.25" customHeight="1">
      <c r="A46" s="3293" t="s">
        <v>1327</v>
      </c>
      <c r="B46" s="3294"/>
      <c r="C46" s="3294"/>
      <c r="D46" s="3294"/>
      <c r="E46" s="3294"/>
      <c r="F46" s="3294"/>
      <c r="G46" s="3295"/>
      <c r="H46" s="1661"/>
      <c r="I46" s="150"/>
      <c r="J46" s="2303">
        <v>1</v>
      </c>
      <c r="K46" s="3355" t="s">
        <v>1328</v>
      </c>
      <c r="L46" s="3355"/>
      <c r="M46" s="3375"/>
      <c r="N46" s="3375"/>
      <c r="O46" s="3375"/>
    </row>
    <row r="47" spans="1:15" ht="12" customHeight="1">
      <c r="A47" s="151" t="s">
        <v>1329</v>
      </c>
      <c r="B47" s="152"/>
      <c r="C47" s="153"/>
      <c r="D47" s="1019" t="s">
        <v>1330</v>
      </c>
      <c r="E47" s="293" t="s">
        <v>1331</v>
      </c>
      <c r="F47" s="154" t="s">
        <v>1332</v>
      </c>
      <c r="G47" s="2326" t="s">
        <v>1333</v>
      </c>
      <c r="H47" s="2327"/>
      <c r="I47" s="150"/>
      <c r="J47" s="2303">
        <v>2</v>
      </c>
      <c r="K47" s="3355" t="s">
        <v>1334</v>
      </c>
      <c r="L47" s="3355"/>
      <c r="M47" s="3376">
        <f>'数据-取费表'!B2</f>
        <v>45492</v>
      </c>
      <c r="N47" s="3376"/>
      <c r="O47" s="3376"/>
    </row>
    <row r="48" spans="1:15" ht="25.5">
      <c r="A48" s="3324" t="s">
        <v>1335</v>
      </c>
      <c r="B48" s="3307"/>
      <c r="C48" s="3307"/>
      <c r="D48" s="12" t="b">
        <f>IF(H48="情况1",0,IF(H48="情况2",D52,IF(H48="情况3",D53,IF(H48="情况4",D54))))</f>
        <v>0</v>
      </c>
      <c r="E48" s="1249" t="str">
        <f>IF(H48="情况4","(销售额-原购置价)×税（费）率","销售额×税（费）率")</f>
        <v>销售额×税（费）率</v>
      </c>
      <c r="F48" s="2328">
        <f>IF(H48="情况1","免征",'数据-取费表'!B41)</f>
        <v>5.5000000000000007E-2</v>
      </c>
      <c r="G48" s="2329" t="s">
        <v>1336</v>
      </c>
      <c r="H48" s="2330"/>
      <c r="I48" s="1661"/>
      <c r="J48" s="2303">
        <v>3</v>
      </c>
      <c r="K48" s="3355" t="s">
        <v>1337</v>
      </c>
      <c r="L48" s="3355"/>
      <c r="M48" s="3377">
        <f ca="1">H101</f>
        <v>1436</v>
      </c>
      <c r="N48" s="3377"/>
      <c r="O48" s="3377"/>
    </row>
    <row r="49" spans="1:35" ht="25.5" customHeight="1">
      <c r="A49" s="2145" t="s">
        <v>1338</v>
      </c>
      <c r="B49" s="3291" t="s">
        <v>1339</v>
      </c>
      <c r="C49" s="3291"/>
      <c r="D49" s="1471">
        <v>0</v>
      </c>
      <c r="E49" s="315" t="s">
        <v>1340</v>
      </c>
      <c r="F49" s="2226" t="s">
        <v>28</v>
      </c>
      <c r="G49" s="3361"/>
      <c r="H49" s="2127" t="s">
        <v>2130</v>
      </c>
      <c r="I49" s="2128"/>
      <c r="J49" s="2303">
        <v>4</v>
      </c>
      <c r="K49" s="3355" t="str">
        <f>IF(项目基本情况!E8="房地产抵押价值","房地产抵押价值","抵押担保权已注销时的房地产抵押价值")</f>
        <v>房地产抵押价值</v>
      </c>
      <c r="L49" s="3355"/>
      <c r="M49" s="3377">
        <f ca="1">IF(项目基本情况!E8="房地产抵押价值",H107,H109)</f>
        <v>1436</v>
      </c>
      <c r="N49" s="3377"/>
      <c r="O49" s="3377"/>
    </row>
    <row r="50" spans="1:35" ht="25.5" customHeight="1">
      <c r="A50" s="2331"/>
      <c r="B50" s="3291" t="s">
        <v>1341</v>
      </c>
      <c r="C50" s="3291"/>
      <c r="D50" s="2182"/>
      <c r="E50" s="322"/>
      <c r="F50" s="2226"/>
      <c r="G50" s="3362"/>
      <c r="H50" s="2129" t="s">
        <v>2131</v>
      </c>
      <c r="I50" s="2128"/>
      <c r="J50" s="3374" t="s">
        <v>1342</v>
      </c>
      <c r="K50" s="3374"/>
      <c r="L50" s="3374"/>
      <c r="M50" s="3374"/>
      <c r="N50" s="3374"/>
      <c r="O50" s="3374"/>
    </row>
    <row r="51" spans="1:35" ht="20.45" customHeight="1">
      <c r="A51" s="2332"/>
      <c r="B51" s="3291" t="s">
        <v>1343</v>
      </c>
      <c r="C51" s="3291"/>
      <c r="D51" s="1019"/>
      <c r="E51" s="318"/>
      <c r="F51" s="2226"/>
      <c r="G51" s="3363"/>
      <c r="H51" s="2129" t="s">
        <v>2132</v>
      </c>
      <c r="I51" s="2128"/>
      <c r="J51" s="2304" t="s">
        <v>1344</v>
      </c>
      <c r="K51" s="3355" t="s">
        <v>1345</v>
      </c>
      <c r="L51" s="3355"/>
      <c r="M51" s="2304" t="s">
        <v>1346</v>
      </c>
      <c r="N51" s="2304" t="s">
        <v>1347</v>
      </c>
      <c r="O51" s="2304" t="s">
        <v>1348</v>
      </c>
    </row>
    <row r="52" spans="1:35" ht="24" customHeight="1">
      <c r="A52" s="2146" t="s">
        <v>1349</v>
      </c>
      <c r="B52" s="3291" t="s">
        <v>1350</v>
      </c>
      <c r="C52" s="3291"/>
      <c r="D52" s="1019">
        <f ca="1">ROUND(D45*'数据-取费表'!B41/(1+'数据-取费表'!C42),0)</f>
        <v>75</v>
      </c>
      <c r="E52" s="1249" t="s">
        <v>1351</v>
      </c>
      <c r="F52" s="2333">
        <f>'数据-取费表'!B41</f>
        <v>5.5000000000000007E-2</v>
      </c>
      <c r="G52" s="2334"/>
      <c r="H52" s="2324"/>
      <c r="I52" s="1662"/>
      <c r="J52" s="2303">
        <v>1</v>
      </c>
      <c r="K52" s="3356" t="s">
        <v>1352</v>
      </c>
      <c r="L52" s="3356"/>
      <c r="M52" s="2305" t="b">
        <f>D48</f>
        <v>0</v>
      </c>
      <c r="N52" s="2303" t="str">
        <f>E48</f>
        <v>销售额×税（费）率</v>
      </c>
      <c r="O52" s="2306">
        <f>F48</f>
        <v>5.5000000000000007E-2</v>
      </c>
    </row>
    <row r="53" spans="1:35" ht="12" customHeight="1">
      <c r="A53" s="2146" t="s">
        <v>1353</v>
      </c>
      <c r="B53" s="3317" t="s">
        <v>2278</v>
      </c>
      <c r="C53" s="3318"/>
      <c r="D53" s="1019">
        <f ca="1">ROUND(D45*'数据-取费表'!B41/(1+'数据-取费表'!C42),0)</f>
        <v>75</v>
      </c>
      <c r="E53" s="1249" t="s">
        <v>1351</v>
      </c>
      <c r="F53" s="2333">
        <f>'数据-取费表'!B41</f>
        <v>5.5000000000000007E-2</v>
      </c>
      <c r="G53" s="2334"/>
      <c r="H53" s="2324"/>
      <c r="I53" s="1662"/>
      <c r="J53" s="2303">
        <v>2</v>
      </c>
      <c r="K53" s="3356" t="s">
        <v>1354</v>
      </c>
      <c r="L53" s="3356"/>
      <c r="M53" s="2305">
        <f t="shared" ref="M53:O54" ca="1" si="0">D55</f>
        <v>1</v>
      </c>
      <c r="N53" s="2303" t="str">
        <f t="shared" si="0"/>
        <v>销售额×税（费）率</v>
      </c>
      <c r="O53" s="2306" t="str">
        <f t="shared" si="0"/>
        <v>免征</v>
      </c>
    </row>
    <row r="54" spans="1:35" ht="12" customHeight="1">
      <c r="A54" s="2146" t="s">
        <v>1355</v>
      </c>
      <c r="B54" s="3317" t="s">
        <v>2279</v>
      </c>
      <c r="C54" s="3318"/>
      <c r="D54" s="1019">
        <f ca="1">C68</f>
        <v>75</v>
      </c>
      <c r="E54" s="318" t="s">
        <v>1356</v>
      </c>
      <c r="F54" s="2333">
        <f>'数据-取费表'!B41</f>
        <v>5.5000000000000007E-2</v>
      </c>
      <c r="G54" s="2334"/>
      <c r="H54" s="2335"/>
      <c r="I54" s="1662"/>
      <c r="J54" s="2303">
        <v>3</v>
      </c>
      <c r="K54" s="3356" t="s">
        <v>1357</v>
      </c>
      <c r="L54" s="3356"/>
      <c r="M54" s="2305">
        <f t="shared" ca="1" si="0"/>
        <v>814</v>
      </c>
      <c r="N54" s="2303" t="str">
        <f t="shared" si="0"/>
        <v>增值额×税（费）率</v>
      </c>
      <c r="O54" s="2307" t="str">
        <f t="shared" si="0"/>
        <v>免征</v>
      </c>
    </row>
    <row r="55" spans="1:35" ht="24" customHeight="1">
      <c r="A55" s="3306" t="s">
        <v>1358</v>
      </c>
      <c r="B55" s="3307"/>
      <c r="C55" s="3307"/>
      <c r="D55" s="12">
        <f ca="1">IF(H55="个人住宅",0,ROUND(D45*I55,0))</f>
        <v>1</v>
      </c>
      <c r="E55" s="1249" t="s">
        <v>1359</v>
      </c>
      <c r="F55" s="2333" t="str">
        <f>IF(H55="正常",I55,"免征")</f>
        <v>免征</v>
      </c>
      <c r="G55" s="2334"/>
      <c r="H55" s="2330"/>
      <c r="I55" s="156">
        <f>'数据-取费表'!B49</f>
        <v>5.0000000000000001E-4</v>
      </c>
      <c r="J55" s="2303">
        <f>IF(H59="非个人房产","",4)</f>
        <v>4</v>
      </c>
      <c r="K55" s="3356" t="str">
        <f>IF(H59="非个人房产","——","个人所得税")</f>
        <v>个人所得税</v>
      </c>
      <c r="L55" s="3356"/>
      <c r="M55" s="2308">
        <f ca="1">D59</f>
        <v>14</v>
      </c>
      <c r="N55" s="1876" t="str">
        <f>E59</f>
        <v>差额计税</v>
      </c>
      <c r="O55" s="2309">
        <f>F59</f>
        <v>0.01</v>
      </c>
    </row>
    <row r="56" spans="1:35" ht="24.75">
      <c r="A56" s="3306" t="s">
        <v>1360</v>
      </c>
      <c r="B56" s="3307"/>
      <c r="C56" s="3307"/>
      <c r="D56" s="12">
        <f ca="1">IF(H56="个人住宅",D57,D58)</f>
        <v>814</v>
      </c>
      <c r="E56" s="1249" t="s">
        <v>1361</v>
      </c>
      <c r="F56" s="2333" t="str">
        <f>IF(H56="正常",F58,"免征")</f>
        <v>免征</v>
      </c>
      <c r="G56" s="2336" t="s">
        <v>1362</v>
      </c>
      <c r="H56" s="2337"/>
      <c r="I56" s="1663"/>
      <c r="J56" s="2303" t="str">
        <f>IF(项目基本情况!K6="上海银行",IF(J55="",4,J55+1),"")</f>
        <v/>
      </c>
      <c r="K56" s="3379" t="str">
        <f>IF(项目基本情况!K6="上海银行","其他处置费用","")</f>
        <v/>
      </c>
      <c r="L56" s="3380"/>
      <c r="M56" s="2305" t="str">
        <f>IF(项目基本情况!K6="上海银行",M69,"")</f>
        <v/>
      </c>
      <c r="N56" s="3379" t="str">
        <f>IF(项目基本情况!K6="上海银行","包含处置中涉及的律师、诉讼、拍卖、评估等费用","")</f>
        <v/>
      </c>
      <c r="O56" s="3382"/>
    </row>
    <row r="57" spans="1:35" ht="12.75">
      <c r="A57" s="2146" t="s">
        <v>1338</v>
      </c>
      <c r="B57" s="3317" t="s">
        <v>1363</v>
      </c>
      <c r="C57" s="3318"/>
      <c r="D57" s="1471">
        <v>0</v>
      </c>
      <c r="E57" s="315" t="s">
        <v>1340</v>
      </c>
      <c r="F57" s="293"/>
      <c r="G57" s="2334"/>
      <c r="H57" s="2338"/>
      <c r="I57" s="1663"/>
      <c r="J57" s="3356">
        <f>IF(AND(J55="",J56=""),4,IF(项目基本情况!K6="上海银行",办公结果表!J56+1,办公结果表!J55+1))</f>
        <v>5</v>
      </c>
      <c r="K57" s="3356" t="s">
        <v>1364</v>
      </c>
      <c r="L57" s="2310" t="s">
        <v>1365</v>
      </c>
      <c r="M57" s="2311"/>
      <c r="N57" s="2312">
        <f ca="1">SUMIF(M52:M56,"&lt;9e307")</f>
        <v>829</v>
      </c>
      <c r="O57" s="2313"/>
      <c r="P57" s="2458">
        <f ca="1">N57/M49</f>
        <v>0.57729805013927582</v>
      </c>
    </row>
    <row r="58" spans="1:35" ht="24.75">
      <c r="A58" s="2146" t="s">
        <v>1349</v>
      </c>
      <c r="B58" s="3317" t="s">
        <v>1366</v>
      </c>
      <c r="C58" s="3291"/>
      <c r="D58" s="12">
        <f ca="1">IF(H58="转让取得",C81,C97)</f>
        <v>814</v>
      </c>
      <c r="E58" s="1249" t="s">
        <v>1361</v>
      </c>
      <c r="F58" s="293" t="s">
        <v>28</v>
      </c>
      <c r="G58" s="2334"/>
      <c r="H58" s="2337"/>
      <c r="I58" s="1663"/>
      <c r="J58" s="3356"/>
      <c r="K58" s="3356"/>
      <c r="L58" s="2310" t="s">
        <v>1367</v>
      </c>
      <c r="M58" s="2314"/>
      <c r="N58" s="2315" t="str">
        <f ca="1">NUMBERSTRING(INT(N57*10000),2)&amp;"元整"</f>
        <v>捌佰贰拾玖万元整</v>
      </c>
      <c r="O58" s="2316"/>
    </row>
    <row r="59" spans="1:35" ht="24.75" thickBot="1">
      <c r="A59" s="3359" t="s">
        <v>1368</v>
      </c>
      <c r="B59" s="3360"/>
      <c r="C59" s="3360"/>
      <c r="D59" s="2339">
        <f ca="1">IF(H59="非个人房产","——",IF(H59="个人住宅（满五唯一有凭证）",0,IF(H59="个人其他（无凭证）",ROUND(D45*F59,0),ROUND(C67*F59,0))))</f>
        <v>14</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1362</v>
      </c>
      <c r="H59" s="2131"/>
      <c r="I59" s="2130" t="s">
        <v>2133</v>
      </c>
      <c r="J59" s="3357">
        <f>J57+1</f>
        <v>6</v>
      </c>
      <c r="K59" s="3356" t="s">
        <v>1369</v>
      </c>
      <c r="L59" s="2303" t="s">
        <v>1365</v>
      </c>
      <c r="M59" s="2317"/>
      <c r="N59" s="2318">
        <f ca="1">M49-N57</f>
        <v>607</v>
      </c>
      <c r="O59" s="2319"/>
    </row>
    <row r="60" spans="1:35" ht="12" customHeight="1">
      <c r="A60" s="1664"/>
      <c r="B60" s="644"/>
      <c r="C60" s="644"/>
      <c r="D60" s="644"/>
      <c r="E60" s="1459"/>
      <c r="F60" s="1663"/>
      <c r="G60" s="1663"/>
      <c r="H60" s="150"/>
      <c r="I60" s="120"/>
      <c r="J60" s="3358"/>
      <c r="K60" s="3356"/>
      <c r="L60" s="2310" t="s">
        <v>1367</v>
      </c>
      <c r="M60" s="2314"/>
      <c r="N60" s="2315" t="str">
        <f ca="1">NUMBERSTRING(INT(N59*10000),2)&amp;"元整"</f>
        <v>陆佰零柒万元整</v>
      </c>
      <c r="O60" s="2316"/>
    </row>
    <row r="61" spans="1:35" ht="13.5" thickBot="1">
      <c r="A61" s="3304" t="s">
        <v>1370</v>
      </c>
      <c r="B61" s="3304"/>
      <c r="C61" s="3304"/>
      <c r="D61" s="3304"/>
      <c r="E61" s="3304"/>
      <c r="F61" s="1663"/>
      <c r="G61" s="1663"/>
      <c r="H61" s="150"/>
      <c r="I61" s="120"/>
      <c r="J61" s="2303">
        <f>J59+1</f>
        <v>7</v>
      </c>
      <c r="K61" s="3356" t="s">
        <v>1371</v>
      </c>
      <c r="L61" s="3356"/>
      <c r="M61" s="2320"/>
      <c r="N61" s="2321">
        <f ca="1">ROUND(N59*10000/'数据-汇总表'!E3,0)</f>
        <v>26</v>
      </c>
      <c r="O61" s="2322"/>
    </row>
    <row r="62" spans="1:35" ht="12.75">
      <c r="A62" s="3322" t="s">
        <v>1372</v>
      </c>
      <c r="B62" s="3323"/>
      <c r="C62" s="1858"/>
      <c r="D62" s="1858" t="s">
        <v>1373</v>
      </c>
      <c r="E62" s="157" t="s">
        <v>1374</v>
      </c>
      <c r="F62" s="1663"/>
      <c r="G62" s="1663"/>
      <c r="H62" s="150"/>
      <c r="I62" s="120"/>
    </row>
    <row r="63" spans="1:35" ht="12.75">
      <c r="A63" s="164" t="s">
        <v>330</v>
      </c>
      <c r="B63" s="158" t="s">
        <v>1375</v>
      </c>
      <c r="C63" s="2343">
        <f ca="1">ROUND((C64+C65)/(1+'数据-取费表'!C42),0)</f>
        <v>1368</v>
      </c>
      <c r="D63" s="158"/>
      <c r="E63" s="159"/>
      <c r="F63" s="1663"/>
      <c r="G63" s="1663"/>
      <c r="H63" s="150"/>
      <c r="I63" s="120"/>
      <c r="J63" s="3381" t="s">
        <v>1376</v>
      </c>
      <c r="K63" s="1238" t="s">
        <v>1377</v>
      </c>
      <c r="L63" s="1238">
        <f ca="1">IF(M49&gt;10000,M49*0.5%,IF(AND(M49&gt;1000,M49&lt;=10000),M49*1%,IF(AND(M49&gt;100,M49&lt;=1000),M49*3%,IF(AND(M49&gt;10,M49&lt;=100),M49*5%,M49*8%))))</f>
        <v>14.36</v>
      </c>
      <c r="M63" s="293">
        <f ca="1">ROUND(L63,1)</f>
        <v>14.4</v>
      </c>
      <c r="N63" s="2323"/>
      <c r="Z63" s="1616"/>
      <c r="AI63" s="1554"/>
    </row>
    <row r="64" spans="1:35" ht="14.25" customHeight="1">
      <c r="A64" s="160" t="s">
        <v>325</v>
      </c>
      <c r="B64" s="161" t="s">
        <v>1378</v>
      </c>
      <c r="C64" s="2344">
        <f ca="1">D45</f>
        <v>1436</v>
      </c>
      <c r="D64" s="161" t="s">
        <v>26</v>
      </c>
      <c r="E64" s="163"/>
      <c r="F64" s="1663"/>
      <c r="G64" s="1663"/>
      <c r="H64" s="150"/>
      <c r="I64" s="120"/>
      <c r="J64" s="3381"/>
      <c r="K64" s="1238" t="s">
        <v>1379</v>
      </c>
      <c r="L64" s="1238">
        <f ca="1">IF(M49&gt;2000,M49*0.5%,IF(AND(M49&gt;1000,M49&lt;=2000),M49*0.6%,IF(AND(M49&gt;500,M49&lt;=1000),M49*0.7%,IF(AND(M49&gt;200,M49&lt;=500),M49*0.8%,IF(AND(M49&gt;100,M49&lt;=200),M49*0.9%,IF(AND(M49&gt;50,M49&lt;=100),M49*1%,IF(AND(M49&gt;20,M49&lt;=50),M49*1.5%,IF(AND(M49&gt;10,M49&lt;=20),M49*2%,IF(AND(M49&gt;1,M49&lt;=10),M49*2.5%)))))))))</f>
        <v>8.6159999999999997</v>
      </c>
      <c r="M64" s="293">
        <f t="shared" ref="M64:M65" ca="1" si="1">ROUND(L64,1)</f>
        <v>8.6</v>
      </c>
      <c r="N64" s="2324" t="s">
        <v>1380</v>
      </c>
      <c r="Z64" s="1616"/>
      <c r="AI64" s="1554"/>
    </row>
    <row r="65" spans="1:35" ht="14.25" customHeight="1">
      <c r="A65" s="160" t="s">
        <v>326</v>
      </c>
      <c r="B65" s="161" t="s">
        <v>1381</v>
      </c>
      <c r="C65" s="2345"/>
      <c r="D65" s="161"/>
      <c r="E65" s="163"/>
      <c r="F65" s="1663"/>
      <c r="G65" s="1663"/>
      <c r="H65" s="150"/>
      <c r="I65" s="120"/>
      <c r="J65" s="3381"/>
      <c r="K65" s="1238" t="s">
        <v>1382</v>
      </c>
      <c r="L65" s="1238">
        <f ca="1">IF(M49&gt;1000,M49*0.1%,IF(AND(M49&gt;500,M49&lt;=1000),M49*0.5%,IF(AND(M49&gt;50,M49&lt;=500),M49*1%,IF(AND(M49&gt;1,M49&lt;=50),M49*1.5%))))</f>
        <v>1.4359999999999999</v>
      </c>
      <c r="M65" s="293">
        <f t="shared" ca="1" si="1"/>
        <v>1.4</v>
      </c>
      <c r="N65" s="2324" t="s">
        <v>1380</v>
      </c>
      <c r="Z65" s="1616"/>
      <c r="AI65" s="1554"/>
    </row>
    <row r="66" spans="1:35" ht="14.25" customHeight="1">
      <c r="A66" s="164" t="s">
        <v>327</v>
      </c>
      <c r="B66" s="165" t="s">
        <v>1383</v>
      </c>
      <c r="C66" s="2346"/>
      <c r="D66" s="165" t="s">
        <v>26</v>
      </c>
      <c r="E66" s="1244" t="s">
        <v>668</v>
      </c>
      <c r="F66" s="1663"/>
      <c r="G66" s="1663"/>
      <c r="H66" s="150"/>
      <c r="I66" s="120"/>
      <c r="J66" s="3381"/>
      <c r="K66" s="1238" t="s">
        <v>1384</v>
      </c>
      <c r="L66" s="1238">
        <f ca="1">M49*0.5%</f>
        <v>7.18</v>
      </c>
      <c r="M66" s="293">
        <f ca="1">IF(L66&gt;0.5,0.5,ROUND(L66,0))</f>
        <v>0.5</v>
      </c>
      <c r="N66" s="2324" t="s">
        <v>1385</v>
      </c>
      <c r="Z66" s="1616"/>
      <c r="AI66" s="1554"/>
    </row>
    <row r="67" spans="1:35" ht="14.25" customHeight="1">
      <c r="A67" s="164" t="s">
        <v>328</v>
      </c>
      <c r="B67" s="165" t="s">
        <v>1386</v>
      </c>
      <c r="C67" s="2347">
        <f ca="1">C63-C66</f>
        <v>1368</v>
      </c>
      <c r="D67" s="161" t="s">
        <v>26</v>
      </c>
      <c r="E67" s="163"/>
      <c r="F67" s="1663"/>
      <c r="G67" s="1663"/>
      <c r="H67" s="150"/>
      <c r="I67" s="120"/>
      <c r="J67" s="3381"/>
      <c r="K67" s="1238" t="s">
        <v>1387</v>
      </c>
      <c r="L67" s="1238">
        <f ca="1">IF(M49&gt;=10000,(8.25+(M49-10000)*0.01%),IF(AND(M49&gt;=8000,M49&lt;10000),(7.85+(M49-8000)*0.02%),IF(AND(M49&gt;=5000,M49&lt;8000),(6.65+(M49-5000)*0.04%),IF(AND(M49&gt;=2000,M49&lt;5000),(4.25+(PM49-2000)*0.08%),IF(AND(M49&gt;=1000,M49&lt;2000),(2.75+(M49-1000)*0.15%),IF(AND(M49&gt;=100,M49&lt;1000),(0.5+(M49-100)*0.25%),IF(AND(M49&gt;0,M49&lt;100),M49*0.5%)))))))</f>
        <v>3.4039999999999999</v>
      </c>
      <c r="M67" s="293">
        <f ca="1">ROUND(L67*0.9,1)</f>
        <v>3.1</v>
      </c>
      <c r="N67" s="2323"/>
      <c r="Z67" s="1616"/>
      <c r="AI67" s="1554"/>
    </row>
    <row r="68" spans="1:35" ht="14.25" customHeight="1" thickBot="1">
      <c r="A68" s="167" t="s">
        <v>329</v>
      </c>
      <c r="B68" s="168" t="s">
        <v>1388</v>
      </c>
      <c r="C68" s="2348">
        <f ca="1">IF(C67&lt;=0,0,ROUND(C67*D68,0))</f>
        <v>75</v>
      </c>
      <c r="D68" s="2349">
        <f>'数据-取费表'!B41</f>
        <v>5.5000000000000007E-2</v>
      </c>
      <c r="E68" s="169"/>
      <c r="F68" s="1663"/>
      <c r="G68" s="1663"/>
      <c r="H68" s="150"/>
      <c r="I68" s="120"/>
      <c r="J68" s="3381"/>
      <c r="K68" s="1238" t="s">
        <v>1389</v>
      </c>
      <c r="L68" s="1238">
        <f ca="1">IF(M49&gt;10000,M49*0.5%,IF(AND(M49&gt;5000,M49&lt;=10000),M49*1%,IF(AND(M49&gt;1000,M49&lt;=5000),M49*2%,IF(AND(M49&gt;200,M49&lt;=1000),M49*3%,M49*5%))))</f>
        <v>28.72</v>
      </c>
      <c r="M68" s="293">
        <f ca="1">ROUND(L68,1)</f>
        <v>28.7</v>
      </c>
      <c r="N68" s="2323"/>
      <c r="Z68" s="1616"/>
      <c r="AI68" s="1554"/>
    </row>
    <row r="69" spans="1:35" ht="16.5" customHeight="1">
      <c r="A69" s="1665"/>
      <c r="B69" s="1666"/>
      <c r="C69" s="1667"/>
      <c r="D69" s="1668"/>
      <c r="E69" s="1669"/>
      <c r="F69" s="1459"/>
      <c r="G69" s="1459"/>
      <c r="H69" s="1460"/>
      <c r="I69" s="644"/>
      <c r="J69" s="3381"/>
      <c r="K69" s="1238" t="s">
        <v>1390</v>
      </c>
      <c r="L69" s="1238"/>
      <c r="M69" s="293">
        <f ca="1">ROUND(SUM(M63:M68),0)</f>
        <v>57</v>
      </c>
      <c r="N69" s="2325">
        <f ca="1">M69/M49</f>
        <v>3.9693593314763229E-2</v>
      </c>
      <c r="Z69" s="1616"/>
      <c r="AI69" s="1554"/>
    </row>
    <row r="70" spans="1:35" s="640" customFormat="1" ht="15" thickBot="1">
      <c r="A70" s="3343" t="s">
        <v>1391</v>
      </c>
      <c r="B70" s="3344"/>
      <c r="C70" s="3344"/>
      <c r="D70" s="3344"/>
      <c r="E70" s="3344"/>
      <c r="F70" s="3344"/>
      <c r="G70" s="3344"/>
      <c r="H70" s="3344"/>
      <c r="I70" s="1670"/>
      <c r="J70" s="458"/>
      <c r="K70" s="458"/>
      <c r="L70" s="458"/>
      <c r="M70" s="458"/>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22" t="s">
        <v>1372</v>
      </c>
      <c r="B71" s="3323"/>
      <c r="C71" s="1858"/>
      <c r="D71" s="1858" t="s">
        <v>1373</v>
      </c>
      <c r="E71" s="170" t="s">
        <v>1374</v>
      </c>
      <c r="F71" s="171"/>
      <c r="G71" s="171"/>
      <c r="H71" s="172"/>
      <c r="I71" s="1673"/>
      <c r="J71" s="458"/>
      <c r="K71" s="458"/>
      <c r="L71" s="458"/>
      <c r="M71" s="458"/>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4" t="s">
        <v>330</v>
      </c>
      <c r="B72" s="165" t="s">
        <v>1392</v>
      </c>
      <c r="C72" s="2347">
        <f ca="1">ROUND(D45/(1+'数据-取费表'!C42),0)</f>
        <v>1368</v>
      </c>
      <c r="D72" s="161" t="s">
        <v>26</v>
      </c>
      <c r="E72" s="1250"/>
      <c r="F72" s="1248"/>
      <c r="G72" s="1248"/>
      <c r="H72" s="173"/>
      <c r="I72" s="1673"/>
      <c r="J72" s="458"/>
      <c r="K72" s="458"/>
      <c r="L72" s="458"/>
      <c r="M72" s="458"/>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4" t="s">
        <v>327</v>
      </c>
      <c r="B73" s="154" t="s">
        <v>1393</v>
      </c>
      <c r="C73" s="2347">
        <f ca="1">C74+C78</f>
        <v>7</v>
      </c>
      <c r="D73" s="161" t="s">
        <v>26</v>
      </c>
      <c r="E73" s="1250"/>
      <c r="F73" s="1248"/>
      <c r="G73" s="1248"/>
      <c r="H73" s="173"/>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0" t="s">
        <v>325</v>
      </c>
      <c r="B74" s="161" t="s">
        <v>1394</v>
      </c>
      <c r="C74" s="161">
        <f>ROUND(IF(G77="2016年5月1日后购买",C75/(1+'数据-取费表'!C42)+C76+C77,C75+C76+C77),0)</f>
        <v>0</v>
      </c>
      <c r="D74" s="161" t="s">
        <v>26</v>
      </c>
      <c r="E74" s="1250"/>
      <c r="F74" s="1248"/>
      <c r="G74" s="1248"/>
      <c r="H74" s="173"/>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0" t="s">
        <v>331</v>
      </c>
      <c r="B75" s="161" t="s">
        <v>1395</v>
      </c>
      <c r="C75" s="2350"/>
      <c r="D75" s="161" t="s">
        <v>26</v>
      </c>
      <c r="E75" s="175" t="s">
        <v>1396</v>
      </c>
      <c r="F75" s="2351"/>
      <c r="G75" s="175" t="s">
        <v>1397</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0" t="s">
        <v>332</v>
      </c>
      <c r="B76" s="176" t="s">
        <v>1398</v>
      </c>
      <c r="C76" s="161">
        <f>IF(F75="购房发票",ROUND(C75*H75*D76,0),0)</f>
        <v>0</v>
      </c>
      <c r="D76" s="2353">
        <v>0.05</v>
      </c>
      <c r="E76" s="3317" t="s">
        <v>1399</v>
      </c>
      <c r="F76" s="3291"/>
      <c r="G76" s="3291"/>
      <c r="H76" s="3342"/>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0" t="s">
        <v>333</v>
      </c>
      <c r="B77" s="161" t="s">
        <v>1400</v>
      </c>
      <c r="C77" s="161">
        <f>ROUND(IF(G77="个人住宅",0,IF(G77="2016年5月1日前购买",C75*D77,C75*D77/(1+'数据-取费表'!C42))),0)</f>
        <v>0</v>
      </c>
      <c r="D77" s="2354">
        <f>'数据-取费表'!B48+'数据-取费表'!B49</f>
        <v>3.0499999999999999E-2</v>
      </c>
      <c r="E77" s="12" t="s">
        <v>1401</v>
      </c>
      <c r="F77" s="177"/>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0" t="s">
        <v>326</v>
      </c>
      <c r="B78" s="161" t="s">
        <v>1402</v>
      </c>
      <c r="C78" s="2355">
        <f ca="1">ROUND(D45*D78/(1+'数据-取费表'!C42),0)</f>
        <v>7</v>
      </c>
      <c r="D78" s="2356">
        <f>'数据-取费表'!B43</f>
        <v>5.000000000000001E-3</v>
      </c>
      <c r="E78" s="3301" t="s">
        <v>1403</v>
      </c>
      <c r="F78" s="3302"/>
      <c r="G78" s="3302"/>
      <c r="H78" s="3311"/>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4" t="s">
        <v>328</v>
      </c>
      <c r="B79" s="165" t="s">
        <v>1404</v>
      </c>
      <c r="C79" s="2347">
        <f ca="1">C72-C73</f>
        <v>1361</v>
      </c>
      <c r="D79" s="161" t="s">
        <v>26</v>
      </c>
      <c r="E79" s="1250"/>
      <c r="F79" s="1248"/>
      <c r="G79" s="1248"/>
      <c r="H79" s="173"/>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4" t="s">
        <v>335</v>
      </c>
      <c r="B80" s="165" t="s">
        <v>1405</v>
      </c>
      <c r="C80" s="2357">
        <f ca="1">IF(C79&lt;=0,0,C79/C73)</f>
        <v>194.42857142857142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3"/>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7" t="s">
        <v>336</v>
      </c>
      <c r="B81" s="168" t="s">
        <v>1406</v>
      </c>
      <c r="C81" s="2358">
        <f ca="1">ROUND(IF(C79&lt;=0,0,IF(C80&gt;=200%,C79*60%-C73*35%,IF(C80&gt;=100%,C79*50%-C73*15%,IF(C80&gt;=50%,C79*40%-C73*5%,IF(C80&lt;50%,C79*30%,0))))),0)</f>
        <v>814</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43" t="s">
        <v>1407</v>
      </c>
      <c r="B83" s="3344"/>
      <c r="C83" s="3344"/>
      <c r="D83" s="3344"/>
      <c r="E83" s="3344"/>
      <c r="F83" s="3344"/>
      <c r="G83" s="3344"/>
      <c r="H83" s="3344"/>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22" t="s">
        <v>1372</v>
      </c>
      <c r="B84" s="3323"/>
      <c r="C84" s="1858"/>
      <c r="D84" s="1858" t="s">
        <v>1373</v>
      </c>
      <c r="E84" s="170" t="s">
        <v>1374</v>
      </c>
      <c r="F84" s="171"/>
      <c r="G84" s="171"/>
      <c r="H84" s="182"/>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4" t="s">
        <v>330</v>
      </c>
      <c r="B85" s="165" t="s">
        <v>1392</v>
      </c>
      <c r="C85" s="2347">
        <f ca="1">ROUND(D45/(1+'数据-取费表'!C42),0)</f>
        <v>1368</v>
      </c>
      <c r="D85" s="161" t="s">
        <v>26</v>
      </c>
      <c r="E85" s="1250"/>
      <c r="F85" s="1248"/>
      <c r="G85" s="1248"/>
      <c r="H85" s="183"/>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4" t="s">
        <v>327</v>
      </c>
      <c r="B86" s="154" t="s">
        <v>1393</v>
      </c>
      <c r="C86" s="2347">
        <f ca="1">IF(H88="仅含出让金",C87+C90+C91+C92+C93+C94,C87+C91+C92+C93+C94)</f>
        <v>7</v>
      </c>
      <c r="D86" s="2360"/>
      <c r="E86" s="1250"/>
      <c r="F86" s="1248"/>
      <c r="G86" s="1248"/>
      <c r="H86" s="183"/>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0" t="s">
        <v>325</v>
      </c>
      <c r="B87" s="161" t="s">
        <v>1408</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0" t="s">
        <v>331</v>
      </c>
      <c r="B88" s="161" t="s">
        <v>1409</v>
      </c>
      <c r="C88" s="2361"/>
      <c r="D88" s="2356"/>
      <c r="E88" s="184" t="s">
        <v>1410</v>
      </c>
      <c r="F88" s="2141"/>
      <c r="G88" s="185" t="s">
        <v>1411</v>
      </c>
      <c r="H88" s="1677"/>
      <c r="I88" s="1674"/>
      <c r="J88" s="2301" t="s">
        <v>2275</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0" t="s">
        <v>332</v>
      </c>
      <c r="B89" s="161" t="s">
        <v>1400</v>
      </c>
      <c r="C89" s="2355">
        <f>ROUND(C88*D89,0)</f>
        <v>0</v>
      </c>
      <c r="D89" s="2356">
        <f>'数据-取费表'!B48+'数据-取费表'!B49</f>
        <v>3.0499999999999999E-2</v>
      </c>
      <c r="E89" s="184" t="s">
        <v>1412</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0" t="s">
        <v>326</v>
      </c>
      <c r="B90" s="161" t="s">
        <v>1413</v>
      </c>
      <c r="C90" s="2361"/>
      <c r="D90" s="2356"/>
      <c r="E90" s="184" t="str">
        <f>IF(H88="-","土地取得成本中已包含该笔费用"," ")</f>
        <v xml:space="preserve"> </v>
      </c>
      <c r="F90" s="2141"/>
      <c r="G90" s="3383" t="s">
        <v>2125</v>
      </c>
      <c r="H90" s="3384"/>
      <c r="I90" s="1674"/>
      <c r="J90" s="2301" t="s">
        <v>2276</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0" t="s">
        <v>1414</v>
      </c>
      <c r="B91" s="161" t="s">
        <v>1415</v>
      </c>
      <c r="C91" s="2355">
        <f>IF(H91="——",成本法!C33,I91)</f>
        <v>0</v>
      </c>
      <c r="D91" s="2356"/>
      <c r="E91" s="3301" t="s">
        <v>1416</v>
      </c>
      <c r="F91" s="3302"/>
      <c r="G91" s="330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0" t="s">
        <v>1417</v>
      </c>
      <c r="B92" s="161" t="s">
        <v>1418</v>
      </c>
      <c r="C92" s="2355">
        <f>ROUND((C87+C90+C91)*D92,0)</f>
        <v>0</v>
      </c>
      <c r="D92" s="2362"/>
      <c r="E92" s="3301" t="s">
        <v>1419</v>
      </c>
      <c r="F92" s="3302"/>
      <c r="G92" s="3302"/>
      <c r="H92" s="3311"/>
      <c r="I92" s="1674"/>
      <c r="J92" s="2302" t="s">
        <v>2277</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0" t="s">
        <v>1420</v>
      </c>
      <c r="B93" s="161" t="s">
        <v>1402</v>
      </c>
      <c r="C93" s="2355">
        <f ca="1">ROUND(D45*D93/(1+'数据-取费表'!C42),0)</f>
        <v>7</v>
      </c>
      <c r="D93" s="2356">
        <f>'数据-取费表'!B43</f>
        <v>5.000000000000001E-3</v>
      </c>
      <c r="E93" s="3301" t="s">
        <v>1403</v>
      </c>
      <c r="F93" s="3302"/>
      <c r="G93" s="3302"/>
      <c r="H93" s="3311"/>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0" t="s">
        <v>1421</v>
      </c>
      <c r="B94" s="161" t="s">
        <v>1422</v>
      </c>
      <c r="C94" s="2361">
        <f>ROUND((C87+C90+C91)*D94,0)</f>
        <v>0</v>
      </c>
      <c r="D94" s="2356">
        <v>0.2</v>
      </c>
      <c r="E94" s="3312" t="s">
        <v>1423</v>
      </c>
      <c r="F94" s="3313"/>
      <c r="G94" s="3313"/>
      <c r="H94" s="3314"/>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4" t="s">
        <v>328</v>
      </c>
      <c r="B95" s="165" t="s">
        <v>1404</v>
      </c>
      <c r="C95" s="2347">
        <f ca="1">ROUND(C85-C86,0)</f>
        <v>1361</v>
      </c>
      <c r="D95" s="161" t="s">
        <v>26</v>
      </c>
      <c r="E95" s="1250"/>
      <c r="F95" s="1248"/>
      <c r="G95" s="1248"/>
      <c r="H95" s="183"/>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4" t="s">
        <v>335</v>
      </c>
      <c r="B96" s="165" t="s">
        <v>1405</v>
      </c>
      <c r="C96" s="2357">
        <f ca="1">IF(C95&lt;=0,0,C95/C86)</f>
        <v>194.42857142857142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3"/>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7" t="s">
        <v>336</v>
      </c>
      <c r="B97" s="168" t="s">
        <v>1406</v>
      </c>
      <c r="C97" s="2358">
        <f ca="1">ROUND(IF(C95&lt;=0,0,IF(C96&gt;=200%,C95*60%-C86*35%,IF(C96&gt;=100%,C95*50%-C86*15%,IF(C96&gt;=50%,C95*40%-C86*5%,IF(C96&lt;50%,C95*30%,0))))),0)</f>
        <v>814</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0"/>
    </row>
    <row r="99" spans="1:35" ht="21.75" customHeight="1" thickBot="1">
      <c r="A99" s="1457" t="s">
        <v>1424</v>
      </c>
      <c r="B99" s="644"/>
      <c r="C99" s="644"/>
      <c r="D99" s="644"/>
      <c r="E99" s="1459"/>
      <c r="F99" s="1459"/>
      <c r="G99" s="1459"/>
      <c r="H99" s="1460"/>
      <c r="I99" s="120"/>
    </row>
    <row r="100" spans="1:35" ht="18.75" customHeight="1">
      <c r="A100" s="3285" t="s">
        <v>1425</v>
      </c>
      <c r="B100" s="3286"/>
      <c r="C100" s="3286"/>
      <c r="D100" s="3303"/>
      <c r="E100" s="3286" t="s">
        <v>1426</v>
      </c>
      <c r="F100" s="3286"/>
      <c r="G100" s="3286"/>
      <c r="H100" s="3303"/>
      <c r="I100" s="120"/>
    </row>
    <row r="101" spans="1:35" ht="18.75" customHeight="1">
      <c r="A101" s="3364" t="s">
        <v>1427</v>
      </c>
      <c r="B101" s="3365"/>
      <c r="C101" s="2364" t="str">
        <f>C4</f>
        <v>比较法-办公</v>
      </c>
      <c r="D101" s="2365" t="str">
        <f>D4</f>
        <v>办公收益法</v>
      </c>
      <c r="E101" s="3378" t="s">
        <v>1428</v>
      </c>
      <c r="F101" s="3335"/>
      <c r="G101" s="1680" t="s">
        <v>1429</v>
      </c>
      <c r="H101" s="2374">
        <f ca="1">H118</f>
        <v>1436</v>
      </c>
      <c r="I101" s="120"/>
    </row>
    <row r="102" spans="1:35" ht="18.75" customHeight="1">
      <c r="A102" s="3337" t="s">
        <v>1430</v>
      </c>
      <c r="B102" s="2363" t="s">
        <v>1429</v>
      </c>
      <c r="C102" s="2364">
        <f ca="1">IF(D32="楼面单价",ROUND(C19,0),C19)</f>
        <v>1686</v>
      </c>
      <c r="D102" s="2365">
        <f ca="1">IF(D32="楼面单价",ROUND(D19,0),D19)</f>
        <v>852</v>
      </c>
      <c r="E102" s="3378"/>
      <c r="F102" s="3335"/>
      <c r="G102" s="1680" t="s">
        <v>1431</v>
      </c>
      <c r="H102" s="2334">
        <f ca="1">I118</f>
        <v>19023</v>
      </c>
      <c r="I102" s="120"/>
    </row>
    <row r="103" spans="1:35" ht="42.75" customHeight="1">
      <c r="A103" s="3337"/>
      <c r="B103" s="2363" t="s">
        <v>1431</v>
      </c>
      <c r="C103" s="2366">
        <f ca="1">C20</f>
        <v>22339</v>
      </c>
      <c r="D103" s="2367">
        <f ca="1">D20</f>
        <v>11287</v>
      </c>
      <c r="E103" s="3372" t="s">
        <v>1432</v>
      </c>
      <c r="F103" s="3373"/>
      <c r="G103" s="1681" t="s">
        <v>1433</v>
      </c>
      <c r="H103" s="2374">
        <f>IF(D36="正常操作",H104+H105+H106,H105+H106)</f>
        <v>0</v>
      </c>
      <c r="I103" s="120"/>
    </row>
    <row r="104" spans="1:35" ht="18.75" customHeight="1">
      <c r="A104" s="3337" t="s">
        <v>1434</v>
      </c>
      <c r="B104" s="2368" t="s">
        <v>1429</v>
      </c>
      <c r="C104" s="2369">
        <f ca="1">H118</f>
        <v>1436</v>
      </c>
      <c r="D104" s="2370"/>
      <c r="E104" s="1548" t="s">
        <v>1435</v>
      </c>
      <c r="F104" s="1541"/>
      <c r="G104" s="1681" t="s">
        <v>1433</v>
      </c>
      <c r="H104" s="2375">
        <f>IF(D36="同一抵押权人同一抵押物续贷",C36&amp;"（续贷，未扣减，详见特别提示）",C36)</f>
        <v>0</v>
      </c>
      <c r="I104" s="120"/>
    </row>
    <row r="105" spans="1:35" ht="18.75" customHeight="1" thickBot="1">
      <c r="A105" s="3338"/>
      <c r="B105" s="2371" t="s">
        <v>1431</v>
      </c>
      <c r="C105" s="2372">
        <f ca="1">I118</f>
        <v>19023</v>
      </c>
      <c r="D105" s="2373"/>
      <c r="E105" s="1548" t="s">
        <v>1436</v>
      </c>
      <c r="F105" s="1541"/>
      <c r="G105" s="1681" t="s">
        <v>1433</v>
      </c>
      <c r="H105" s="2376">
        <f>C37</f>
        <v>0</v>
      </c>
      <c r="I105" s="120"/>
    </row>
    <row r="106" spans="1:35" ht="18.75" customHeight="1">
      <c r="A106" s="644" t="s">
        <v>1437</v>
      </c>
      <c r="B106" s="644"/>
      <c r="C106" s="644"/>
      <c r="D106" s="644"/>
      <c r="E106" s="1682" t="s">
        <v>1438</v>
      </c>
      <c r="F106" s="1541"/>
      <c r="G106" s="1681" t="s">
        <v>1433</v>
      </c>
      <c r="H106" s="2376">
        <f>C38</f>
        <v>0</v>
      </c>
      <c r="I106" s="120"/>
    </row>
    <row r="107" spans="1:35" ht="18.75" customHeight="1">
      <c r="A107" s="120"/>
      <c r="B107" s="120"/>
      <c r="C107" s="120"/>
      <c r="D107" s="120"/>
      <c r="E107" s="3334" t="str">
        <f>IF(项目基本情况!E8="已注销","——","3.房地产抵押价值")</f>
        <v>3.房地产抵押价值</v>
      </c>
      <c r="F107" s="3335"/>
      <c r="G107" s="1680" t="s">
        <v>1429</v>
      </c>
      <c r="H107" s="2374">
        <f ca="1">IF(E107="——","——",H101-H103)</f>
        <v>1436</v>
      </c>
      <c r="I107" s="120"/>
    </row>
    <row r="108" spans="1:35" ht="18.75" customHeight="1">
      <c r="A108" s="120"/>
      <c r="B108" s="120"/>
      <c r="C108" s="120"/>
      <c r="D108" s="120"/>
      <c r="E108" s="3334"/>
      <c r="F108" s="3335"/>
      <c r="G108" s="1680" t="s">
        <v>1431</v>
      </c>
      <c r="H108" s="2334">
        <f ca="1">IF(H107=H101,H102,ROUND(H107*10000/'数据-汇总表'!E3,0))</f>
        <v>19023</v>
      </c>
      <c r="I108" s="120"/>
    </row>
    <row r="109" spans="1:35" ht="18.75" customHeight="1">
      <c r="A109" s="120"/>
      <c r="B109" s="120"/>
      <c r="C109" s="120"/>
      <c r="D109" s="120"/>
      <c r="E109" s="3334" t="str">
        <f>IF(项目基本情况!E8="已注销及未注销","4.抵押担保权已注销时的房地产抵押价值",IF(项目基本情况!E8="已注销","3.抵押担保权已注销时的房地产抵押价值","——"))</f>
        <v>——</v>
      </c>
      <c r="F109" s="3335"/>
      <c r="G109" s="1680" t="s">
        <v>1429</v>
      </c>
      <c r="H109" s="2377" t="str">
        <f>IF(E109="——","——",H101-H105-H106)</f>
        <v>——</v>
      </c>
      <c r="I109" s="120"/>
    </row>
    <row r="110" spans="1:35" ht="18.75" customHeight="1">
      <c r="A110" s="120"/>
      <c r="B110" s="120"/>
      <c r="C110" s="120"/>
      <c r="D110" s="120"/>
      <c r="E110" s="3334"/>
      <c r="F110" s="3335"/>
      <c r="G110" s="1680" t="s">
        <v>1431</v>
      </c>
      <c r="H110" s="2334" t="str">
        <f>IF(H109="——","——",ROUND(H109*10000/'数据-汇总表'!E3,0))</f>
        <v>——</v>
      </c>
      <c r="I110" s="120"/>
    </row>
    <row r="111" spans="1:35" ht="18.75" customHeight="1">
      <c r="A111" s="120"/>
      <c r="B111" s="120"/>
      <c r="C111" s="120"/>
      <c r="D111" s="120"/>
      <c r="E111" s="3366" t="str">
        <f>IF(项目基本情况!E9="抵押净值",IF(OR(项目基本情况!E8="已注销",项目基本情况!E8="房地产抵押价值"),"4.抵押净值","5.抵押净值"),"——")</f>
        <v>——</v>
      </c>
      <c r="F111" s="3336"/>
      <c r="G111" s="1680" t="s">
        <v>1429</v>
      </c>
      <c r="H111" s="2374" t="str">
        <f>IF(E111="——","——",N59)</f>
        <v>——</v>
      </c>
      <c r="I111" s="120"/>
    </row>
    <row r="112" spans="1:35" ht="18.75" customHeight="1" thickBot="1">
      <c r="A112" s="120"/>
      <c r="B112" s="120"/>
      <c r="C112" s="120"/>
      <c r="D112" s="120"/>
      <c r="E112" s="3367"/>
      <c r="F112" s="3368"/>
      <c r="G112" s="1683" t="s">
        <v>1431</v>
      </c>
      <c r="H112" s="2378" t="str">
        <f>IF(E111="——","——",N61)</f>
        <v>——</v>
      </c>
      <c r="I112" s="120"/>
    </row>
    <row r="113" spans="1:27" ht="18.75" customHeight="1">
      <c r="A113" s="120"/>
      <c r="B113" s="120"/>
      <c r="C113" s="120"/>
      <c r="D113" s="120"/>
      <c r="E113" s="3339" t="s">
        <v>1437</v>
      </c>
      <c r="F113" s="3339"/>
      <c r="G113" s="3339"/>
      <c r="H113" s="3339"/>
      <c r="I113" s="120"/>
    </row>
    <row r="114" spans="1:27" ht="3.75" customHeight="1">
      <c r="A114" s="644"/>
      <c r="B114" s="644"/>
      <c r="C114" s="644"/>
      <c r="D114" s="644"/>
      <c r="E114" s="1664"/>
      <c r="F114" s="1664"/>
      <c r="G114" s="1664"/>
      <c r="H114" s="1664"/>
      <c r="I114" s="644"/>
    </row>
    <row r="115" spans="1:27" ht="18.75" customHeight="1">
      <c r="A115" s="3349" t="s">
        <v>1439</v>
      </c>
      <c r="B115" s="3350"/>
      <c r="C115" s="3350"/>
      <c r="D115" s="3350"/>
      <c r="E115" s="3350"/>
      <c r="F115" s="3350"/>
      <c r="G115" s="3350"/>
      <c r="H115" s="3350"/>
      <c r="I115" s="3351"/>
    </row>
    <row r="116" spans="1:27" ht="27" customHeight="1">
      <c r="A116" s="3305" t="s">
        <v>1440</v>
      </c>
      <c r="B116" s="3340" t="s">
        <v>1441</v>
      </c>
      <c r="C116" s="3340" t="s">
        <v>1442</v>
      </c>
      <c r="D116" s="3353" t="s">
        <v>1443</v>
      </c>
      <c r="E116" s="3354"/>
      <c r="F116" s="3348" t="s">
        <v>1444</v>
      </c>
      <c r="G116" s="3348"/>
      <c r="H116" s="3305" t="s">
        <v>1445</v>
      </c>
      <c r="I116" s="3305"/>
    </row>
    <row r="117" spans="1:27" ht="18.75" customHeight="1">
      <c r="A117" s="3305"/>
      <c r="B117" s="3341"/>
      <c r="C117" s="3341"/>
      <c r="D117" s="2143" t="s">
        <v>1446</v>
      </c>
      <c r="E117" s="2143" t="s">
        <v>1447</v>
      </c>
      <c r="F117" s="2143" t="s">
        <v>1446</v>
      </c>
      <c r="G117" s="2143" t="s">
        <v>1448</v>
      </c>
      <c r="H117" s="2143" t="s">
        <v>1446</v>
      </c>
      <c r="I117" s="2143" t="s">
        <v>1448</v>
      </c>
    </row>
    <row r="118" spans="1:27" ht="24.75" customHeight="1">
      <c r="A118" s="2379" t="str">
        <f>项目基本情况!S2</f>
        <v>北京市房地产</v>
      </c>
      <c r="B118" s="2143">
        <f>M18</f>
        <v>754.84</v>
      </c>
      <c r="C118" s="2143">
        <f>M19</f>
        <v>93.1</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f ca="1">ROUND(IF(D32="总价",C32,I118*B118/10000),0)</f>
        <v>1436</v>
      </c>
      <c r="I118" s="2143">
        <f ca="1">ROUND(IF(D32="楼面单价",C32,H118*10000/B118),0)</f>
        <v>19023</v>
      </c>
    </row>
    <row r="119" spans="1:27" ht="18.75" customHeight="1">
      <c r="A119" s="3305" t="s">
        <v>1449</v>
      </c>
      <c r="B119" s="3305"/>
      <c r="C119" s="3305"/>
      <c r="D119" s="3345" t="e">
        <f ca="1">NUMBERSTRING(INT(D118*10000),2)&amp;"元整"</f>
        <v>#REF!</v>
      </c>
      <c r="E119" s="3347"/>
      <c r="F119" s="3345" t="e">
        <f ca="1">NUMBERSTRING(INT(F118*10000),2)&amp;"元整"</f>
        <v>#REF!</v>
      </c>
      <c r="G119" s="3347"/>
      <c r="H119" s="3345" t="str">
        <f ca="1">NUMBERSTRING(INT(H118*10000),2)&amp;"元整"</f>
        <v>壹仟肆佰叁拾陆万元整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45" t="s">
        <v>1449</v>
      </c>
      <c r="B121" s="3346"/>
      <c r="C121" s="3347"/>
      <c r="D121" s="3345" t="str">
        <f>IF(D120=0,"零元整",NUMBERSTRING(INT(D120*10000),2)&amp;"元整")</f>
        <v>零元整</v>
      </c>
      <c r="E121" s="3346"/>
      <c r="F121" s="3346"/>
      <c r="G121" s="3346"/>
      <c r="H121" s="3346"/>
      <c r="I121" s="3347"/>
      <c r="AA121" s="682"/>
    </row>
    <row r="122" spans="1:27" ht="18.75" customHeight="1">
      <c r="A122" s="3336" t="str">
        <f>IF(项目基本情况!B9="房地产市场价值","",MID(E107,3,LEN(E107)-2))</f>
        <v>房地产抵押价值</v>
      </c>
      <c r="B122" s="3336"/>
      <c r="C122" s="3336"/>
      <c r="D122" s="3369">
        <f ca="1">H107</f>
        <v>1436</v>
      </c>
      <c r="E122" s="3370"/>
      <c r="F122" s="3370"/>
      <c r="G122" s="3370"/>
      <c r="H122" s="3370"/>
      <c r="I122" s="3371"/>
      <c r="AA122" s="682"/>
    </row>
    <row r="123" spans="1:27" ht="18.75" customHeight="1">
      <c r="A123" s="3305" t="s">
        <v>1449</v>
      </c>
      <c r="B123" s="3305"/>
      <c r="C123" s="3305"/>
      <c r="D123" s="3345" t="str">
        <f ca="1">NUMBERSTRING(INT(D122*10000),2)&amp;"元整"</f>
        <v>壹仟肆佰叁拾陆万元整</v>
      </c>
      <c r="E123" s="3346"/>
      <c r="F123" s="3346"/>
      <c r="G123" s="3346"/>
      <c r="H123" s="3346"/>
      <c r="I123" s="3347"/>
      <c r="AA123" s="682"/>
    </row>
    <row r="124" spans="1:27" ht="18.75" customHeight="1">
      <c r="A124" s="3336" t="str">
        <f>IF(项目基本情况!B9="房地产市场价值","",MID(E109,3,LEN(E109)-2))</f>
        <v/>
      </c>
      <c r="B124" s="3336"/>
      <c r="C124" s="3336"/>
      <c r="D124" s="3369" t="str">
        <f>H109</f>
        <v>——</v>
      </c>
      <c r="E124" s="3370"/>
      <c r="F124" s="3370"/>
      <c r="G124" s="3370"/>
      <c r="H124" s="3370"/>
      <c r="I124" s="3371"/>
      <c r="AA124" s="682"/>
    </row>
    <row r="125" spans="1:27" ht="18.75" customHeight="1">
      <c r="A125" s="3305" t="s">
        <v>1449</v>
      </c>
      <c r="B125" s="3305"/>
      <c r="C125" s="3305"/>
      <c r="D125" s="3345" t="e">
        <f>NUMBERSTRING(INT(D124*10000),2)&amp;"元整"</f>
        <v>#VALUE!</v>
      </c>
      <c r="E125" s="3346"/>
      <c r="F125" s="3346"/>
      <c r="G125" s="3346"/>
      <c r="H125" s="3346"/>
      <c r="I125" s="3347"/>
      <c r="AA125" s="682"/>
    </row>
    <row r="126" spans="1:27" ht="18.75" customHeight="1">
      <c r="A126" s="3336" t="str">
        <f>IF(项目基本情况!B9="房地产市场价值","",MID(E111,3,LEN(E111)-2))</f>
        <v/>
      </c>
      <c r="B126" s="3336"/>
      <c r="C126" s="3336"/>
      <c r="D126" s="3369" t="str">
        <f>H111</f>
        <v>——</v>
      </c>
      <c r="E126" s="3370"/>
      <c r="F126" s="3370"/>
      <c r="G126" s="3370"/>
      <c r="H126" s="3370"/>
      <c r="I126" s="3371"/>
      <c r="AA126" s="682"/>
    </row>
    <row r="127" spans="1:27" ht="18.75" customHeight="1">
      <c r="A127" s="3305" t="s">
        <v>1449</v>
      </c>
      <c r="B127" s="3305"/>
      <c r="C127" s="3305"/>
      <c r="D127" s="3345" t="e">
        <f>NUMBERSTRING(INT(D126*10000),2)&amp;"元整"</f>
        <v>#VALUE!</v>
      </c>
      <c r="E127" s="3346"/>
      <c r="F127" s="3346"/>
      <c r="G127" s="3346"/>
      <c r="H127" s="3346"/>
      <c r="I127" s="3347"/>
      <c r="AA127" s="682"/>
    </row>
    <row r="128" spans="1:27" ht="21.75" customHeight="1">
      <c r="A128" s="3352" t="s">
        <v>1450</v>
      </c>
      <c r="B128" s="3352"/>
      <c r="C128" s="3352"/>
      <c r="D128" s="3352"/>
      <c r="E128" s="3352"/>
      <c r="F128" s="3352"/>
      <c r="G128" s="3352"/>
      <c r="H128" s="3352"/>
      <c r="I128" s="3352"/>
      <c r="AA128" s="682"/>
    </row>
    <row r="129" spans="1:35" ht="21.75" customHeight="1">
      <c r="A129" s="1684" t="s">
        <v>1451</v>
      </c>
      <c r="B129" s="1685"/>
      <c r="C129" s="1686" t="s">
        <v>1452</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1453</v>
      </c>
      <c r="G135" s="1699"/>
      <c r="H135" s="1699"/>
      <c r="I135" s="1700" t="s">
        <v>1454</v>
      </c>
    </row>
    <row r="136" spans="1:35" ht="21.75" customHeight="1">
      <c r="A136" s="682"/>
      <c r="B136" s="1701"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1456</v>
      </c>
    </row>
    <row r="139" spans="1:35" ht="21.75" customHeight="1">
      <c r="A139" s="682"/>
      <c r="B139" s="1701" t="s">
        <v>1457</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1456</v>
      </c>
    </row>
    <row r="142" spans="1:35" ht="21.75" customHeight="1">
      <c r="A142" s="682"/>
      <c r="B142" s="1701"/>
      <c r="C142" s="1702"/>
      <c r="D142" s="1703"/>
      <c r="E142" s="1703"/>
      <c r="F142" s="1607"/>
      <c r="G142" s="682"/>
      <c r="H142" s="682"/>
      <c r="I142" s="682"/>
    </row>
    <row r="143" spans="1:35" s="121"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C5:D7">
    <cfRule type="cellIs" dxfId="123" priority="6" stopIfTrue="1" operator="equal">
      <formula>25</formula>
    </cfRule>
  </conditionalFormatting>
  <conditionalFormatting sqref="C8:D13">
    <cfRule type="cellIs" dxfId="122" priority="5" stopIfTrue="1" operator="equal">
      <formula>15</formula>
    </cfRule>
  </conditionalFormatting>
  <conditionalFormatting sqref="C14:D16">
    <cfRule type="cellIs" dxfId="121" priority="4" stopIfTrue="1" operator="equal">
      <formula>30</formula>
    </cfRule>
  </conditionalFormatting>
  <conditionalFormatting sqref="E36">
    <cfRule type="expression" dxfId="120" priority="1" stopIfTrue="1">
      <formula>$D$36="同一抵押权人同一抵押物续贷"</formula>
    </cfRule>
  </conditionalFormatting>
  <dataValidations count="23">
    <dataValidation type="list" allowBlank="1" showInputMessage="1" showErrorMessage="1" sqref="D92" xr:uid="{00000000-0002-0000-2400-000000000000}">
      <formula1>"0,5%,10%"</formula1>
    </dataValidation>
    <dataValidation type="list" allowBlank="1" showInputMessage="1" showErrorMessage="1" sqref="H59" xr:uid="{00000000-0002-0000-2400-000001000000}">
      <formula1>"非个人房产,个人住宅（满五唯一有凭证）,个人其他（有凭证）,个人其他（无凭证）"</formula1>
    </dataValidation>
    <dataValidation type="list" allowBlank="1" showInputMessage="1" showErrorMessage="1" sqref="E103" xr:uid="{00000000-0002-0000-2400-000002000000}">
      <formula1>"2.估价师知悉的法定优先受偿款,2.估价师知悉的除抵押担保权以外的法定优先受偿款"</formula1>
    </dataValidation>
    <dataValidation type="list" allowBlank="1" showInputMessage="1" showErrorMessage="1" sqref="G77" xr:uid="{00000000-0002-0000-2400-000003000000}">
      <formula1>"个人住宅,2016年5月1日前购买,2016年5月1日后购买"</formula1>
    </dataValidation>
    <dataValidation type="list" allowBlank="1" showInputMessage="1" showErrorMessage="1" sqref="C1" xr:uid="{00000000-0002-0000-2400-000004000000}">
      <formula1>项目类型</formula1>
    </dataValidation>
    <dataValidation type="list" allowBlank="1" showInputMessage="1" showErrorMessage="1" sqref="I1" xr:uid="{00000000-0002-0000-2400-000005000000}">
      <formula1>"项目局部,项目全部,——"</formula1>
    </dataValidation>
    <dataValidation type="list" showInputMessage="1" showErrorMessage="1" sqref="G1" xr:uid="{00000000-0002-0000-2400-000006000000}">
      <formula1>"现房,在建,土地,-"</formula1>
    </dataValidation>
    <dataValidation type="list" allowBlank="1" showInputMessage="1" showErrorMessage="1" sqref="C129" xr:uid="{00000000-0002-0000-2400-000007000000}">
      <formula1>"无,有"</formula1>
    </dataValidation>
    <dataValidation type="list" allowBlank="1" showInputMessage="1" showErrorMessage="1" sqref="F116:G116" xr:uid="{00000000-0002-0000-2400-000008000000}">
      <formula1>"建筑物价值,在建建筑物价值,建筑物/在建建筑物价值"</formula1>
    </dataValidation>
    <dataValidation type="list" allowBlank="1" showInputMessage="1" showErrorMessage="1" sqref="D116:E116" xr:uid="{00000000-0002-0000-2400-000009000000}">
      <formula1>"出让国有建设用地使用权价值,划拨国有建设用地使用权价值"</formula1>
    </dataValidation>
    <dataValidation type="list" allowBlank="1" showInputMessage="1" showErrorMessage="1" sqref="C116:C117" xr:uid="{00000000-0002-0000-2400-00000A000000}">
      <formula1>"土地面积,分摊土地面积,（分摊）土地面积"</formula1>
    </dataValidation>
    <dataValidation type="list" allowBlank="1" showInputMessage="1" showErrorMessage="1" sqref="B116:B117" xr:uid="{00000000-0002-0000-2400-00000B000000}">
      <formula1>"建筑面积,规划建筑面积,（规划）建筑面积"</formula1>
    </dataValidation>
    <dataValidation type="list" allowBlank="1" showInputMessage="1" showErrorMessage="1" sqref="D36" xr:uid="{00000000-0002-0000-2400-00000C000000}">
      <formula1>"同一抵押权人同一抵押物续贷,注销后放款,正常操作"</formula1>
    </dataValidation>
    <dataValidation type="list" allowBlank="1" showInputMessage="1" showErrorMessage="1" sqref="F75" xr:uid="{00000000-0002-0000-2400-00000D000000}">
      <formula1>"买卖合同,购房发票"</formula1>
    </dataValidation>
    <dataValidation type="list" allowBlank="1" showInputMessage="1" showErrorMessage="1" sqref="H88" xr:uid="{00000000-0002-0000-2400-00000E000000}">
      <formula1>"仅含出让金,出让金+开发费"</formula1>
    </dataValidation>
    <dataValidation type="list" allowBlank="1" showInputMessage="1" showErrorMessage="1" sqref="H91" xr:uid="{00000000-0002-0000-2400-00000F000000}">
      <formula1>"企业提供（在右侧录入）,——"</formula1>
    </dataValidation>
    <dataValidation type="list" allowBlank="1" showInputMessage="1" showErrorMessage="1" sqref="C33" xr:uid="{00000000-0002-0000-2400-000010000000}">
      <formula1>"成本比率,收益比率,自定义"</formula1>
    </dataValidation>
    <dataValidation type="list" allowBlank="1" showInputMessage="1" showErrorMessage="1" sqref="F45" xr:uid="{00000000-0002-0000-2400-000011000000}">
      <formula1>"100%,70%,56%"</formula1>
    </dataValidation>
    <dataValidation type="list" allowBlank="1" showInputMessage="1" showErrorMessage="1" sqref="D32" xr:uid="{00000000-0002-0000-2400-000012000000}">
      <formula1>"总价,楼面单价"</formula1>
    </dataValidation>
    <dataValidation type="list" allowBlank="1" showInputMessage="1" showErrorMessage="1" sqref="H58" xr:uid="{00000000-0002-0000-2400-000013000000}">
      <formula1>"转让取得,自行开发建设"</formula1>
    </dataValidation>
    <dataValidation type="list" allowBlank="1" showInputMessage="1" showErrorMessage="1" sqref="H48" xr:uid="{00000000-0002-0000-2400-000014000000}">
      <formula1>"情况1,情况2,情况3,情况4"</formula1>
    </dataValidation>
    <dataValidation type="list" allowBlank="1" showInputMessage="1" showErrorMessage="1" sqref="H55:H56" xr:uid="{00000000-0002-0000-2400-000015000000}">
      <formula1>"个人住宅,正常"</formula1>
    </dataValidation>
    <dataValidation type="list" allowBlank="1" showInputMessage="1" showErrorMessage="1" sqref="C4:D4 D33" xr:uid="{00000000-0002-0000-2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1657</v>
      </c>
      <c r="B1" s="1801" t="s">
        <v>1823</v>
      </c>
      <c r="C1" s="1136" t="s">
        <v>1659</v>
      </c>
      <c r="D1" s="1137"/>
      <c r="E1" s="3125"/>
      <c r="F1" s="1728"/>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1459</v>
      </c>
      <c r="B2" s="1080" t="b">
        <f>IF(E1="项目模式",IF(C2="——",ROUND(C43*D3/10000,0),ROUND(C43*D3/10000,0)-D2),IF(E1="单套模式",IF(C2="——",ROUND(C43*D3/10000,4),ROUND(C43*D3/10000,4)-D2)))</f>
        <v>0</v>
      </c>
      <c r="C2" s="1730"/>
      <c r="D2" s="850" t="e">
        <f ca="1">IF(E1="项目模式",SUMIF(INDIRECT("'"&amp;F2&amp;"'"&amp;"!A:A"),"承租人权益价值",INDIRECT("'"&amp;F2&amp;"'"&amp;"!c:c")),SUMIF(INDIRECT("'"&amp;F2&amp;"'"&amp;"!A:A"),"承租人权益价值（单套）",INDIRECT("'"&amp;F2&amp;"'"&amp;"!c:c")))</f>
        <v>#REF!</v>
      </c>
      <c r="E2" s="1731" t="s">
        <v>1460</v>
      </c>
      <c r="F2" s="1732"/>
      <c r="G2" s="851"/>
      <c r="H2" s="851"/>
      <c r="I2" s="851"/>
      <c r="J2" s="851"/>
      <c r="K2" s="851"/>
      <c r="L2" s="854"/>
      <c r="M2" s="855"/>
      <c r="N2" s="855"/>
      <c r="O2" s="855"/>
      <c r="P2" s="340"/>
      <c r="Q2" s="340"/>
      <c r="R2" s="340"/>
      <c r="S2" s="340"/>
      <c r="T2" s="340"/>
      <c r="U2" s="340"/>
      <c r="V2" s="340"/>
      <c r="W2" s="340"/>
      <c r="X2" s="340"/>
      <c r="Y2" s="340"/>
      <c r="Z2" s="340"/>
      <c r="AA2" s="340"/>
      <c r="AB2" s="340"/>
      <c r="AC2" s="661"/>
    </row>
    <row r="3" spans="1:29" s="341" customFormat="1" ht="28.5" customHeight="1" thickBot="1">
      <c r="A3" s="194" t="s">
        <v>1461</v>
      </c>
      <c r="B3" s="535">
        <f>IF(C2="——",C43,ROUND(B2*10000/D3,0))</f>
        <v>0</v>
      </c>
      <c r="C3" s="343" t="s">
        <v>1765</v>
      </c>
      <c r="D3" s="342">
        <f>IF(D1="",'数据-汇总表'!E3,SUMIF('数据-汇总表'!$C19:$C33,D1,'数据-汇总表'!$E19:$E33))</f>
        <v>232700.46000000008</v>
      </c>
      <c r="E3" s="851"/>
      <c r="F3" s="852"/>
      <c r="G3" s="851"/>
      <c r="H3" s="851"/>
      <c r="I3" s="851"/>
      <c r="J3" s="851"/>
      <c r="K3" s="853"/>
      <c r="L3" s="854"/>
      <c r="M3" s="855"/>
      <c r="N3" s="855"/>
      <c r="O3" s="855"/>
      <c r="P3" s="340"/>
      <c r="Q3" s="340"/>
      <c r="R3" s="340"/>
      <c r="S3" s="340"/>
      <c r="T3" s="340"/>
      <c r="U3" s="340"/>
      <c r="V3" s="340"/>
      <c r="W3" s="340"/>
      <c r="X3" s="340"/>
      <c r="Y3" s="340"/>
      <c r="Z3" s="340"/>
      <c r="AA3" s="340"/>
      <c r="AB3" s="674"/>
      <c r="AC3" s="661"/>
    </row>
    <row r="4" spans="1:29" ht="15">
      <c r="A4" s="344" t="s">
        <v>1766</v>
      </c>
      <c r="B4" s="345"/>
      <c r="C4" s="3451" t="s">
        <v>1767</v>
      </c>
      <c r="D4" s="3452"/>
      <c r="E4" s="3453" t="s">
        <v>1768</v>
      </c>
      <c r="F4" s="3454"/>
      <c r="G4" s="3451" t="s">
        <v>1769</v>
      </c>
      <c r="H4" s="3452"/>
      <c r="I4" s="3451" t="s">
        <v>1770</v>
      </c>
      <c r="J4" s="3452"/>
      <c r="K4" s="536" t="s">
        <v>1771</v>
      </c>
      <c r="L4" s="856"/>
      <c r="M4" s="857"/>
      <c r="N4" s="857"/>
      <c r="O4" s="857"/>
      <c r="P4" s="3455" t="s">
        <v>1772</v>
      </c>
      <c r="Q4" s="3456"/>
      <c r="R4" s="3461" t="s">
        <v>1768</v>
      </c>
      <c r="S4" s="3462"/>
      <c r="T4" s="3461" t="s">
        <v>1769</v>
      </c>
      <c r="U4" s="3462"/>
      <c r="V4" s="3437" t="s">
        <v>1770</v>
      </c>
      <c r="W4" s="3437"/>
      <c r="X4" s="1258"/>
      <c r="Y4" s="3461" t="s">
        <v>1772</v>
      </c>
      <c r="Z4" s="3462"/>
      <c r="AA4" s="3448" t="s">
        <v>1768</v>
      </c>
      <c r="AB4" s="3449" t="s">
        <v>1769</v>
      </c>
      <c r="AC4" s="3448" t="s">
        <v>1770</v>
      </c>
    </row>
    <row r="5" spans="1:29" ht="15">
      <c r="A5" s="347"/>
      <c r="B5" s="348"/>
      <c r="C5" s="3469" t="s">
        <v>1670</v>
      </c>
      <c r="D5" s="3470"/>
      <c r="E5" s="3476" t="s">
        <v>1671</v>
      </c>
      <c r="F5" s="3477"/>
      <c r="G5" s="3469" t="s">
        <v>1672</v>
      </c>
      <c r="H5" s="3470"/>
      <c r="I5" s="3469" t="s">
        <v>1673</v>
      </c>
      <c r="J5" s="3470"/>
      <c r="K5" s="536"/>
      <c r="L5" s="856"/>
      <c r="M5" s="857"/>
      <c r="N5" s="857"/>
      <c r="O5" s="857"/>
      <c r="P5" s="3457"/>
      <c r="Q5" s="3458"/>
      <c r="R5" s="3463"/>
      <c r="S5" s="3464"/>
      <c r="T5" s="3463"/>
      <c r="U5" s="3464"/>
      <c r="V5" s="3437"/>
      <c r="W5" s="3437"/>
      <c r="X5" s="1258"/>
      <c r="Y5" s="3463"/>
      <c r="Z5" s="3464"/>
      <c r="AA5" s="3449"/>
      <c r="AB5" s="3449"/>
      <c r="AC5" s="3449"/>
    </row>
    <row r="6" spans="1:29" ht="15.75" thickBot="1">
      <c r="A6" s="349"/>
      <c r="B6" s="350"/>
      <c r="C6" s="3467" t="s">
        <v>1674</v>
      </c>
      <c r="D6" s="3468"/>
      <c r="E6" s="3474" t="s">
        <v>1674</v>
      </c>
      <c r="F6" s="3475"/>
      <c r="G6" s="3467" t="s">
        <v>1674</v>
      </c>
      <c r="H6" s="3468"/>
      <c r="I6" s="3467" t="s">
        <v>1674</v>
      </c>
      <c r="J6" s="3468"/>
      <c r="K6" s="536" t="s">
        <v>1675</v>
      </c>
      <c r="L6" s="856"/>
      <c r="M6" s="857"/>
      <c r="N6" s="857"/>
      <c r="O6" s="857"/>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SUMIF(52:52,YEAR(E7)&amp;"-"&amp;MONTH(E7),53:53)</f>
        <v>0</v>
      </c>
      <c r="G7" s="355"/>
      <c r="H7" s="354">
        <f>SUMIF(52:52,YEAR(G7)&amp;"-"&amp;MONTH(G7),53:53)</f>
        <v>0</v>
      </c>
      <c r="I7" s="355"/>
      <c r="J7" s="354">
        <f>SUMIF(52:52,YEAR(I7)&amp;"-"&amp;MONTH(I7),53:53)</f>
        <v>0</v>
      </c>
      <c r="K7" s="38"/>
      <c r="L7" s="858"/>
      <c r="M7" s="859"/>
      <c r="N7" s="859"/>
      <c r="O7" s="859"/>
      <c r="P7" s="3471" t="s">
        <v>1677</v>
      </c>
      <c r="Q7" s="3473"/>
      <c r="R7" s="662" t="s">
        <v>14</v>
      </c>
      <c r="S7" s="663">
        <f t="shared" ref="S7:S15" si="0">F7</f>
        <v>0</v>
      </c>
      <c r="T7" s="662" t="s">
        <v>14</v>
      </c>
      <c r="U7" s="663">
        <f t="shared" ref="U7:U15" si="1">H7</f>
        <v>0</v>
      </c>
      <c r="V7" s="662" t="s">
        <v>14</v>
      </c>
      <c r="W7" s="663">
        <f t="shared" ref="W7:W15" si="2">J7</f>
        <v>0</v>
      </c>
      <c r="X7" s="664"/>
      <c r="Y7" s="3471" t="s">
        <v>1677</v>
      </c>
      <c r="Z7" s="3472"/>
      <c r="AA7" s="50" t="e">
        <f>D7/F7</f>
        <v>#DIV/0!</v>
      </c>
      <c r="AB7" s="50" t="e">
        <f>D7/H7</f>
        <v>#DIV/0!</v>
      </c>
      <c r="AC7" s="50" t="e">
        <f>D7/J7</f>
        <v>#DIV/0!</v>
      </c>
    </row>
    <row r="8" spans="1:29" s="102"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471" t="s">
        <v>1680</v>
      </c>
      <c r="Q8" s="3472"/>
      <c r="R8" s="662" t="s">
        <v>14</v>
      </c>
      <c r="S8" s="663">
        <f t="shared" si="0"/>
        <v>100</v>
      </c>
      <c r="T8" s="662" t="s">
        <v>14</v>
      </c>
      <c r="U8" s="663">
        <f t="shared" si="1"/>
        <v>100</v>
      </c>
      <c r="V8" s="662" t="s">
        <v>14</v>
      </c>
      <c r="W8" s="663">
        <f t="shared" si="2"/>
        <v>100</v>
      </c>
      <c r="X8" s="664"/>
      <c r="Y8" s="3471" t="s">
        <v>1680</v>
      </c>
      <c r="Z8" s="3472"/>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58"/>
      <c r="M9" s="859"/>
      <c r="N9" s="859"/>
      <c r="O9" s="860"/>
      <c r="P9" s="3436"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50">
        <f t="shared" si="5"/>
        <v>1</v>
      </c>
    </row>
    <row r="10" spans="1:29" s="365" customFormat="1" ht="27">
      <c r="A10" s="362"/>
      <c r="B10" s="363" t="s">
        <v>1685</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36"/>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436"/>
      <c r="Q11" s="529" t="str">
        <f t="shared" si="6"/>
        <v>容积率</v>
      </c>
      <c r="R11" s="662" t="s">
        <v>14</v>
      </c>
      <c r="S11" s="663">
        <f t="shared" si="0"/>
        <v>100</v>
      </c>
      <c r="T11" s="662" t="s">
        <v>14</v>
      </c>
      <c r="U11" s="663">
        <f t="shared" si="1"/>
        <v>100</v>
      </c>
      <c r="V11" s="662" t="s">
        <v>14</v>
      </c>
      <c r="W11" s="663">
        <f t="shared" si="2"/>
        <v>100</v>
      </c>
      <c r="X11" s="664"/>
      <c r="Y11" s="3292"/>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1"/>
      <c r="H12" s="118">
        <f>SUMIF(64:64,G12,65:65)-SUMIF(64:64,C12,65:65)+100</f>
        <v>100</v>
      </c>
      <c r="I12" s="406"/>
      <c r="J12" s="118">
        <f>SUMIF(64:64,I12,65:65)-SUMIF(64:64,C12,65:65)+100</f>
        <v>100</v>
      </c>
      <c r="K12" s="538"/>
      <c r="L12" s="858"/>
      <c r="M12" s="859"/>
      <c r="N12" s="859"/>
      <c r="O12" s="860"/>
      <c r="P12" s="3436"/>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1"/>
      <c r="H13" s="373">
        <f>SUMIF(66:66,G13,67:67)-SUMIF(66:66,C13,67:67)+100</f>
        <v>100</v>
      </c>
      <c r="I13" s="406"/>
      <c r="J13" s="373">
        <f>SUMIF(66:66,I13,67:67)-SUMIF(66:66,C13,67:67)+100</f>
        <v>100</v>
      </c>
      <c r="K13" s="538"/>
      <c r="L13" s="866"/>
      <c r="M13" s="857"/>
      <c r="N13" s="857"/>
      <c r="O13" s="865"/>
      <c r="P13" s="3436"/>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thickBot="1">
      <c r="A14" s="374"/>
      <c r="B14" s="1742">
        <v>111</v>
      </c>
      <c r="C14" s="375"/>
      <c r="D14" s="376">
        <v>100</v>
      </c>
      <c r="E14" s="375"/>
      <c r="F14" s="376">
        <f>SUMIF(68:68,E14,69:69)-SUMIF(68:68,C14,69:69)+100</f>
        <v>100</v>
      </c>
      <c r="G14" s="1811"/>
      <c r="H14" s="376">
        <f>SUMIF(68:68,G14,69:69)-SUMIF(68:68,C14,69:69)+100</f>
        <v>100</v>
      </c>
      <c r="I14" s="406"/>
      <c r="J14" s="376">
        <f>SUMIF(68:68,I14,69:69)-SUMIF(68:68,C14,69:69)+100</f>
        <v>100</v>
      </c>
      <c r="K14" s="538"/>
      <c r="L14" s="866"/>
      <c r="M14" s="857"/>
      <c r="N14" s="857"/>
      <c r="O14" s="865"/>
      <c r="P14" s="3436"/>
      <c r="Q14" s="529">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8" t="s">
        <v>1687</v>
      </c>
      <c r="B15" s="58" t="s">
        <v>1824</v>
      </c>
      <c r="C15" s="1812">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438" t="s">
        <v>1688</v>
      </c>
      <c r="Q15" s="1256" t="str">
        <f t="shared" si="6"/>
        <v>产业集聚程度</v>
      </c>
      <c r="R15" s="665" t="s">
        <v>14</v>
      </c>
      <c r="S15" s="666">
        <f t="shared" si="0"/>
        <v>100</v>
      </c>
      <c r="T15" s="665" t="s">
        <v>14</v>
      </c>
      <c r="U15" s="666">
        <f t="shared" si="1"/>
        <v>100</v>
      </c>
      <c r="V15" s="665" t="s">
        <v>14</v>
      </c>
      <c r="W15" s="666">
        <f t="shared" si="2"/>
        <v>100</v>
      </c>
      <c r="X15" s="1258"/>
      <c r="Y15" s="3438" t="s">
        <v>1688</v>
      </c>
      <c r="Z15" s="1257" t="str">
        <f t="shared" si="7"/>
        <v>产业集聚程度</v>
      </c>
      <c r="AA15" s="1257">
        <f t="shared" si="3"/>
        <v>1</v>
      </c>
      <c r="AB15" s="1257">
        <f t="shared" si="4"/>
        <v>1</v>
      </c>
      <c r="AC15" s="1257">
        <f t="shared" si="5"/>
        <v>1</v>
      </c>
    </row>
    <row r="16" spans="1:29" ht="15">
      <c r="A16" s="366"/>
      <c r="B16" s="384"/>
      <c r="C16" s="385"/>
      <c r="D16" s="386"/>
      <c r="E16" s="385"/>
      <c r="F16" s="387"/>
      <c r="G16" s="385"/>
      <c r="H16" s="388"/>
      <c r="I16" s="385"/>
      <c r="J16" s="386"/>
      <c r="K16" s="540"/>
      <c r="L16" s="866"/>
      <c r="M16" s="857"/>
      <c r="N16" s="857"/>
      <c r="O16" s="865"/>
      <c r="P16" s="3439"/>
      <c r="Q16" s="1256"/>
      <c r="R16" s="665"/>
      <c r="S16" s="666"/>
      <c r="T16" s="665"/>
      <c r="U16" s="666"/>
      <c r="V16" s="665"/>
      <c r="W16" s="666"/>
      <c r="X16" s="1258"/>
      <c r="Y16" s="3439"/>
      <c r="Z16" s="1257"/>
      <c r="AA16" s="1257">
        <v>1</v>
      </c>
      <c r="AB16" s="1257">
        <v>1</v>
      </c>
      <c r="AC16" s="1257">
        <v>1</v>
      </c>
    </row>
    <row r="17" spans="1:29" ht="15">
      <c r="A17" s="366"/>
      <c r="B17" s="389" t="s">
        <v>1256</v>
      </c>
      <c r="C17" s="1747">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439"/>
      <c r="Q17" s="1256" t="str">
        <f>B17</f>
        <v>交通便捷度</v>
      </c>
      <c r="R17" s="665" t="s">
        <v>14</v>
      </c>
      <c r="S17" s="666">
        <f>F17</f>
        <v>100</v>
      </c>
      <c r="T17" s="665" t="s">
        <v>14</v>
      </c>
      <c r="U17" s="666">
        <f>H17</f>
        <v>100</v>
      </c>
      <c r="V17" s="665" t="s">
        <v>14</v>
      </c>
      <c r="W17" s="666">
        <f>J17</f>
        <v>100</v>
      </c>
      <c r="X17" s="1258"/>
      <c r="Y17" s="3439"/>
      <c r="Z17" s="1257" t="str">
        <f>Q17</f>
        <v>交通便捷度</v>
      </c>
      <c r="AA17" s="1257">
        <f t="shared" si="3"/>
        <v>1</v>
      </c>
      <c r="AB17" s="1257">
        <f t="shared" si="4"/>
        <v>1</v>
      </c>
      <c r="AC17" s="1257">
        <f t="shared" si="5"/>
        <v>1</v>
      </c>
    </row>
    <row r="18" spans="1:29" ht="15">
      <c r="A18" s="366"/>
      <c r="B18" s="394"/>
      <c r="C18" s="1748"/>
      <c r="D18" s="388"/>
      <c r="E18" s="1750"/>
      <c r="F18" s="391"/>
      <c r="G18" s="1749"/>
      <c r="H18" s="386"/>
      <c r="I18" s="1750"/>
      <c r="J18" s="386"/>
      <c r="K18" s="540"/>
      <c r="L18" s="866"/>
      <c r="M18" s="857"/>
      <c r="N18" s="857"/>
      <c r="O18" s="865"/>
      <c r="P18" s="3439"/>
      <c r="Q18" s="1256"/>
      <c r="R18" s="665"/>
      <c r="S18" s="666"/>
      <c r="T18" s="665"/>
      <c r="U18" s="666"/>
      <c r="V18" s="665"/>
      <c r="W18" s="666"/>
      <c r="X18" s="1258"/>
      <c r="Y18" s="3439"/>
      <c r="Z18" s="1257"/>
      <c r="AA18" s="1257">
        <v>1</v>
      </c>
      <c r="AB18" s="1257">
        <v>1</v>
      </c>
      <c r="AC18" s="1257">
        <v>1</v>
      </c>
    </row>
    <row r="19" spans="1:29" ht="15">
      <c r="A19" s="366"/>
      <c r="B19" s="389" t="s">
        <v>1809</v>
      </c>
      <c r="C19" s="1747">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439"/>
      <c r="Q19" s="1256" t="str">
        <f>B19</f>
        <v>公共配套设施</v>
      </c>
      <c r="R19" s="665" t="s">
        <v>14</v>
      </c>
      <c r="S19" s="666">
        <f>F19</f>
        <v>100</v>
      </c>
      <c r="T19" s="665" t="s">
        <v>14</v>
      </c>
      <c r="U19" s="666">
        <f>H19</f>
        <v>100</v>
      </c>
      <c r="V19" s="665" t="s">
        <v>14</v>
      </c>
      <c r="W19" s="666">
        <f>J19</f>
        <v>100</v>
      </c>
      <c r="X19" s="1258"/>
      <c r="Y19" s="3439"/>
      <c r="Z19" s="1257" t="str">
        <f>Q19</f>
        <v>公共配套设施</v>
      </c>
      <c r="AA19" s="1257">
        <f t="shared" si="3"/>
        <v>1</v>
      </c>
      <c r="AB19" s="1257">
        <f t="shared" si="4"/>
        <v>1</v>
      </c>
      <c r="AC19" s="1257">
        <f t="shared" si="5"/>
        <v>1</v>
      </c>
    </row>
    <row r="20" spans="1:29" ht="15">
      <c r="A20" s="366"/>
      <c r="B20" s="394"/>
      <c r="C20" s="385"/>
      <c r="D20" s="386"/>
      <c r="E20" s="1745"/>
      <c r="F20" s="387"/>
      <c r="G20" s="1744"/>
      <c r="H20" s="386"/>
      <c r="I20" s="1745"/>
      <c r="J20" s="386"/>
      <c r="K20" s="540"/>
      <c r="L20" s="866"/>
      <c r="M20" s="857"/>
      <c r="N20" s="857"/>
      <c r="O20" s="865"/>
      <c r="P20" s="3439"/>
      <c r="Q20" s="1256"/>
      <c r="R20" s="665"/>
      <c r="S20" s="666"/>
      <c r="T20" s="665"/>
      <c r="U20" s="666"/>
      <c r="V20" s="665"/>
      <c r="W20" s="666"/>
      <c r="X20" s="1258"/>
      <c r="Y20" s="3439"/>
      <c r="Z20" s="1257"/>
      <c r="AA20" s="1257">
        <v>1</v>
      </c>
      <c r="AB20" s="1257">
        <v>1</v>
      </c>
      <c r="AC20" s="1257">
        <v>1</v>
      </c>
    </row>
    <row r="21" spans="1:29" ht="15">
      <c r="A21" s="366"/>
      <c r="B21" s="584" t="s">
        <v>1810</v>
      </c>
      <c r="C21" s="1747">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439"/>
      <c r="Q21" s="1256" t="str">
        <f>B21</f>
        <v>基础设施水平</v>
      </c>
      <c r="R21" s="665" t="s">
        <v>14</v>
      </c>
      <c r="S21" s="666">
        <f>F21</f>
        <v>100</v>
      </c>
      <c r="T21" s="665" t="s">
        <v>14</v>
      </c>
      <c r="U21" s="666">
        <f>H21</f>
        <v>100</v>
      </c>
      <c r="V21" s="665" t="s">
        <v>14</v>
      </c>
      <c r="W21" s="666">
        <f>J21</f>
        <v>100</v>
      </c>
      <c r="X21" s="1258"/>
      <c r="Y21" s="3439"/>
      <c r="Z21" s="1257" t="str">
        <f>Q21</f>
        <v>基础设施水平</v>
      </c>
      <c r="AA21" s="1257">
        <f t="shared" ref="AA21" si="8">D21/F21</f>
        <v>1</v>
      </c>
      <c r="AB21" s="1257">
        <f t="shared" ref="AB21" si="9">D21/H21</f>
        <v>1</v>
      </c>
      <c r="AC21" s="1257">
        <f t="shared" ref="AC21" si="10">D21/J21</f>
        <v>1</v>
      </c>
    </row>
    <row r="22" spans="1:29" ht="15">
      <c r="A22" s="366"/>
      <c r="B22" s="584"/>
      <c r="C22" s="1748"/>
      <c r="D22" s="386"/>
      <c r="E22" s="385"/>
      <c r="F22" s="387"/>
      <c r="G22" s="385"/>
      <c r="H22" s="386"/>
      <c r="I22" s="385"/>
      <c r="J22" s="386"/>
      <c r="K22" s="1059"/>
      <c r="L22" s="866"/>
      <c r="M22" s="857"/>
      <c r="N22" s="857"/>
      <c r="O22" s="865"/>
      <c r="P22" s="3439"/>
      <c r="Q22" s="1256"/>
      <c r="R22" s="665"/>
      <c r="S22" s="666"/>
      <c r="T22" s="665"/>
      <c r="U22" s="666"/>
      <c r="V22" s="665"/>
      <c r="W22" s="666"/>
      <c r="X22" s="1258"/>
      <c r="Y22" s="3439"/>
      <c r="Z22" s="1257"/>
      <c r="AA22" s="1257">
        <v>1</v>
      </c>
      <c r="AB22" s="1257">
        <v>1</v>
      </c>
      <c r="AC22" s="1257">
        <v>1</v>
      </c>
    </row>
    <row r="23" spans="1:29" ht="15">
      <c r="A23" s="366"/>
      <c r="B23" s="389" t="s">
        <v>1811</v>
      </c>
      <c r="C23" s="1747">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439"/>
      <c r="Q23" s="1256" t="str">
        <f>B23</f>
        <v>环境质量</v>
      </c>
      <c r="R23" s="665" t="s">
        <v>14</v>
      </c>
      <c r="S23" s="666">
        <f>F23</f>
        <v>100</v>
      </c>
      <c r="T23" s="665" t="s">
        <v>14</v>
      </c>
      <c r="U23" s="666">
        <f>H23</f>
        <v>100</v>
      </c>
      <c r="V23" s="665" t="s">
        <v>14</v>
      </c>
      <c r="W23" s="666">
        <f>J23</f>
        <v>100</v>
      </c>
      <c r="X23" s="1258"/>
      <c r="Y23" s="3439"/>
      <c r="Z23" s="1257" t="str">
        <f>Q23</f>
        <v>环境质量</v>
      </c>
      <c r="AA23" s="1257">
        <f t="shared" si="3"/>
        <v>1</v>
      </c>
      <c r="AB23" s="1257">
        <f t="shared" si="4"/>
        <v>1</v>
      </c>
      <c r="AC23" s="1257">
        <f t="shared" si="5"/>
        <v>1</v>
      </c>
    </row>
    <row r="24" spans="1:29" ht="15">
      <c r="A24" s="366"/>
      <c r="B24" s="584"/>
      <c r="C24" s="385"/>
      <c r="D24" s="386"/>
      <c r="E24" s="1745"/>
      <c r="F24" s="387"/>
      <c r="G24" s="1744"/>
      <c r="H24" s="386"/>
      <c r="I24" s="1745"/>
      <c r="J24" s="386"/>
      <c r="K24" s="540"/>
      <c r="L24" s="866"/>
      <c r="M24" s="857"/>
      <c r="N24" s="857"/>
      <c r="O24" s="865"/>
      <c r="P24" s="3439"/>
      <c r="Q24" s="1256"/>
      <c r="R24" s="665"/>
      <c r="S24" s="666"/>
      <c r="T24" s="665"/>
      <c r="U24" s="666"/>
      <c r="V24" s="665"/>
      <c r="W24" s="666"/>
      <c r="X24" s="1258"/>
      <c r="Y24" s="3439"/>
      <c r="Z24" s="1257"/>
      <c r="AA24" s="1257">
        <v>1</v>
      </c>
      <c r="AB24" s="1257">
        <v>1</v>
      </c>
      <c r="AC24" s="1257">
        <v>1</v>
      </c>
    </row>
    <row r="25" spans="1:29" ht="15">
      <c r="A25" s="347"/>
      <c r="B25" s="1061">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439"/>
      <c r="Q25" s="1256">
        <f>B25</f>
        <v>111</v>
      </c>
      <c r="R25" s="665" t="s">
        <v>14</v>
      </c>
      <c r="S25" s="666">
        <f>F25</f>
        <v>100</v>
      </c>
      <c r="T25" s="665" t="s">
        <v>14</v>
      </c>
      <c r="U25" s="666">
        <f>H25</f>
        <v>100</v>
      </c>
      <c r="V25" s="665" t="s">
        <v>14</v>
      </c>
      <c r="W25" s="666">
        <f>J25</f>
        <v>100</v>
      </c>
      <c r="X25" s="1258"/>
      <c r="Y25" s="3439"/>
      <c r="Z25" s="1257">
        <f>Q25</f>
        <v>111</v>
      </c>
      <c r="AA25" s="1257">
        <f t="shared" si="3"/>
        <v>1</v>
      </c>
      <c r="AB25" s="1257">
        <f t="shared" si="4"/>
        <v>1</v>
      </c>
      <c r="AC25" s="1257">
        <f t="shared" si="5"/>
        <v>1</v>
      </c>
    </row>
    <row r="26" spans="1:29" ht="15">
      <c r="A26" s="366"/>
      <c r="B26" s="1061">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439"/>
      <c r="Q26" s="1256">
        <f t="shared" ref="Q26:Q40" si="11">B26</f>
        <v>111</v>
      </c>
      <c r="R26" s="665" t="s">
        <v>14</v>
      </c>
      <c r="S26" s="666">
        <f>F26</f>
        <v>100</v>
      </c>
      <c r="T26" s="665" t="s">
        <v>14</v>
      </c>
      <c r="U26" s="666">
        <f>H26</f>
        <v>100</v>
      </c>
      <c r="V26" s="665" t="s">
        <v>14</v>
      </c>
      <c r="W26" s="666">
        <f>J26</f>
        <v>100</v>
      </c>
      <c r="X26" s="1258"/>
      <c r="Y26" s="3439"/>
      <c r="Z26" s="1257">
        <f>Q26</f>
        <v>111</v>
      </c>
      <c r="AA26" s="1257">
        <f t="shared" si="3"/>
        <v>1</v>
      </c>
      <c r="AB26" s="1257">
        <f t="shared" si="4"/>
        <v>1</v>
      </c>
      <c r="AC26" s="1257">
        <f t="shared" si="5"/>
        <v>1</v>
      </c>
    </row>
    <row r="27" spans="1:29" s="102" customFormat="1" ht="15">
      <c r="A27" s="369"/>
      <c r="B27" s="1061">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439"/>
      <c r="Q27" s="529">
        <f t="shared" si="11"/>
        <v>111</v>
      </c>
      <c r="R27" s="662" t="s">
        <v>14</v>
      </c>
      <c r="S27" s="663">
        <f>F27</f>
        <v>100</v>
      </c>
      <c r="T27" s="662" t="s">
        <v>14</v>
      </c>
      <c r="U27" s="663">
        <f>H27</f>
        <v>100</v>
      </c>
      <c r="V27" s="662" t="s">
        <v>14</v>
      </c>
      <c r="W27" s="663">
        <f>J27</f>
        <v>100</v>
      </c>
      <c r="X27" s="664"/>
      <c r="Y27" s="3439"/>
      <c r="Z27" s="50">
        <f>Q27</f>
        <v>111</v>
      </c>
      <c r="AA27" s="1257">
        <f>D27/F27</f>
        <v>1</v>
      </c>
      <c r="AB27" s="1257">
        <f>D27/H27</f>
        <v>1</v>
      </c>
      <c r="AC27" s="1257">
        <f>D27/J27</f>
        <v>1</v>
      </c>
    </row>
    <row r="28" spans="1:29" ht="15.75" thickBot="1">
      <c r="A28" s="374"/>
      <c r="B28" s="1061">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439"/>
      <c r="Q28" s="1256">
        <f t="shared" si="11"/>
        <v>111</v>
      </c>
      <c r="R28" s="665" t="s">
        <v>14</v>
      </c>
      <c r="S28" s="666">
        <f t="shared" ref="S28:S40" si="12">F28</f>
        <v>100</v>
      </c>
      <c r="T28" s="665" t="s">
        <v>14</v>
      </c>
      <c r="U28" s="666">
        <f t="shared" ref="U28:U40" si="13">H28</f>
        <v>100</v>
      </c>
      <c r="V28" s="665" t="s">
        <v>14</v>
      </c>
      <c r="W28" s="666">
        <f t="shared" ref="W28:W40" si="14">J28</f>
        <v>100</v>
      </c>
      <c r="X28" s="1258"/>
      <c r="Y28" s="3439"/>
      <c r="Z28" s="1257">
        <f t="shared" ref="Z28:Z40" si="15">Q28</f>
        <v>111</v>
      </c>
      <c r="AA28" s="1257">
        <f t="shared" si="3"/>
        <v>1</v>
      </c>
      <c r="AB28" s="1257">
        <f t="shared" si="4"/>
        <v>1</v>
      </c>
      <c r="AC28" s="1257">
        <f t="shared" si="5"/>
        <v>1</v>
      </c>
    </row>
    <row r="29" spans="1:29" ht="28.5">
      <c r="A29" s="403" t="s">
        <v>1691</v>
      </c>
      <c r="B29" s="60" t="s">
        <v>1814</v>
      </c>
      <c r="C29" s="1757"/>
      <c r="D29" s="404">
        <v>100</v>
      </c>
      <c r="E29" s="1757"/>
      <c r="F29" s="399">
        <f>SUMIF(88:88,E29,89:89)-SUMIF(88:88,C29,89:89)+100</f>
        <v>100</v>
      </c>
      <c r="G29" s="1757"/>
      <c r="H29" s="373">
        <f>SUMIF(88:88,G29,89:89)-SUMIF(88:88,C29,89:89)+100</f>
        <v>100</v>
      </c>
      <c r="I29" s="1757"/>
      <c r="J29" s="404">
        <f>SUMIF(88:88,I29,89:89)-SUMIF(88:88,C29,89:89)+100</f>
        <v>100</v>
      </c>
      <c r="K29" s="537"/>
      <c r="L29" s="866"/>
      <c r="M29" s="857"/>
      <c r="N29" s="857"/>
      <c r="O29" s="865"/>
      <c r="P29" s="3486" t="s">
        <v>1693</v>
      </c>
      <c r="Q29" s="1256" t="str">
        <f t="shared" si="11"/>
        <v>建筑类型</v>
      </c>
      <c r="R29" s="665" t="s">
        <v>14</v>
      </c>
      <c r="S29" s="666">
        <f t="shared" si="12"/>
        <v>100</v>
      </c>
      <c r="T29" s="665" t="s">
        <v>14</v>
      </c>
      <c r="U29" s="666">
        <f t="shared" si="13"/>
        <v>100</v>
      </c>
      <c r="V29" s="665" t="s">
        <v>14</v>
      </c>
      <c r="W29" s="666">
        <f t="shared" si="14"/>
        <v>100</v>
      </c>
      <c r="X29" s="1258"/>
      <c r="Y29" s="3443" t="s">
        <v>1693</v>
      </c>
      <c r="Z29" s="1257" t="str">
        <f t="shared" si="15"/>
        <v>建筑类型</v>
      </c>
      <c r="AA29" s="1257">
        <f t="shared" si="3"/>
        <v>1</v>
      </c>
      <c r="AB29" s="1257">
        <f t="shared" si="4"/>
        <v>1</v>
      </c>
      <c r="AC29" s="1257">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443"/>
      <c r="Q30" s="530" t="str">
        <f t="shared" si="11"/>
        <v>项目建筑规模</v>
      </c>
      <c r="R30" s="667" t="s">
        <v>14</v>
      </c>
      <c r="S30" s="668" t="e">
        <f t="shared" si="12"/>
        <v>#N/A</v>
      </c>
      <c r="T30" s="667" t="s">
        <v>14</v>
      </c>
      <c r="U30" s="668" t="e">
        <f t="shared" si="13"/>
        <v>#N/A</v>
      </c>
      <c r="V30" s="667" t="s">
        <v>14</v>
      </c>
      <c r="W30" s="668" t="e">
        <f t="shared" si="14"/>
        <v>#N/A</v>
      </c>
      <c r="X30" s="669"/>
      <c r="Y30" s="3443"/>
      <c r="Z30" s="670" t="str">
        <f t="shared" si="15"/>
        <v>项目建筑规模</v>
      </c>
      <c r="AA30" s="1257" t="e">
        <f t="shared" si="3"/>
        <v>#N/A</v>
      </c>
      <c r="AB30" s="1257" t="e">
        <f t="shared" si="4"/>
        <v>#N/A</v>
      </c>
      <c r="AC30" s="1257"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443"/>
      <c r="Q31" s="1256" t="str">
        <f t="shared" si="11"/>
        <v>建筑结构</v>
      </c>
      <c r="R31" s="665" t="s">
        <v>14</v>
      </c>
      <c r="S31" s="666">
        <f t="shared" si="12"/>
        <v>100</v>
      </c>
      <c r="T31" s="665" t="s">
        <v>14</v>
      </c>
      <c r="U31" s="666">
        <f t="shared" si="13"/>
        <v>100</v>
      </c>
      <c r="V31" s="665" t="s">
        <v>14</v>
      </c>
      <c r="W31" s="666">
        <f t="shared" si="14"/>
        <v>100</v>
      </c>
      <c r="X31" s="1258"/>
      <c r="Y31" s="3443"/>
      <c r="Z31" s="1257" t="str">
        <f t="shared" si="15"/>
        <v>建筑结构</v>
      </c>
      <c r="AA31" s="1257">
        <f t="shared" si="3"/>
        <v>1</v>
      </c>
      <c r="AB31" s="1257">
        <f t="shared" si="4"/>
        <v>1</v>
      </c>
      <c r="AC31" s="1257">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443"/>
      <c r="Q32" s="1256" t="str">
        <f t="shared" si="11"/>
        <v>公共部分装修</v>
      </c>
      <c r="R32" s="665" t="s">
        <v>14</v>
      </c>
      <c r="S32" s="666">
        <f t="shared" si="12"/>
        <v>100</v>
      </c>
      <c r="T32" s="665" t="s">
        <v>14</v>
      </c>
      <c r="U32" s="666">
        <f t="shared" si="13"/>
        <v>100</v>
      </c>
      <c r="V32" s="665" t="s">
        <v>14</v>
      </c>
      <c r="W32" s="666">
        <f t="shared" si="14"/>
        <v>100</v>
      </c>
      <c r="X32" s="1258"/>
      <c r="Y32" s="3443"/>
      <c r="Z32" s="1257" t="str">
        <f t="shared" si="15"/>
        <v>公共部分装修</v>
      </c>
      <c r="AA32" s="1257">
        <f t="shared" si="3"/>
        <v>1</v>
      </c>
      <c r="AB32" s="1257">
        <f t="shared" si="4"/>
        <v>1</v>
      </c>
      <c r="AC32" s="1257">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443"/>
      <c r="Q33" s="1256" t="str">
        <f t="shared" si="11"/>
        <v>成新度</v>
      </c>
      <c r="R33" s="665" t="s">
        <v>14</v>
      </c>
      <c r="S33" s="666" t="e">
        <f t="shared" si="12"/>
        <v>#N/A</v>
      </c>
      <c r="T33" s="665" t="s">
        <v>14</v>
      </c>
      <c r="U33" s="666" t="e">
        <f t="shared" si="13"/>
        <v>#N/A</v>
      </c>
      <c r="V33" s="665" t="s">
        <v>14</v>
      </c>
      <c r="W33" s="666" t="e">
        <f t="shared" si="14"/>
        <v>#N/A</v>
      </c>
      <c r="X33" s="1258"/>
      <c r="Y33" s="3443"/>
      <c r="Z33" s="1257" t="str">
        <f t="shared" si="15"/>
        <v>成新度</v>
      </c>
      <c r="AA33" s="1257" t="e">
        <f t="shared" si="3"/>
        <v>#N/A</v>
      </c>
      <c r="AB33" s="1257" t="e">
        <f t="shared" si="4"/>
        <v>#N/A</v>
      </c>
      <c r="AC33" s="1257" t="e">
        <f t="shared" si="5"/>
        <v>#N/A</v>
      </c>
    </row>
    <row r="34" spans="1:29" s="102"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443"/>
      <c r="Q34" s="529" t="str">
        <f t="shared" si="11"/>
        <v>物业管理</v>
      </c>
      <c r="R34" s="662" t="s">
        <v>14</v>
      </c>
      <c r="S34" s="663">
        <f t="shared" si="12"/>
        <v>100</v>
      </c>
      <c r="T34" s="662" t="s">
        <v>14</v>
      </c>
      <c r="U34" s="663">
        <f t="shared" si="13"/>
        <v>100</v>
      </c>
      <c r="V34" s="662" t="s">
        <v>14</v>
      </c>
      <c r="W34" s="663">
        <f t="shared" si="14"/>
        <v>100</v>
      </c>
      <c r="X34" s="664"/>
      <c r="Y34" s="3443"/>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443" t="s">
        <v>1693</v>
      </c>
      <c r="Q35" s="1256" t="str">
        <f t="shared" si="11"/>
        <v>市政基础设施</v>
      </c>
      <c r="R35" s="665" t="s">
        <v>14</v>
      </c>
      <c r="S35" s="666">
        <f t="shared" si="12"/>
        <v>100</v>
      </c>
      <c r="T35" s="665" t="s">
        <v>14</v>
      </c>
      <c r="U35" s="666">
        <f t="shared" si="13"/>
        <v>100</v>
      </c>
      <c r="V35" s="665" t="s">
        <v>14</v>
      </c>
      <c r="W35" s="666">
        <f t="shared" si="14"/>
        <v>100</v>
      </c>
      <c r="X35" s="1258"/>
      <c r="Y35" s="3443" t="s">
        <v>1693</v>
      </c>
      <c r="Z35" s="1257" t="str">
        <f t="shared" si="15"/>
        <v>市政基础设施</v>
      </c>
      <c r="AA35" s="1257">
        <f t="shared" si="3"/>
        <v>1</v>
      </c>
      <c r="AB35" s="1257">
        <f t="shared" si="4"/>
        <v>1</v>
      </c>
      <c r="AC35" s="1257">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443"/>
      <c r="Q36" s="1256" t="str">
        <f t="shared" si="11"/>
        <v>内部装修</v>
      </c>
      <c r="R36" s="665" t="s">
        <v>14</v>
      </c>
      <c r="S36" s="666">
        <f t="shared" si="12"/>
        <v>100</v>
      </c>
      <c r="T36" s="665" t="s">
        <v>14</v>
      </c>
      <c r="U36" s="666">
        <f t="shared" si="13"/>
        <v>100</v>
      </c>
      <c r="V36" s="665" t="s">
        <v>14</v>
      </c>
      <c r="W36" s="666">
        <f t="shared" si="14"/>
        <v>100</v>
      </c>
      <c r="X36" s="1258"/>
      <c r="Y36" s="3443"/>
      <c r="Z36" s="1257" t="str">
        <f t="shared" si="15"/>
        <v>内部装修</v>
      </c>
      <c r="AA36" s="1257">
        <f t="shared" si="3"/>
        <v>1</v>
      </c>
      <c r="AB36" s="1257">
        <f t="shared" si="4"/>
        <v>1</v>
      </c>
      <c r="AC36" s="1257">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443"/>
      <c r="Q37" s="1256" t="str">
        <f t="shared" si="11"/>
        <v>内部装修状况</v>
      </c>
      <c r="R37" s="665" t="s">
        <v>14</v>
      </c>
      <c r="S37" s="666">
        <f t="shared" si="12"/>
        <v>100</v>
      </c>
      <c r="T37" s="665" t="s">
        <v>14</v>
      </c>
      <c r="U37" s="666">
        <f t="shared" si="13"/>
        <v>100</v>
      </c>
      <c r="V37" s="665" t="s">
        <v>14</v>
      </c>
      <c r="W37" s="666">
        <f t="shared" si="14"/>
        <v>100</v>
      </c>
      <c r="X37" s="1258"/>
      <c r="Y37" s="3443"/>
      <c r="Z37" s="1257" t="str">
        <f t="shared" si="15"/>
        <v>内部装修状况</v>
      </c>
      <c r="AA37" s="1257">
        <f t="shared" si="3"/>
        <v>1</v>
      </c>
      <c r="AB37" s="1257">
        <f t="shared" si="4"/>
        <v>1</v>
      </c>
      <c r="AC37" s="1257">
        <f t="shared" si="5"/>
        <v>1</v>
      </c>
    </row>
    <row r="38" spans="1:29" s="407" customFormat="1" ht="15">
      <c r="A38" s="405"/>
      <c r="B38" s="1061">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443"/>
      <c r="Q38" s="530">
        <f t="shared" si="11"/>
        <v>111</v>
      </c>
      <c r="R38" s="667" t="s">
        <v>14</v>
      </c>
      <c r="S38" s="668">
        <f t="shared" si="12"/>
        <v>100</v>
      </c>
      <c r="T38" s="667" t="s">
        <v>14</v>
      </c>
      <c r="U38" s="668">
        <f t="shared" si="13"/>
        <v>100</v>
      </c>
      <c r="V38" s="667" t="s">
        <v>14</v>
      </c>
      <c r="W38" s="668">
        <f t="shared" si="14"/>
        <v>100</v>
      </c>
      <c r="X38" s="669"/>
      <c r="Y38" s="3443"/>
      <c r="Z38" s="670">
        <f t="shared" si="15"/>
        <v>111</v>
      </c>
      <c r="AA38" s="1257">
        <f t="shared" si="3"/>
        <v>1</v>
      </c>
      <c r="AB38" s="1257">
        <f t="shared" si="4"/>
        <v>1</v>
      </c>
      <c r="AC38" s="1257">
        <f t="shared" si="5"/>
        <v>1</v>
      </c>
    </row>
    <row r="39" spans="1:29" ht="15">
      <c r="A39" s="408"/>
      <c r="B39" s="1061">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443"/>
      <c r="Q39" s="1256">
        <f t="shared" si="11"/>
        <v>111</v>
      </c>
      <c r="R39" s="665" t="s">
        <v>14</v>
      </c>
      <c r="S39" s="666">
        <f t="shared" si="12"/>
        <v>100</v>
      </c>
      <c r="T39" s="665" t="s">
        <v>14</v>
      </c>
      <c r="U39" s="666">
        <f t="shared" si="13"/>
        <v>100</v>
      </c>
      <c r="V39" s="665" t="s">
        <v>14</v>
      </c>
      <c r="W39" s="666">
        <f t="shared" si="14"/>
        <v>100</v>
      </c>
      <c r="X39" s="1258"/>
      <c r="Y39" s="3443"/>
      <c r="Z39" s="1257">
        <f t="shared" si="15"/>
        <v>111</v>
      </c>
      <c r="AA39" s="1257">
        <f t="shared" si="3"/>
        <v>1</v>
      </c>
      <c r="AB39" s="1257">
        <f t="shared" si="4"/>
        <v>1</v>
      </c>
      <c r="AC39" s="1257">
        <f t="shared" si="5"/>
        <v>1</v>
      </c>
    </row>
    <row r="40" spans="1:29" ht="15.75" thickBot="1">
      <c r="A40" s="414"/>
      <c r="B40" s="1742">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444"/>
      <c r="Q40" s="1256">
        <f t="shared" si="11"/>
        <v>111</v>
      </c>
      <c r="R40" s="665" t="s">
        <v>14</v>
      </c>
      <c r="S40" s="666">
        <f t="shared" si="12"/>
        <v>100</v>
      </c>
      <c r="T40" s="665" t="s">
        <v>14</v>
      </c>
      <c r="U40" s="666">
        <f t="shared" si="13"/>
        <v>100</v>
      </c>
      <c r="V40" s="665" t="s">
        <v>14</v>
      </c>
      <c r="W40" s="666">
        <f t="shared" si="14"/>
        <v>100</v>
      </c>
      <c r="X40" s="1258"/>
      <c r="Y40" s="3444"/>
      <c r="Z40" s="1257">
        <f t="shared" si="15"/>
        <v>111</v>
      </c>
      <c r="AA40" s="1257">
        <f t="shared" si="3"/>
        <v>1</v>
      </c>
      <c r="AB40" s="1257">
        <f t="shared" si="4"/>
        <v>1</v>
      </c>
      <c r="AC40" s="1257">
        <f t="shared" si="5"/>
        <v>1</v>
      </c>
    </row>
    <row r="41" spans="1:29" ht="15">
      <c r="A41" s="415" t="s">
        <v>1705</v>
      </c>
      <c r="B41" s="416"/>
      <c r="C41" s="1076" t="s">
        <v>0</v>
      </c>
      <c r="D41" s="417"/>
      <c r="E41" s="418"/>
      <c r="F41" s="419"/>
      <c r="G41" s="420"/>
      <c r="H41" s="421"/>
      <c r="I41" s="418"/>
      <c r="J41" s="421"/>
      <c r="K41" s="672"/>
      <c r="L41" s="869"/>
      <c r="M41" s="857"/>
      <c r="N41" s="857"/>
      <c r="O41" s="857"/>
      <c r="P41" s="3436" t="str">
        <f>A41</f>
        <v>成交单价（元/平方米）</v>
      </c>
      <c r="Q41" s="3436"/>
      <c r="R41" s="3437">
        <f>E41</f>
        <v>0</v>
      </c>
      <c r="S41" s="3437"/>
      <c r="T41" s="3437">
        <f>G41</f>
        <v>0</v>
      </c>
      <c r="U41" s="3437"/>
      <c r="V41" s="3437">
        <f>I41</f>
        <v>0</v>
      </c>
      <c r="W41" s="3437"/>
      <c r="X41" s="384"/>
      <c r="Y41" s="671"/>
      <c r="Z41" s="384"/>
      <c r="AA41" s="384"/>
      <c r="AB41" s="384"/>
      <c r="AC41" s="384"/>
    </row>
    <row r="42" spans="1:29" ht="15.75" thickBot="1">
      <c r="A42" s="422" t="s">
        <v>1790</v>
      </c>
      <c r="B42" s="423"/>
      <c r="C42" s="1077" t="e">
        <f>R43</f>
        <v>#DIV/0!</v>
      </c>
      <c r="D42" s="2134" t="s">
        <v>2134</v>
      </c>
      <c r="E42" s="1078" t="e">
        <f>R42</f>
        <v>#DIV/0!</v>
      </c>
      <c r="F42" s="2135"/>
      <c r="G42" s="1077" t="e">
        <f>T42</f>
        <v>#DIV/0!</v>
      </c>
      <c r="H42" s="2135"/>
      <c r="I42" s="1078" t="e">
        <f>V42</f>
        <v>#DIV/0!</v>
      </c>
      <c r="J42" s="2135"/>
      <c r="K42" s="2137">
        <f>F42+H42+J42</f>
        <v>0</v>
      </c>
      <c r="L42" s="869"/>
      <c r="M42" s="857"/>
      <c r="N42" s="857"/>
      <c r="O42" s="857"/>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4"/>
      <c r="Y42" s="384"/>
      <c r="Z42" s="384"/>
      <c r="AA42" s="384"/>
      <c r="AB42" s="384"/>
      <c r="AC42" s="384"/>
    </row>
    <row r="43" spans="1:29" ht="15.75" thickBot="1">
      <c r="A43" s="426" t="s">
        <v>1791</v>
      </c>
      <c r="B43" s="427"/>
      <c r="C43" s="350" t="e">
        <f>R43</f>
        <v>#DIV/0!</v>
      </c>
      <c r="D43" s="350"/>
      <c r="E43" s="350"/>
      <c r="F43" s="350"/>
      <c r="G43" s="350"/>
      <c r="H43" s="350"/>
      <c r="I43" s="350"/>
      <c r="J43" s="350"/>
      <c r="K43" s="673"/>
      <c r="L43" s="869"/>
      <c r="M43" s="857"/>
      <c r="N43" s="857"/>
      <c r="O43" s="857"/>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2"/>
      <c r="M46" s="857"/>
      <c r="N46" s="857"/>
      <c r="O46" s="857"/>
    </row>
    <row r="47" spans="1:29" ht="13.5" customHeight="1">
      <c r="A47" s="2481"/>
      <c r="B47" s="2481"/>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2"/>
      <c r="M47" s="857"/>
      <c r="N47" s="857"/>
      <c r="O47" s="857"/>
    </row>
    <row r="48" spans="1:29" s="436" customFormat="1" ht="13.5" customHeight="1">
      <c r="A48" s="2491"/>
      <c r="B48" s="2491"/>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2"/>
      <c r="M48" s="870"/>
      <c r="N48" s="870"/>
      <c r="O48" s="870"/>
    </row>
    <row r="49" spans="1:17" s="436"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1.75" thickBot="1">
      <c r="A51" s="656" t="s">
        <v>1795</v>
      </c>
      <c r="B51" s="384"/>
      <c r="C51" s="657"/>
      <c r="D51" s="657"/>
      <c r="E51" s="657"/>
      <c r="F51" s="658"/>
      <c r="G51" s="658"/>
      <c r="H51" s="657"/>
      <c r="I51" s="657"/>
      <c r="J51" s="657"/>
      <c r="K51" s="883"/>
      <c r="L51" s="884"/>
      <c r="M51" s="882"/>
      <c r="N51" s="882"/>
      <c r="O51" s="882"/>
      <c r="P51" s="437"/>
      <c r="Q51" s="438"/>
    </row>
    <row r="52" spans="1:17" s="441" customFormat="1" ht="15">
      <c r="A52" s="439" t="s">
        <v>1676</v>
      </c>
      <c r="B52" s="440"/>
      <c r="C52" s="1098" t="str">
        <f>YEAR(C7)&amp;"-"&amp;MONTH(C7)</f>
        <v>2024-7</v>
      </c>
      <c r="D52" s="1099">
        <f>EDATE(C52,-1)</f>
        <v>45444</v>
      </c>
      <c r="E52" s="1099">
        <f t="shared" ref="E52:O52" si="16">EDATE(D52,-1)</f>
        <v>45413</v>
      </c>
      <c r="F52" s="1099">
        <f t="shared" si="16"/>
        <v>45383</v>
      </c>
      <c r="G52" s="1099">
        <f t="shared" si="16"/>
        <v>45352</v>
      </c>
      <c r="H52" s="1099">
        <f t="shared" si="16"/>
        <v>45323</v>
      </c>
      <c r="I52" s="1099">
        <f t="shared" si="16"/>
        <v>45292</v>
      </c>
      <c r="J52" s="1099">
        <f t="shared" si="16"/>
        <v>45261</v>
      </c>
      <c r="K52" s="1099">
        <f t="shared" si="16"/>
        <v>45231</v>
      </c>
      <c r="L52" s="1099">
        <f t="shared" si="16"/>
        <v>45200</v>
      </c>
      <c r="M52" s="1099">
        <f t="shared" si="16"/>
        <v>45170</v>
      </c>
      <c r="N52" s="1099">
        <f t="shared" si="16"/>
        <v>45139</v>
      </c>
      <c r="O52" s="1099">
        <f t="shared" si="16"/>
        <v>45108</v>
      </c>
    </row>
    <row r="53" spans="1:17" s="102" customFormat="1" ht="15">
      <c r="A53" s="442"/>
      <c r="B53" s="443"/>
      <c r="C53" s="1097">
        <v>100</v>
      </c>
      <c r="D53" s="445"/>
      <c r="E53" s="445"/>
      <c r="F53" s="445"/>
      <c r="G53" s="445"/>
      <c r="H53" s="445"/>
      <c r="I53" s="445"/>
      <c r="J53" s="445"/>
      <c r="K53" s="445"/>
      <c r="L53" s="445"/>
      <c r="M53" s="446"/>
      <c r="N53" s="445"/>
      <c r="O53" s="447"/>
      <c r="P53" s="438"/>
    </row>
    <row r="54" spans="1:17" s="102" customFormat="1" ht="15.75" thickBot="1">
      <c r="A54" s="448" t="s">
        <v>1713</v>
      </c>
      <c r="B54" s="449"/>
      <c r="C54" s="450"/>
      <c r="D54" s="451"/>
      <c r="E54" s="451"/>
      <c r="F54" s="451"/>
      <c r="G54" s="451"/>
      <c r="H54" s="451"/>
      <c r="I54" s="451"/>
      <c r="J54" s="451"/>
      <c r="K54" s="451"/>
      <c r="L54" s="451"/>
      <c r="M54" s="452"/>
      <c r="N54" s="2532"/>
      <c r="O54" s="2533"/>
      <c r="P54" s="438"/>
      <c r="Q54" s="438"/>
    </row>
    <row r="55" spans="1:17" s="102" customFormat="1" ht="15">
      <c r="A55" s="454" t="s">
        <v>1678</v>
      </c>
      <c r="B55" s="443"/>
      <c r="C55" s="455" t="s">
        <v>1773</v>
      </c>
      <c r="D55" s="31"/>
      <c r="E55" s="31"/>
      <c r="F55" s="31"/>
      <c r="G55" s="31"/>
      <c r="H55" s="31"/>
      <c r="I55" s="31"/>
      <c r="J55" s="31"/>
      <c r="K55" s="31"/>
      <c r="L55" s="456"/>
      <c r="M55" s="457"/>
      <c r="N55" s="874"/>
      <c r="O55" s="874"/>
      <c r="P55" s="458"/>
      <c r="Q55" s="438"/>
    </row>
    <row r="56" spans="1:17" s="102"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1716</v>
      </c>
      <c r="B57" s="459" t="s">
        <v>1682</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1685</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1810</v>
      </c>
      <c r="C76" s="579" t="s">
        <v>1796</v>
      </c>
      <c r="D76" s="579" t="s">
        <v>1797</v>
      </c>
      <c r="E76" s="579" t="s">
        <v>1798</v>
      </c>
      <c r="F76" s="579" t="s">
        <v>1799</v>
      </c>
      <c r="G76" s="579" t="s">
        <v>1800</v>
      </c>
      <c r="H76" s="469"/>
      <c r="I76" s="469"/>
      <c r="J76" s="469"/>
      <c r="K76" s="469"/>
      <c r="L76" s="469"/>
      <c r="M76" s="1058"/>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2" customFormat="1" ht="15.75" thickTop="1">
      <c r="A80" s="369"/>
      <c r="B80" s="468">
        <f>B25</f>
        <v>111</v>
      </c>
      <c r="C80" s="484"/>
      <c r="D80" s="484"/>
      <c r="E80" s="484"/>
      <c r="F80" s="484"/>
      <c r="G80" s="484"/>
      <c r="H80" s="484"/>
      <c r="I80" s="484"/>
      <c r="J80" s="484"/>
      <c r="K80" s="484"/>
      <c r="L80" s="509"/>
      <c r="M80" s="510"/>
      <c r="N80" s="874"/>
      <c r="O80" s="874"/>
      <c r="P80" s="40"/>
      <c r="Q80" s="438"/>
    </row>
    <row r="81" spans="1:17" s="102" customFormat="1" ht="15.75" thickBot="1">
      <c r="A81" s="369"/>
      <c r="B81" s="473"/>
      <c r="C81" s="490"/>
      <c r="D81" s="466"/>
      <c r="E81" s="466"/>
      <c r="F81" s="466"/>
      <c r="G81" s="466"/>
      <c r="H81" s="466"/>
      <c r="I81" s="466"/>
      <c r="J81" s="466"/>
      <c r="K81" s="466"/>
      <c r="L81" s="466"/>
      <c r="M81" s="467"/>
      <c r="N81" s="876"/>
      <c r="O81" s="876"/>
      <c r="P81" s="40"/>
      <c r="Q81" s="438"/>
    </row>
    <row r="82" spans="1:17" s="102" customFormat="1" ht="15.75" thickTop="1">
      <c r="A82" s="369"/>
      <c r="B82" s="468">
        <f>B26</f>
        <v>111</v>
      </c>
      <c r="C82" s="484"/>
      <c r="D82" s="484"/>
      <c r="E82" s="484"/>
      <c r="F82" s="484"/>
      <c r="G82" s="484"/>
      <c r="H82" s="484"/>
      <c r="I82" s="484"/>
      <c r="J82" s="484"/>
      <c r="K82" s="484"/>
      <c r="L82" s="509"/>
      <c r="M82" s="510"/>
      <c r="N82" s="874"/>
      <c r="O82" s="874"/>
      <c r="P82" s="40"/>
      <c r="Q82" s="438"/>
    </row>
    <row r="83" spans="1:17" s="102"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1691</v>
      </c>
      <c r="B88" s="459" t="s">
        <v>1733</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1735</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1737</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1187</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1738</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1739</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1741</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1827</v>
      </c>
      <c r="C106" s="508" t="s">
        <v>1718</v>
      </c>
      <c r="D106" s="508" t="s">
        <v>1719</v>
      </c>
      <c r="E106" s="508" t="s">
        <v>1720</v>
      </c>
      <c r="F106" s="508" t="s">
        <v>1721</v>
      </c>
      <c r="G106" s="508" t="s">
        <v>1722</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F7:F40 H7:H40 J7:J40">
    <cfRule type="cellIs" dxfId="116" priority="1" operator="notEqual">
      <formula>100</formula>
    </cfRule>
  </conditionalFormatting>
  <conditionalFormatting sqref="F42">
    <cfRule type="expression" dxfId="115" priority="4">
      <formula>$D$42="简单平均"</formula>
    </cfRule>
  </conditionalFormatting>
  <conditionalFormatting sqref="F46:F48 H46:H48">
    <cfRule type="containsText" dxfId="114" priority="17" stopIfTrue="1" operator="containsText" text="超过">
      <formula>NOT(ISERROR(SEARCH("超过",F46)))</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G48">
    <cfRule type="expression" dxfId="111" priority="13" stopIfTrue="1">
      <formula>$H$48="超过30%"</formula>
    </cfRule>
  </conditionalFormatting>
  <conditionalFormatting sqref="H42">
    <cfRule type="expression" dxfId="110" priority="3">
      <formula>$D$42="简单平均"</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J42">
    <cfRule type="expression" dxfId="106" priority="2">
      <formula>$D$42="简单平均"</formula>
    </cfRule>
  </conditionalFormatting>
  <conditionalFormatting sqref="J46:J48">
    <cfRule type="containsText" dxfId="105" priority="8" stopIfTrue="1" operator="containsText" text="超过">
      <formula>NOT(ISERROR(SEARCH("超过",J46)))</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C20 G20 E20 I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42"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3" customWidth="1"/>
    <col min="2" max="2" width="37.25" style="1383" customWidth="1"/>
    <col min="3" max="3" width="11.375" style="1383" customWidth="1"/>
    <col min="4" max="4" width="31.75" style="1383" customWidth="1"/>
    <col min="5" max="5" width="0.5" style="1383" customWidth="1"/>
    <col min="6" max="7" width="13" style="1383" customWidth="1"/>
    <col min="8" max="16384" width="9" style="1383"/>
  </cols>
  <sheetData>
    <row r="1" spans="1:5" ht="18.75">
      <c r="A1" s="1382" t="s">
        <v>905</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84"/>
      <c r="B4" s="3207" t="s">
        <v>914</v>
      </c>
      <c r="C4" s="3207"/>
      <c r="D4" s="3207"/>
      <c r="E4" s="1384"/>
    </row>
    <row r="5" spans="1:5" ht="16.5" thickTop="1">
      <c r="B5" s="3205" t="s">
        <v>906</v>
      </c>
      <c r="C5" s="1385" t="s">
        <v>907</v>
      </c>
      <c r="D5" s="793" t="e">
        <f ca="1">结果表!H101</f>
        <v>#REF!</v>
      </c>
    </row>
    <row r="6" spans="1:5" ht="15.75">
      <c r="B6" s="3205"/>
      <c r="C6" s="1385" t="s">
        <v>908</v>
      </c>
      <c r="D6" s="793" t="e">
        <f ca="1">NUMBERSTRING(INT(D5*10000),2)&amp;"元整"</f>
        <v>#REF!</v>
      </c>
    </row>
    <row r="7" spans="1:5" ht="15.75">
      <c r="B7" s="3210"/>
      <c r="C7" s="1386" t="s">
        <v>909</v>
      </c>
      <c r="D7" s="794" t="e">
        <f ca="1">结果表!H102</f>
        <v>#REF!</v>
      </c>
    </row>
    <row r="8" spans="1:5" ht="15.75">
      <c r="B8" s="3211" t="str">
        <f>结果表!E103</f>
        <v>2.估价师知悉的法定优先受偿款</v>
      </c>
      <c r="C8" s="1387" t="s">
        <v>910</v>
      </c>
      <c r="D8" s="794">
        <f>结果表!H103</f>
        <v>0</v>
      </c>
    </row>
    <row r="9" spans="1:5" ht="15.75">
      <c r="B9" s="3213"/>
      <c r="C9" s="1385" t="s">
        <v>908</v>
      </c>
      <c r="D9" s="793" t="str">
        <f>NUMBERSTRING(INT(D8*10000),2)&amp;"元整"</f>
        <v>零元整</v>
      </c>
    </row>
    <row r="10" spans="1:5" ht="15">
      <c r="B10" s="1388" t="s">
        <v>913</v>
      </c>
      <c r="C10" s="1389" t="s">
        <v>911</v>
      </c>
      <c r="D10" s="795">
        <f>结果表!H104</f>
        <v>0</v>
      </c>
    </row>
    <row r="11" spans="1:5" ht="15">
      <c r="B11" s="1388" t="s">
        <v>915</v>
      </c>
      <c r="C11" s="1389" t="s">
        <v>916</v>
      </c>
      <c r="D11" s="795">
        <f>结果表!H105</f>
        <v>0</v>
      </c>
    </row>
    <row r="12" spans="1:5" ht="15">
      <c r="B12" s="1388" t="s">
        <v>917</v>
      </c>
      <c r="C12" s="1389" t="s">
        <v>916</v>
      </c>
      <c r="D12" s="795">
        <f>结果表!H106</f>
        <v>0</v>
      </c>
    </row>
    <row r="13" spans="1:5" ht="15.75">
      <c r="B13" s="3204" t="str">
        <f>结果表!E107</f>
        <v>3.房地产抵押价值</v>
      </c>
      <c r="C13" s="1390" t="s">
        <v>907</v>
      </c>
      <c r="D13" s="796" t="e">
        <f ca="1">结果表!H107</f>
        <v>#REF!</v>
      </c>
    </row>
    <row r="14" spans="1:5" ht="15.75">
      <c r="B14" s="3205"/>
      <c r="C14" s="1385" t="s">
        <v>908</v>
      </c>
      <c r="D14" s="793" t="e">
        <f ca="1">NUMBERSTRING(INT(D13*10000),2)&amp;"元整"</f>
        <v>#REF!</v>
      </c>
    </row>
    <row r="15" spans="1:5" ht="15">
      <c r="B15" s="3210"/>
      <c r="C15" s="1386" t="s">
        <v>918</v>
      </c>
      <c r="D15" s="802" t="e">
        <f ca="1">结果表!H108</f>
        <v>#REF!</v>
      </c>
    </row>
    <row r="16" spans="1:5" ht="15">
      <c r="B16" s="3211" t="str">
        <f>结果表!E109</f>
        <v>——</v>
      </c>
      <c r="C16" s="1390" t="s">
        <v>919</v>
      </c>
      <c r="D16" s="1391" t="str">
        <f>结果表!H109</f>
        <v>——</v>
      </c>
    </row>
    <row r="17" spans="1:5" ht="15.75">
      <c r="B17" s="3212"/>
      <c r="C17" s="1385" t="s">
        <v>920</v>
      </c>
      <c r="D17" s="793" t="e">
        <f>NUMBERSTRING(INT(D16*10000),2)&amp;"元整"</f>
        <v>#VALUE!</v>
      </c>
    </row>
    <row r="18" spans="1:5" ht="15">
      <c r="B18" s="3213"/>
      <c r="C18" s="1386" t="s">
        <v>909</v>
      </c>
      <c r="D18" s="802" t="str">
        <f>结果表!H110</f>
        <v>——</v>
      </c>
    </row>
    <row r="19" spans="1:5" ht="15.75">
      <c r="B19" s="3204" t="str">
        <f>结果表!E111</f>
        <v>——</v>
      </c>
      <c r="C19" s="1390" t="s">
        <v>907</v>
      </c>
      <c r="D19" s="794" t="str">
        <f>结果表!H111</f>
        <v>——</v>
      </c>
    </row>
    <row r="20" spans="1:5" ht="15.75">
      <c r="B20" s="3205"/>
      <c r="C20" s="1385" t="s">
        <v>920</v>
      </c>
      <c r="D20" s="793" t="e">
        <f>NUMBERSTRING(INT(D19*10000),2)&amp;"元整"</f>
        <v>#VALUE!</v>
      </c>
    </row>
    <row r="21" spans="1:5" ht="15.75" thickBot="1">
      <c r="B21" s="3206"/>
      <c r="C21" s="1392" t="s">
        <v>918</v>
      </c>
      <c r="D21" s="803" t="str">
        <f>结果表!H112</f>
        <v>——</v>
      </c>
    </row>
    <row r="22" spans="1:5" ht="15" thickTop="1">
      <c r="B22" s="1393" t="s">
        <v>921</v>
      </c>
    </row>
    <row r="24" spans="1:5" ht="18.75">
      <c r="A24" s="1394"/>
      <c r="B24" s="1395" t="s">
        <v>912</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39997558519241921"/>
    <pageSetUpPr fitToPage="1"/>
  </sheetPr>
  <dimension ref="A1:I57"/>
  <sheetViews>
    <sheetView view="pageBreakPreview" zoomScale="70" zoomScaleNormal="70" zoomScaleSheetLayoutView="70" workbookViewId="0">
      <selection activeCell="F32" sqref="F3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7" t="s">
        <v>4192</v>
      </c>
      <c r="C1" s="189"/>
      <c r="D1" s="189"/>
      <c r="E1" s="189"/>
      <c r="F1" s="189"/>
      <c r="G1" s="1057">
        <f>MATCH(B1,'数据-取费表'!A6:A16,0)+5</f>
        <v>7</v>
      </c>
    </row>
    <row r="2" spans="1:9" s="191" customFormat="1" ht="18" customHeight="1">
      <c r="A2" s="192" t="s">
        <v>682</v>
      </c>
      <c r="B2" s="193">
        <f ca="1">IF(D2="——",C52,C52-E2)</f>
        <v>1640</v>
      </c>
      <c r="C2" s="190" t="s">
        <v>1460</v>
      </c>
      <c r="D2" s="1704" t="s">
        <v>43</v>
      </c>
      <c r="E2" s="1084" t="e">
        <f ca="1">SUMIF(INDIRECT("'"&amp;G2&amp;"'"&amp;"!A:A"),"承租人权益价值",INDIRECT("'"&amp;G2&amp;"'"&amp;"!c:c"))</f>
        <v>#REF!</v>
      </c>
      <c r="F2" s="1705" t="s">
        <v>1460</v>
      </c>
      <c r="G2" s="1706"/>
    </row>
    <row r="3" spans="1:9" s="191" customFormat="1" ht="18" customHeight="1" thickBot="1">
      <c r="A3" s="194" t="s">
        <v>683</v>
      </c>
      <c r="B3" s="195">
        <f ca="1">ROUND(B2*10000/(IF(B1="",'数据-汇总表'!E3,INDIRECT("'数据-取费表'!k"&amp;$G$1))),0)</f>
        <v>21726</v>
      </c>
      <c r="C3" s="190" t="s">
        <v>1462</v>
      </c>
      <c r="D3" s="190"/>
      <c r="E3" s="190"/>
      <c r="F3" s="190"/>
      <c r="G3" s="190"/>
    </row>
    <row r="4" spans="1:9" s="199" customFormat="1" ht="15.75">
      <c r="A4" s="196" t="s">
        <v>1463</v>
      </c>
      <c r="B4" s="197"/>
      <c r="C4" s="197"/>
      <c r="D4" s="197"/>
      <c r="E4" s="197"/>
      <c r="F4" s="197"/>
      <c r="G4" s="198"/>
    </row>
    <row r="5" spans="1:9" s="205" customFormat="1" ht="13.5" customHeight="1">
      <c r="A5" s="246" t="s">
        <v>337</v>
      </c>
      <c r="B5" s="201" t="s">
        <v>1465</v>
      </c>
      <c r="C5" s="202">
        <f ca="1">C6+C7+C8</f>
        <v>682</v>
      </c>
      <c r="D5" s="202" t="s">
        <v>1466</v>
      </c>
      <c r="E5" s="203" t="s">
        <v>1467</v>
      </c>
      <c r="F5" s="203" t="s">
        <v>1468</v>
      </c>
      <c r="G5" s="204"/>
    </row>
    <row r="6" spans="1:9" s="205" customFormat="1" ht="13.5" customHeight="1">
      <c r="A6" s="728" t="s">
        <v>346</v>
      </c>
      <c r="B6" s="206" t="s">
        <v>1470</v>
      </c>
      <c r="C6" s="207">
        <f>'办公-基准地价修正 '!B2</f>
        <v>648</v>
      </c>
      <c r="D6" s="208"/>
      <c r="E6" s="209"/>
      <c r="F6" s="209"/>
      <c r="G6" s="210"/>
    </row>
    <row r="7" spans="1:9" s="205" customFormat="1" ht="13.5" customHeight="1">
      <c r="A7" s="728" t="s">
        <v>347</v>
      </c>
      <c r="B7" s="206" t="s">
        <v>1472</v>
      </c>
      <c r="C7" s="211">
        <f>ROUND(C6*F7,0)</f>
        <v>20</v>
      </c>
      <c r="D7" s="211"/>
      <c r="E7" s="209"/>
      <c r="F7" s="212">
        <f>IF(项目基本情况!B8="出让",0,'数据-取费表'!B48+'数据-取费表'!B49)</f>
        <v>3.0499999999999999E-2</v>
      </c>
      <c r="G7" s="210"/>
    </row>
    <row r="8" spans="1:9" s="214" customFormat="1">
      <c r="A8" s="728" t="s">
        <v>348</v>
      </c>
      <c r="B8" s="206" t="s">
        <v>1474</v>
      </c>
      <c r="C8" s="211">
        <f ca="1">IF(G8="已包含在土地购买价格中","0",IF(B1="",'数据-取费表'!B29,IF(G9="全部缴纳",C9+C10,H9)))</f>
        <v>14</v>
      </c>
      <c r="D8" s="213"/>
      <c r="E8" s="211"/>
      <c r="F8" s="212"/>
      <c r="G8" s="1707" t="s">
        <v>4166</v>
      </c>
    </row>
    <row r="9" spans="1:9" s="205" customFormat="1" ht="13.5" customHeight="1">
      <c r="A9" s="729" t="s">
        <v>355</v>
      </c>
      <c r="B9" s="215" t="s">
        <v>1475</v>
      </c>
      <c r="C9" s="216">
        <f ca="1">ROUND(D9*E9/10000,0)</f>
        <v>0</v>
      </c>
      <c r="D9" s="791">
        <f ca="1">IF(B1="",'数据-汇总表'!E5,IF(INDIRECT("'数据-取费表'!c"&amp;$G$1)="住宅",INDIRECT("'数据-取费表'!k"&amp;$G$1),0))</f>
        <v>0</v>
      </c>
      <c r="E9" s="216">
        <f>'数据-取费表'!B27</f>
        <v>150</v>
      </c>
      <c r="F9" s="212"/>
      <c r="G9" s="1708" t="s">
        <v>4167</v>
      </c>
      <c r="H9" s="1065"/>
      <c r="I9" s="1709" t="s">
        <v>1476</v>
      </c>
    </row>
    <row r="10" spans="1:9" s="205" customFormat="1" ht="13.5" customHeight="1">
      <c r="A10" s="729" t="s">
        <v>356</v>
      </c>
      <c r="B10" s="215" t="s">
        <v>1477</v>
      </c>
      <c r="C10" s="216">
        <f ca="1">ROUND(D10*E10/10000,0)</f>
        <v>14</v>
      </c>
      <c r="D10" s="791">
        <f ca="1">IF(B1="",'数据-汇总表'!E6,IF(INDIRECT("'数据-取费表'!c"&amp;$G$1)="住宅",INDIRECT("'数据-取费表'!s"&amp;$G$1),INDIRECT("'数据-取费表'!k"&amp;$G$1)+INDIRECT("'数据-取费表'!s"&amp;$G$1)))</f>
        <v>754.84</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1474</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1474</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t="str">
        <f>IF(G19="已包含在土地取得成本中","0",ROUND(D19*E19/10000,0))</f>
        <v>0</v>
      </c>
      <c r="D19" s="203">
        <f ca="1">D9+D10</f>
        <v>754.84</v>
      </c>
      <c r="E19" s="202">
        <f>'数据-取费表'!B31</f>
        <v>200</v>
      </c>
      <c r="F19" s="222"/>
      <c r="G19" s="1707" t="s">
        <v>4168</v>
      </c>
    </row>
    <row r="20" spans="1:7" s="205" customFormat="1" ht="13.5" customHeight="1">
      <c r="A20" s="246" t="s">
        <v>1490</v>
      </c>
      <c r="B20" s="201" t="s">
        <v>1491</v>
      </c>
      <c r="C20" s="223">
        <f ca="1">ROUND((C5+C19)*F20,0)</f>
        <v>17</v>
      </c>
      <c r="D20" s="223"/>
      <c r="E20" s="223"/>
      <c r="F20" s="224">
        <f>'数据-取费表'!B37</f>
        <v>2.5000000000000001E-2</v>
      </c>
      <c r="G20" s="225" t="s">
        <v>1492</v>
      </c>
    </row>
    <row r="21" spans="1:7" s="205" customFormat="1" ht="13.5" customHeight="1">
      <c r="A21" s="246" t="s">
        <v>1493</v>
      </c>
      <c r="B21" s="201" t="s">
        <v>1494</v>
      </c>
      <c r="C21" s="226">
        <f>F21</f>
        <v>2.5000000000000001E-2</v>
      </c>
      <c r="D21" s="227" t="s">
        <v>1495</v>
      </c>
      <c r="E21" s="223"/>
      <c r="F21" s="224">
        <f>'数据-取费表'!B38</f>
        <v>2.5000000000000001E-2</v>
      </c>
      <c r="G21" s="225" t="s">
        <v>1496</v>
      </c>
    </row>
    <row r="22" spans="1:7" s="205" customFormat="1" ht="13.5" customHeight="1">
      <c r="A22" s="246" t="s">
        <v>1497</v>
      </c>
      <c r="B22" s="201" t="s">
        <v>1498</v>
      </c>
      <c r="C22" s="1036">
        <f ca="1">ROUND(SUM(C23:C25),0)</f>
        <v>61</v>
      </c>
      <c r="D22" s="226">
        <f ca="1">C26</f>
        <v>1.1000000000000001E-3</v>
      </c>
      <c r="E22" s="227" t="s">
        <v>1495</v>
      </c>
      <c r="F22" s="228">
        <f ca="1">'数据-取费表'!B40</f>
        <v>3.4500000000000003E-2</v>
      </c>
      <c r="G22" s="225" t="str">
        <f>IF('数据-取费表'!B22&lt;=1,"单利计息","复利计息")</f>
        <v>复利计息</v>
      </c>
    </row>
    <row r="23" spans="1:7" s="205" customFormat="1" ht="13.5" customHeight="1">
      <c r="A23" s="730" t="s">
        <v>346</v>
      </c>
      <c r="B23" s="206" t="s">
        <v>1500</v>
      </c>
      <c r="C23" s="1037">
        <f ca="1">ROUND(IF('数据-取费表'!B22&lt;=1,C5*F22*'数据-取费表'!B23,C5*(POWER((1+F22),'数据-取费表'!B23)-1)),0)</f>
        <v>60</v>
      </c>
      <c r="D23" s="229"/>
      <c r="E23" s="229"/>
      <c r="F23" s="230"/>
      <c r="G23" s="231" t="s">
        <v>1501</v>
      </c>
    </row>
    <row r="24" spans="1:7" s="205" customFormat="1" ht="13.5" customHeight="1">
      <c r="A24" s="730" t="s">
        <v>347</v>
      </c>
      <c r="B24" s="206" t="s">
        <v>1503</v>
      </c>
      <c r="C24" s="1037">
        <f ca="1">ROUND(IF('数据-取费表'!B22&lt;=1,C19*F22*('数据-取费表'!B19/2+'数据-取费表'!B21),C19*(POWER((1+F22),('数据-取费表'!B19/2+'数据-取费表'!B21))-1)),0)</f>
        <v>0</v>
      </c>
      <c r="D24" s="229"/>
      <c r="E24" s="229"/>
      <c r="F24" s="230"/>
      <c r="G24" s="231" t="s">
        <v>1504</v>
      </c>
    </row>
    <row r="25" spans="1:7" s="205" customFormat="1" ht="24">
      <c r="A25" s="730" t="s">
        <v>348</v>
      </c>
      <c r="B25" s="206" t="s">
        <v>1506</v>
      </c>
      <c r="C25" s="1037">
        <f ca="1">ROUND(IF('数据-取费表'!B22&lt;=1,C20*F22*'数据-取费表'!B23/2,C20*(POWER((1+F22),'数据-取费表'!B23/2)-1)),0)</f>
        <v>1</v>
      </c>
      <c r="D25" s="229"/>
      <c r="E25" s="232"/>
      <c r="F25" s="230"/>
      <c r="G25" s="233" t="s">
        <v>1507</v>
      </c>
    </row>
    <row r="26" spans="1:7" s="205" customFormat="1">
      <c r="A26" s="730" t="s">
        <v>350</v>
      </c>
      <c r="B26" s="206" t="s">
        <v>1508</v>
      </c>
      <c r="C26" s="229">
        <f ca="1">ROUND(IF('数据-取费表'!B22&lt;=1,F21*F22*'数据-取费表'!B23/2,F21*(POWER((1+F22),'数据-取费表'!B23/2)-1)),4)</f>
        <v>1.1000000000000001E-3</v>
      </c>
      <c r="D26" s="229"/>
      <c r="E26" s="232"/>
      <c r="F26" s="230"/>
      <c r="G26" s="234"/>
    </row>
    <row r="27" spans="1:7" s="205" customFormat="1" ht="24.75">
      <c r="A27" s="246" t="s">
        <v>1509</v>
      </c>
      <c r="B27" s="235" t="s">
        <v>1510</v>
      </c>
      <c r="C27" s="236">
        <f ca="1">C28</f>
        <v>140</v>
      </c>
      <c r="D27" s="226">
        <f ca="1">C29</f>
        <v>5.0000000000000001E-3</v>
      </c>
      <c r="E27" s="227" t="s">
        <v>1495</v>
      </c>
      <c r="F27" s="237">
        <f ca="1">IF(B1="",'数据-取费表'!Q16,INDIRECT("'数据-取费表'!q"&amp;$G$1))</f>
        <v>0.2</v>
      </c>
      <c r="G27" s="238" t="s">
        <v>1512</v>
      </c>
    </row>
    <row r="28" spans="1:7" s="205" customFormat="1" ht="13.5" customHeight="1">
      <c r="A28" s="730" t="s">
        <v>346</v>
      </c>
      <c r="B28" s="239" t="s">
        <v>1513</v>
      </c>
      <c r="C28" s="240">
        <f ca="1">ROUND((C5+C19+C20)*F27*'数据-取费表'!B21/'数据-取费表'!B20,0)</f>
        <v>140</v>
      </c>
      <c r="D28" s="226"/>
      <c r="E28" s="227"/>
      <c r="F28" s="237"/>
      <c r="G28" s="238"/>
    </row>
    <row r="29" spans="1:7" s="205" customFormat="1" ht="13.5" customHeight="1">
      <c r="A29" s="730" t="s">
        <v>347</v>
      </c>
      <c r="B29" s="239" t="s">
        <v>1514</v>
      </c>
      <c r="C29" s="229">
        <f ca="1">ROUND(C21*F27*'数据-取费表'!B21/'数据-取费表'!B20,4)</f>
        <v>5.0000000000000001E-3</v>
      </c>
      <c r="D29" s="226"/>
      <c r="E29" s="227"/>
      <c r="F29" s="237"/>
      <c r="G29" s="238"/>
    </row>
    <row r="30" spans="1:7" s="205" customFormat="1" ht="13.5" customHeight="1">
      <c r="A30" s="246" t="s">
        <v>1515</v>
      </c>
      <c r="B30" s="201" t="s">
        <v>1516</v>
      </c>
      <c r="C30" s="226">
        <f>ROUND(F30/(1+'数据-取费表'!C42),4)</f>
        <v>5.2400000000000002E-2</v>
      </c>
      <c r="D30" s="227" t="s">
        <v>1495</v>
      </c>
      <c r="E30" s="232"/>
      <c r="F30" s="228">
        <f>'数据-取费表'!B41</f>
        <v>5.5000000000000007E-2</v>
      </c>
      <c r="G30" s="225" t="s">
        <v>1517</v>
      </c>
    </row>
    <row r="31" spans="1:7" ht="16.5" customHeight="1">
      <c r="A31" s="200">
        <v>1</v>
      </c>
      <c r="B31" s="201" t="s">
        <v>1518</v>
      </c>
      <c r="C31" s="202">
        <f ca="1">ROUND((C5+C19+C20+C22+C27)/(1-C21-D22-D27-C30),0)</f>
        <v>982</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482</v>
      </c>
      <c r="D33" s="223"/>
      <c r="E33" s="203"/>
      <c r="F33" s="232"/>
      <c r="G33" s="225"/>
    </row>
    <row r="34" spans="1:7" s="249" customFormat="1" ht="13.5" customHeight="1">
      <c r="A34" s="730" t="s">
        <v>346</v>
      </c>
      <c r="B34" s="206" t="s">
        <v>1522</v>
      </c>
      <c r="C34" s="211">
        <f ca="1">IF(B1="",IF(F34=100%,'数据-取费表'!M16,'数据-取费表'!O16),IF(F34=100%,INDIRECT("'数据-取费表'!m"&amp;$G$1)+INDIRECT("'数据-取费表'!t"&amp;$G$1),INDIRECT("'数据-取费表'!o"&amp;$G$1)+INDIRECT("'数据-取费表'!aq"&amp;$G$1)))</f>
        <v>415</v>
      </c>
      <c r="D34" s="208"/>
      <c r="E34" s="211"/>
      <c r="F34" s="248">
        <f ca="1">IF('数据-取费表'!B24=0,1,IF(B1="",'数据-取费表'!N16,INDIRECT("'数据-取费表'!n"&amp;$G$1)))</f>
        <v>1</v>
      </c>
      <c r="G34" s="210" t="s">
        <v>1523</v>
      </c>
    </row>
    <row r="35" spans="1:7" ht="13.5" customHeight="1">
      <c r="A35" s="730" t="s">
        <v>351</v>
      </c>
      <c r="B35" s="206" t="s">
        <v>1524</v>
      </c>
      <c r="C35" s="211">
        <f ca="1">ROUND(C34*F35,0)</f>
        <v>42</v>
      </c>
      <c r="D35" s="211"/>
      <c r="E35" s="211"/>
      <c r="F35" s="250">
        <f>'数据-取费表'!B33</f>
        <v>0.1</v>
      </c>
      <c r="G35" s="210" t="s">
        <v>1525</v>
      </c>
    </row>
    <row r="36" spans="1:7" ht="24">
      <c r="A36" s="730"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0" t="s">
        <v>353</v>
      </c>
      <c r="B37" s="206" t="s">
        <v>1528</v>
      </c>
      <c r="C37" s="240">
        <f ca="1">ROUND(E37*D37*F34/10000,0)</f>
        <v>15</v>
      </c>
      <c r="D37" s="208">
        <f ca="1">D19</f>
        <v>754.84</v>
      </c>
      <c r="E37" s="240">
        <f>'数据-取费表'!B35</f>
        <v>200</v>
      </c>
      <c r="F37" s="250"/>
      <c r="G37" s="252" t="s">
        <v>1529</v>
      </c>
    </row>
    <row r="38" spans="1:7" ht="13.5" customHeight="1">
      <c r="A38" s="730" t="s">
        <v>354</v>
      </c>
      <c r="B38" s="206" t="s">
        <v>1530</v>
      </c>
      <c r="C38" s="211">
        <f ca="1">ROUND(C34*F38,0)</f>
        <v>10</v>
      </c>
      <c r="D38" s="211"/>
      <c r="E38" s="211"/>
      <c r="F38" s="250">
        <f>'数据-取费表'!B36</f>
        <v>2.5000000000000001E-2</v>
      </c>
      <c r="G38" s="210" t="s">
        <v>1525</v>
      </c>
    </row>
    <row r="39" spans="1:7" s="205" customFormat="1" ht="13.5" customHeight="1">
      <c r="A39" s="246" t="s">
        <v>1488</v>
      </c>
      <c r="B39" s="201" t="s">
        <v>1491</v>
      </c>
      <c r="C39" s="223">
        <f ca="1">ROUND(C33*F20,0)</f>
        <v>12</v>
      </c>
      <c r="D39" s="223"/>
      <c r="E39" s="223"/>
      <c r="F39" s="224">
        <f>F20</f>
        <v>2.5000000000000001E-2</v>
      </c>
      <c r="G39" s="225" t="s">
        <v>1533</v>
      </c>
    </row>
    <row r="40" spans="1:7" s="205" customFormat="1" ht="13.5" customHeight="1">
      <c r="A40" s="246" t="s">
        <v>1490</v>
      </c>
      <c r="B40" s="201" t="s">
        <v>1494</v>
      </c>
      <c r="C40" s="226">
        <f>F21</f>
        <v>2.5000000000000001E-2</v>
      </c>
      <c r="D40" s="227" t="s">
        <v>1536</v>
      </c>
      <c r="E40" s="223"/>
      <c r="F40" s="224">
        <f>F21</f>
        <v>2.5000000000000001E-2</v>
      </c>
      <c r="G40" s="225" t="s">
        <v>1537</v>
      </c>
    </row>
    <row r="41" spans="1:7" s="205" customFormat="1" ht="13.5" customHeight="1">
      <c r="A41" s="246" t="s">
        <v>1493</v>
      </c>
      <c r="B41" s="201" t="s">
        <v>1498</v>
      </c>
      <c r="C41" s="223">
        <f ca="1">ROUND(SUM(C42:C43),0)</f>
        <v>22</v>
      </c>
      <c r="D41" s="226">
        <f ca="1">C44</f>
        <v>1.1000000000000001E-3</v>
      </c>
      <c r="E41" s="227" t="s">
        <v>1536</v>
      </c>
      <c r="F41" s="228">
        <f ca="1">F22</f>
        <v>3.4500000000000003E-2</v>
      </c>
      <c r="G41" s="225" t="str">
        <f>IF('数据-取费表'!B22&lt;=1,"单利计息","复利计息")</f>
        <v>复利计息</v>
      </c>
    </row>
    <row r="42" spans="1:7" ht="13.5" customHeight="1">
      <c r="A42" s="730" t="s">
        <v>346</v>
      </c>
      <c r="B42" s="206" t="s">
        <v>1500</v>
      </c>
      <c r="C42" s="229">
        <f ca="1">ROUND(IF('数据-取费表'!B22&lt;=1,C33*F22*'数据-取费表'!B21/2,C33*(POWER((1+F22),'数据-取费表'!B21/2)-1)),0)</f>
        <v>21</v>
      </c>
      <c r="D42" s="229"/>
      <c r="E42" s="229"/>
      <c r="F42" s="230"/>
      <c r="G42" s="3385" t="s">
        <v>1541</v>
      </c>
    </row>
    <row r="43" spans="1:7" ht="13.5" customHeight="1">
      <c r="A43" s="730" t="s">
        <v>347</v>
      </c>
      <c r="B43" s="206" t="s">
        <v>1503</v>
      </c>
      <c r="C43" s="229">
        <f ca="1">ROUND(IF('数据-取费表'!B22&lt;=1,C39*F22*'数据-取费表'!B21/2,C39*(POWER((1+F22),'数据-取费表'!B21/2)-1)),0)</f>
        <v>1</v>
      </c>
      <c r="D43" s="229"/>
      <c r="E43" s="229"/>
      <c r="F43" s="230"/>
      <c r="G43" s="3386"/>
    </row>
    <row r="44" spans="1:7" ht="13.5" customHeight="1">
      <c r="A44" s="730" t="s">
        <v>348</v>
      </c>
      <c r="B44" s="206" t="s">
        <v>1506</v>
      </c>
      <c r="C44" s="229">
        <f ca="1">ROUND(IF('数据-取费表'!B22&lt;=1,C40*F22*'数据-取费表'!B21/2,C40*(POWER((1+F22),'数据-取费表'!B21/2)-1)),4)</f>
        <v>1.1000000000000001E-3</v>
      </c>
      <c r="D44" s="229"/>
      <c r="E44" s="229"/>
      <c r="F44" s="230"/>
      <c r="G44" s="3387"/>
    </row>
    <row r="45" spans="1:7" s="205" customFormat="1" ht="13.5" customHeight="1">
      <c r="A45" s="246" t="s">
        <v>1497</v>
      </c>
      <c r="B45" s="235" t="s">
        <v>1510</v>
      </c>
      <c r="C45" s="236">
        <f ca="1">C46</f>
        <v>99</v>
      </c>
      <c r="D45" s="226">
        <f ca="1">C47</f>
        <v>5.0000000000000001E-3</v>
      </c>
      <c r="E45" s="227" t="s">
        <v>1536</v>
      </c>
      <c r="F45" s="237">
        <f ca="1">F27</f>
        <v>0.2</v>
      </c>
      <c r="G45" s="238" t="s">
        <v>1545</v>
      </c>
    </row>
    <row r="46" spans="1:7" s="205" customFormat="1" ht="13.5" customHeight="1">
      <c r="A46" s="730" t="s">
        <v>346</v>
      </c>
      <c r="B46" s="239" t="s">
        <v>1546</v>
      </c>
      <c r="C46" s="240">
        <f ca="1">ROUND((C33+C39)*F27,0)</f>
        <v>99</v>
      </c>
      <c r="D46" s="254"/>
      <c r="E46" s="227"/>
      <c r="F46" s="237"/>
      <c r="G46" s="238"/>
    </row>
    <row r="47" spans="1:7" s="205" customFormat="1" ht="13.5" customHeight="1">
      <c r="A47" s="730" t="s">
        <v>347</v>
      </c>
      <c r="B47" s="239" t="s">
        <v>1547</v>
      </c>
      <c r="C47" s="229">
        <f ca="1">ROUND(C40*F27,4)</f>
        <v>5.0000000000000001E-3</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671</v>
      </c>
      <c r="D49" s="223"/>
      <c r="E49" s="223"/>
      <c r="F49" s="255"/>
      <c r="G49" s="225" t="s">
        <v>1551</v>
      </c>
    </row>
    <row r="50" spans="1:7" s="249" customFormat="1" ht="24">
      <c r="A50" s="246" t="s">
        <v>1552</v>
      </c>
      <c r="B50" s="201" t="s">
        <v>1553</v>
      </c>
      <c r="C50" s="223"/>
      <c r="D50" s="223"/>
      <c r="E50" s="223"/>
      <c r="F50" s="255">
        <f>IF('数据-取费表'!B24=0,'数据-取费表'!N16,1)</f>
        <v>0.98</v>
      </c>
      <c r="G50" s="238" t="s">
        <v>1554</v>
      </c>
    </row>
    <row r="51" spans="1:7" ht="16.5" customHeight="1">
      <c r="A51" s="246" t="s">
        <v>1555</v>
      </c>
      <c r="B51" s="201" t="s">
        <v>1556</v>
      </c>
      <c r="C51" s="223">
        <f ca="1">ROUND(C49*F50,0)</f>
        <v>658</v>
      </c>
      <c r="D51" s="223"/>
      <c r="E51" s="223"/>
      <c r="F51" s="255"/>
      <c r="G51" s="225" t="s">
        <v>1557</v>
      </c>
    </row>
    <row r="52" spans="1:7" s="199" customFormat="1" ht="16.5" thickBot="1">
      <c r="A52" s="256" t="s">
        <v>1558</v>
      </c>
      <c r="B52" s="257"/>
      <c r="C52" s="258">
        <f ca="1">C31+C51</f>
        <v>1640</v>
      </c>
      <c r="D52" s="257"/>
      <c r="E52" s="257"/>
      <c r="F52" s="257"/>
      <c r="G52" s="259"/>
    </row>
    <row r="55" spans="1:7" ht="15">
      <c r="B55" s="261" t="s">
        <v>1559</v>
      </c>
      <c r="C55" s="262"/>
    </row>
    <row r="56" spans="1:7">
      <c r="B56" s="264" t="s">
        <v>799</v>
      </c>
      <c r="C56" s="266">
        <f ca="1">1-C57</f>
        <v>0.59899999999999998</v>
      </c>
    </row>
    <row r="57" spans="1:7">
      <c r="B57" s="264" t="s">
        <v>800</v>
      </c>
      <c r="C57" s="265">
        <f ca="1">ROUND(C51/C52,3)</f>
        <v>0.40100000000000002</v>
      </c>
    </row>
  </sheetData>
  <sheetProtection password="CEE9" sheet="1" objects="1" scenarios="1" formatCells="0"/>
  <mergeCells count="1">
    <mergeCell ref="G42:G44"/>
  </mergeCells>
  <phoneticPr fontId="136" type="noConversion"/>
  <dataValidations count="6">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G9" xr:uid="{00000000-0002-0000-2600-000002000000}">
      <formula1>"部分缴纳,全部缴纳"</formula1>
    </dataValidation>
    <dataValidation type="list" allowBlank="1" showInputMessage="1" showErrorMessage="1" sqref="B1" xr:uid="{00000000-0002-0000-2600-000003000000}">
      <formula1>项目类型</formula1>
    </dataValidation>
    <dataValidation type="list" allowBlank="1" showInputMessage="1" showErrorMessage="1" sqref="G19" xr:uid="{00000000-0002-0000-2600-000004000000}">
      <formula1>"已包含在土地取得成本中,未包含在土地取得成本中"</formula1>
    </dataValidation>
    <dataValidation type="list" allowBlank="1" showInputMessage="1" showErrorMessage="1" sqref="G8" xr:uid="{00000000-0002-0000-2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theme="4" tint="0.39997558519241921"/>
    <pageSetUpPr fitToPage="1"/>
  </sheetPr>
  <dimension ref="A1:AC132"/>
  <sheetViews>
    <sheetView view="pageBreakPreview" topLeftCell="A7" zoomScale="85" zoomScaleNormal="70" zoomScaleSheetLayoutView="85" workbookViewId="0">
      <selection activeCell="M43" sqref="M4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1657</v>
      </c>
      <c r="B1" s="1801" t="s">
        <v>1807</v>
      </c>
      <c r="C1" s="1136" t="s">
        <v>1659</v>
      </c>
      <c r="D1" s="1137" t="s">
        <v>4192</v>
      </c>
      <c r="E1" s="3125" t="s">
        <v>4193</v>
      </c>
      <c r="F1" s="1728" t="s">
        <v>4194</v>
      </c>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1459</v>
      </c>
      <c r="B2" s="1080">
        <f>IF(E1="项目模式",IF(C2="——",ROUND(C50*D3/10000,0),ROUND(C50*D3/10000,0)-D2),IF(E1="单套模式",IF(C2="——",ROUND(C50*D3/10000,4),ROUND(C50*D3/10000,4)-D2)))</f>
        <v>1686</v>
      </c>
      <c r="C2" s="1730" t="s">
        <v>43</v>
      </c>
      <c r="D2" s="1047" t="e">
        <f ca="1">IF(E1="项目模式",SUMIF(INDIRECT("'"&amp;F2&amp;"'"&amp;"!A:A"),"承租人权益价值",INDIRECT("'"&amp;F2&amp;"'"&amp;"!c:c")),SUMIF(INDIRECT("'"&amp;F2&amp;"'"&amp;"!A:A"),"承租人权益价值（单套）",INDIRECT("'"&amp;F2&amp;"'"&amp;"!c:c")))</f>
        <v>#REF!</v>
      </c>
      <c r="E2" s="1731" t="s">
        <v>1460</v>
      </c>
      <c r="F2" s="1732"/>
      <c r="G2" s="851"/>
      <c r="H2" s="851"/>
      <c r="I2" s="851"/>
      <c r="J2" s="851"/>
      <c r="K2" s="851"/>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1461</v>
      </c>
      <c r="B3" s="535">
        <f>IF(C2="——",C50,ROUND(B2*10000/D3,0))</f>
        <v>22339</v>
      </c>
      <c r="C3" s="343" t="s">
        <v>1765</v>
      </c>
      <c r="D3" s="342">
        <f>IF(D1="",'数据-汇总表'!E3,SUMIF('数据-汇总表'!$C19:$C33,D1,'数据-汇总表'!$E19:$E33))</f>
        <v>754.84</v>
      </c>
      <c r="E3" s="1798"/>
      <c r="F3" s="852"/>
      <c r="G3" s="851"/>
      <c r="H3" s="851"/>
      <c r="I3" s="851"/>
      <c r="J3" s="851"/>
      <c r="K3" s="853"/>
      <c r="L3" s="2497"/>
      <c r="M3" s="2498"/>
      <c r="N3" s="2498"/>
      <c r="O3" s="2498"/>
      <c r="P3" s="340"/>
      <c r="Q3" s="340"/>
      <c r="R3" s="340"/>
      <c r="S3" s="340"/>
      <c r="T3" s="340"/>
      <c r="U3" s="340"/>
      <c r="V3" s="340"/>
      <c r="W3" s="340"/>
      <c r="X3" s="340"/>
      <c r="Y3" s="340"/>
      <c r="Z3" s="340"/>
      <c r="AA3" s="340"/>
      <c r="AB3" s="340"/>
      <c r="AC3" s="661"/>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93" t="s">
        <v>1772</v>
      </c>
      <c r="Q4" s="3494"/>
      <c r="R4" s="3497" t="s">
        <v>1768</v>
      </c>
      <c r="S4" s="3498"/>
      <c r="T4" s="3497" t="s">
        <v>1769</v>
      </c>
      <c r="U4" s="3498"/>
      <c r="V4" s="3499" t="s">
        <v>1770</v>
      </c>
      <c r="W4" s="3499"/>
      <c r="X4" s="1802"/>
      <c r="Y4" s="3497" t="s">
        <v>1772</v>
      </c>
      <c r="Z4" s="3498"/>
      <c r="AA4" s="3501" t="s">
        <v>1768</v>
      </c>
      <c r="AB4" s="3501" t="s">
        <v>1769</v>
      </c>
      <c r="AC4" s="3490" t="s">
        <v>1770</v>
      </c>
    </row>
    <row r="5" spans="1:29" ht="15">
      <c r="A5" s="347"/>
      <c r="B5" s="348"/>
      <c r="C5" s="3469" t="str">
        <f>'数据-基础表'!C14</f>
        <v>1号楼办公501</v>
      </c>
      <c r="D5" s="3470"/>
      <c r="E5" s="3479" t="s">
        <v>4228</v>
      </c>
      <c r="F5" s="3477"/>
      <c r="G5" s="3478" t="s">
        <v>4228</v>
      </c>
      <c r="H5" s="3470"/>
      <c r="I5" s="3478" t="s">
        <v>4229</v>
      </c>
      <c r="J5" s="3470"/>
      <c r="K5" s="536"/>
      <c r="L5" s="2480"/>
      <c r="M5" s="2481"/>
      <c r="N5" s="2481"/>
      <c r="O5" s="2481"/>
      <c r="P5" s="3495"/>
      <c r="Q5" s="3458"/>
      <c r="R5" s="3463"/>
      <c r="S5" s="3464"/>
      <c r="T5" s="3463"/>
      <c r="U5" s="3464"/>
      <c r="V5" s="3437"/>
      <c r="W5" s="3437"/>
      <c r="X5" s="1258"/>
      <c r="Y5" s="3463"/>
      <c r="Z5" s="3464"/>
      <c r="AA5" s="3449"/>
      <c r="AB5" s="3449"/>
      <c r="AC5" s="3491"/>
    </row>
    <row r="6" spans="1:29" ht="15.75" thickBot="1">
      <c r="A6" s="349"/>
      <c r="B6" s="350"/>
      <c r="C6" s="3467" t="s">
        <v>1674</v>
      </c>
      <c r="D6" s="3468"/>
      <c r="E6" s="3474" t="s">
        <v>1674</v>
      </c>
      <c r="F6" s="3475"/>
      <c r="G6" s="3467" t="s">
        <v>1674</v>
      </c>
      <c r="H6" s="3468"/>
      <c r="I6" s="3467" t="s">
        <v>1674</v>
      </c>
      <c r="J6" s="3468"/>
      <c r="K6" s="536" t="s">
        <v>1675</v>
      </c>
      <c r="L6" s="2480"/>
      <c r="M6" s="2481"/>
      <c r="N6" s="2481"/>
      <c r="O6" s="2481"/>
      <c r="P6" s="3496"/>
      <c r="Q6" s="3460"/>
      <c r="R6" s="3463"/>
      <c r="S6" s="3464"/>
      <c r="T6" s="3465"/>
      <c r="U6" s="3466"/>
      <c r="V6" s="3437"/>
      <c r="W6" s="3437"/>
      <c r="X6" s="1258"/>
      <c r="Y6" s="3465"/>
      <c r="Z6" s="3466"/>
      <c r="AA6" s="3450"/>
      <c r="AB6" s="3450"/>
      <c r="AC6" s="3492"/>
    </row>
    <row r="7" spans="1:29" s="102" customFormat="1" ht="15.75" thickBot="1">
      <c r="A7" s="351" t="s">
        <v>1676</v>
      </c>
      <c r="B7" s="352"/>
      <c r="C7" s="353">
        <f>'数据-取费表'!B2</f>
        <v>45492</v>
      </c>
      <c r="D7" s="354">
        <v>100</v>
      </c>
      <c r="E7" s="355">
        <v>45474</v>
      </c>
      <c r="F7" s="356">
        <f>SUMIF(59:59,YEAR(E7)&amp;"-"&amp;MONTH(E7),60:60)</f>
        <v>100</v>
      </c>
      <c r="G7" s="355">
        <v>45474</v>
      </c>
      <c r="H7" s="354">
        <f>SUMIF(59:59,YEAR(G7)&amp;"-"&amp;MONTH(G7),60:60)</f>
        <v>100</v>
      </c>
      <c r="I7" s="355">
        <v>45433</v>
      </c>
      <c r="J7" s="354">
        <f>SUMIF(59:59,YEAR(I7)&amp;"-"&amp;MONTH(I7),60:60)</f>
        <v>100</v>
      </c>
      <c r="K7" s="38"/>
      <c r="L7" s="2482"/>
      <c r="M7" s="2433"/>
      <c r="N7" s="2433"/>
      <c r="O7" s="2433"/>
      <c r="P7" s="3500" t="s">
        <v>1677</v>
      </c>
      <c r="Q7" s="3473"/>
      <c r="R7" s="662" t="s">
        <v>14</v>
      </c>
      <c r="S7" s="663">
        <f t="shared" ref="S7:S15" si="0">F7</f>
        <v>100</v>
      </c>
      <c r="T7" s="662" t="s">
        <v>14</v>
      </c>
      <c r="U7" s="663">
        <f t="shared" ref="U7:U15" si="1">H7</f>
        <v>100</v>
      </c>
      <c r="V7" s="662" t="s">
        <v>14</v>
      </c>
      <c r="W7" s="663">
        <f t="shared" ref="W7:W15" si="2">J7</f>
        <v>100</v>
      </c>
      <c r="X7" s="664"/>
      <c r="Y7" s="3471" t="s">
        <v>1677</v>
      </c>
      <c r="Z7" s="3472"/>
      <c r="AA7" s="50">
        <f>D7/F7</f>
        <v>1</v>
      </c>
      <c r="AB7" s="50">
        <f>D7/H7</f>
        <v>1</v>
      </c>
      <c r="AC7" s="798">
        <f>D7/J7</f>
        <v>1</v>
      </c>
    </row>
    <row r="8" spans="1:29" s="102" customFormat="1" ht="15.75" thickBot="1">
      <c r="A8" s="351" t="s">
        <v>1678</v>
      </c>
      <c r="B8" s="352"/>
      <c r="C8" s="357" t="s">
        <v>4208</v>
      </c>
      <c r="D8" s="354">
        <v>100</v>
      </c>
      <c r="E8" s="357" t="s">
        <v>4208</v>
      </c>
      <c r="F8" s="356">
        <f>SUMIF(62:62,E8,63:63)-SUMIF(62:62,C8,63:63)+100</f>
        <v>100</v>
      </c>
      <c r="G8" s="357" t="s">
        <v>4208</v>
      </c>
      <c r="H8" s="354">
        <f>SUMIF(62:62,G8,63:63)-SUMIF(62:62,C8,63:63)+100</f>
        <v>100</v>
      </c>
      <c r="I8" s="357" t="s">
        <v>4208</v>
      </c>
      <c r="J8" s="354">
        <f>SUMIF(62:62,I8,63:63)-SUMIF(62:62,C8,63:63)+100</f>
        <v>100</v>
      </c>
      <c r="K8" s="38"/>
      <c r="L8" s="2482"/>
      <c r="M8" s="2433"/>
      <c r="N8" s="2433"/>
      <c r="O8" s="2433"/>
      <c r="P8" s="3500" t="s">
        <v>1680</v>
      </c>
      <c r="Q8" s="3472"/>
      <c r="R8" s="662" t="s">
        <v>14</v>
      </c>
      <c r="S8" s="663">
        <f t="shared" si="0"/>
        <v>100</v>
      </c>
      <c r="T8" s="662" t="s">
        <v>14</v>
      </c>
      <c r="U8" s="663">
        <f t="shared" si="1"/>
        <v>100</v>
      </c>
      <c r="V8" s="662" t="s">
        <v>14</v>
      </c>
      <c r="W8" s="663">
        <f t="shared" si="2"/>
        <v>100</v>
      </c>
      <c r="X8" s="664"/>
      <c r="Y8" s="3471" t="s">
        <v>1680</v>
      </c>
      <c r="Z8" s="3472"/>
      <c r="AA8" s="50">
        <f t="shared" ref="AA8:AA47" si="3">D8/F8</f>
        <v>1</v>
      </c>
      <c r="AB8" s="50">
        <f t="shared" ref="AB8:AB47" si="4">D8/H8</f>
        <v>1</v>
      </c>
      <c r="AC8" s="798">
        <f t="shared" ref="AC8:AC47" si="5">D8/J8</f>
        <v>1</v>
      </c>
    </row>
    <row r="9" spans="1:29" s="102" customFormat="1">
      <c r="A9" s="358" t="s">
        <v>1681</v>
      </c>
      <c r="B9" s="60" t="s">
        <v>1682</v>
      </c>
      <c r="C9" s="3161" t="s">
        <v>4209</v>
      </c>
      <c r="D9" s="59">
        <v>100</v>
      </c>
      <c r="E9" s="361" t="s">
        <v>21</v>
      </c>
      <c r="F9" s="59">
        <f>SUMIF(64:64,E9,65:65)-SUMIF(64:64,C9,65:65)+100</f>
        <v>100</v>
      </c>
      <c r="G9" s="360" t="s">
        <v>21</v>
      </c>
      <c r="H9" s="59">
        <f>SUMIF(64:64,G9,65:65)-SUMIF(64:64,C9,65:65)+100</f>
        <v>100</v>
      </c>
      <c r="I9" s="360" t="s">
        <v>21</v>
      </c>
      <c r="J9" s="59">
        <f>SUMIF(64:64,I9,65:65)-SUMIF(64:64,C9,65:65)+100</f>
        <v>100</v>
      </c>
      <c r="K9" s="38"/>
      <c r="L9" s="2482"/>
      <c r="M9" s="2433"/>
      <c r="N9" s="2433"/>
      <c r="O9" s="2433"/>
      <c r="P9" s="3447"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798">
        <f t="shared" si="5"/>
        <v>1</v>
      </c>
    </row>
    <row r="10" spans="1:29" s="365" customFormat="1" ht="27">
      <c r="A10" s="362"/>
      <c r="B10" s="363" t="s">
        <v>1685</v>
      </c>
      <c r="C10" s="3126">
        <f>项目基本情况!E15</f>
        <v>41.47</v>
      </c>
      <c r="D10" s="118">
        <v>100</v>
      </c>
      <c r="E10" s="3126" t="s">
        <v>4233</v>
      </c>
      <c r="F10" s="118">
        <f>SUMIF(66:66,E10,67:67)-SUMIF(66:66,C10,67:67)+100</f>
        <v>100</v>
      </c>
      <c r="G10" s="3127" t="s">
        <v>4233</v>
      </c>
      <c r="H10" s="118">
        <f>SUMIF(66:66,G10,67:67)-SUMIF(66:66,C10,67:67)+100</f>
        <v>100</v>
      </c>
      <c r="I10" s="3126" t="s">
        <v>4233</v>
      </c>
      <c r="J10" s="118">
        <f>SUMIF(66:66,I10,67:67)-SUMIF(66:66,C10,67:67)+100</f>
        <v>100</v>
      </c>
      <c r="K10" s="38"/>
      <c r="L10" s="2483"/>
      <c r="M10" s="2484"/>
      <c r="N10" s="2484"/>
      <c r="O10" s="2484"/>
      <c r="P10" s="3447"/>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798">
        <f t="shared" si="5"/>
        <v>1</v>
      </c>
    </row>
    <row r="11" spans="1:29" ht="15.75" thickBot="1">
      <c r="A11" s="366"/>
      <c r="B11" s="363" t="s">
        <v>1686</v>
      </c>
      <c r="C11" s="367">
        <f>'数据-汇总表'!I7</f>
        <v>6.2</v>
      </c>
      <c r="D11" s="118">
        <v>100</v>
      </c>
      <c r="E11" s="367">
        <v>3.77</v>
      </c>
      <c r="F11" s="118">
        <f>LOOKUP(E11,69:69,70:70)-LOOKUP(C11,69:69,70:70)+100</f>
        <v>100</v>
      </c>
      <c r="G11" s="368">
        <v>3.77</v>
      </c>
      <c r="H11" s="118">
        <f>LOOKUP(G11,69:69,70:70)-LOOKUP(C11,69:69,70:70)+100</f>
        <v>100</v>
      </c>
      <c r="I11" s="367">
        <v>3.5</v>
      </c>
      <c r="J11" s="118">
        <f>LOOKUP(I11,69:69,70:70)-LOOKUP(C11,69:69,70:70)+100</f>
        <v>100</v>
      </c>
      <c r="K11" s="537">
        <v>0</v>
      </c>
      <c r="L11" s="2485"/>
      <c r="M11" s="2481"/>
      <c r="N11" s="2481"/>
      <c r="O11" s="2481"/>
      <c r="P11" s="3447"/>
      <c r="Q11" s="529" t="str">
        <f t="shared" si="6"/>
        <v>容积率</v>
      </c>
      <c r="R11" s="662" t="s">
        <v>14</v>
      </c>
      <c r="S11" s="663">
        <f t="shared" si="0"/>
        <v>100</v>
      </c>
      <c r="T11" s="662" t="s">
        <v>14</v>
      </c>
      <c r="U11" s="663">
        <f t="shared" si="1"/>
        <v>100</v>
      </c>
      <c r="V11" s="662" t="s">
        <v>14</v>
      </c>
      <c r="W11" s="663">
        <f t="shared" si="2"/>
        <v>100</v>
      </c>
      <c r="X11" s="664"/>
      <c r="Y11" s="3292"/>
      <c r="Z11" s="50" t="str">
        <f t="shared" si="7"/>
        <v>容积率</v>
      </c>
      <c r="AA11" s="50">
        <f t="shared" si="3"/>
        <v>1</v>
      </c>
      <c r="AB11" s="50">
        <f t="shared" si="4"/>
        <v>1</v>
      </c>
      <c r="AC11" s="798">
        <f t="shared" si="5"/>
        <v>1</v>
      </c>
    </row>
    <row r="12" spans="1:29" s="102" customFormat="1" ht="15" hidden="1">
      <c r="A12" s="369"/>
      <c r="B12" s="446">
        <v>111</v>
      </c>
      <c r="C12" s="370"/>
      <c r="D12" s="371">
        <v>100</v>
      </c>
      <c r="E12" s="370"/>
      <c r="F12" s="118">
        <f>SUMIF(71:71,E12,72:72)-SUMIF(71:71,C12,72:72)+100</f>
        <v>100</v>
      </c>
      <c r="G12" s="1803"/>
      <c r="H12" s="118">
        <f>SUMIF(71:71,G12,72:72)-SUMIF(71:71,C12,72:72)+100</f>
        <v>100</v>
      </c>
      <c r="I12" s="370"/>
      <c r="J12" s="118">
        <f>SUMIF(71:71,I12,72:72)-SUMIF(71:71,C12,72:72)+100</f>
        <v>100</v>
      </c>
      <c r="K12" s="538"/>
      <c r="L12" s="2482"/>
      <c r="M12" s="2433"/>
      <c r="N12" s="2433"/>
      <c r="O12" s="2433"/>
      <c r="P12" s="3447"/>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798">
        <f>D12/J12</f>
        <v>1</v>
      </c>
    </row>
    <row r="13" spans="1:29" ht="15" hidden="1">
      <c r="A13" s="366"/>
      <c r="B13" s="446">
        <v>111</v>
      </c>
      <c r="C13" s="372"/>
      <c r="D13" s="373">
        <v>100</v>
      </c>
      <c r="E13" s="370"/>
      <c r="F13" s="118">
        <f>SUMIF(73:73,E13,74:74)-SUMIF(73:73,C13,74:74)+100</f>
        <v>100</v>
      </c>
      <c r="G13" s="1803"/>
      <c r="H13" s="373">
        <f>SUMIF(73:73,G13,74:74)-SUMIF(73:73,C13,74:74)+100</f>
        <v>100</v>
      </c>
      <c r="I13" s="370"/>
      <c r="J13" s="373">
        <f>SUMIF(73:73,I13,74:74)-SUMIF(73:73,C13,74:74)+100</f>
        <v>100</v>
      </c>
      <c r="K13" s="538"/>
      <c r="L13" s="2486"/>
      <c r="M13" s="2481"/>
      <c r="N13" s="2481"/>
      <c r="O13" s="2481"/>
      <c r="P13" s="3447"/>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798">
        <f t="shared" si="5"/>
        <v>1</v>
      </c>
    </row>
    <row r="14" spans="1:29" ht="15.75" hidden="1" thickBot="1">
      <c r="A14" s="374"/>
      <c r="B14" s="1742">
        <v>111</v>
      </c>
      <c r="C14" s="375"/>
      <c r="D14" s="376">
        <v>100</v>
      </c>
      <c r="E14" s="551"/>
      <c r="F14" s="376">
        <f>SUMIF(75:75,E14,76:76)-SUMIF(75:75,C14,76:76)+100</f>
        <v>100</v>
      </c>
      <c r="G14" s="1803"/>
      <c r="H14" s="376">
        <f>SUMIF(75:75,G14,76:76)-SUMIF(75:75,C14,76:76)+100</f>
        <v>100</v>
      </c>
      <c r="I14" s="370"/>
      <c r="J14" s="376">
        <f>SUMIF(75:75,I14,76:76)-SUMIF(75:75,C14,76:76)+100</f>
        <v>100</v>
      </c>
      <c r="K14" s="538"/>
      <c r="L14" s="2486"/>
      <c r="M14" s="2481"/>
      <c r="N14" s="2481"/>
      <c r="O14" s="2481"/>
      <c r="P14" s="3447"/>
      <c r="Q14" s="529">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798">
        <f t="shared" si="5"/>
        <v>1</v>
      </c>
    </row>
    <row r="15" spans="1:29" ht="15">
      <c r="A15" s="378" t="s">
        <v>1687</v>
      </c>
      <c r="B15" s="552" t="s">
        <v>1808</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v>2</v>
      </c>
      <c r="L15" s="2486"/>
      <c r="M15" s="2481"/>
      <c r="N15" s="2481"/>
      <c r="O15" s="2481"/>
      <c r="P15" s="3445" t="s">
        <v>1688</v>
      </c>
      <c r="Q15" s="1256" t="str">
        <f t="shared" si="6"/>
        <v>办公集聚程度</v>
      </c>
      <c r="R15" s="665" t="s">
        <v>14</v>
      </c>
      <c r="S15" s="666">
        <f t="shared" si="0"/>
        <v>100</v>
      </c>
      <c r="T15" s="665" t="s">
        <v>14</v>
      </c>
      <c r="U15" s="666">
        <f t="shared" si="1"/>
        <v>100</v>
      </c>
      <c r="V15" s="665" t="s">
        <v>14</v>
      </c>
      <c r="W15" s="666">
        <f t="shared" si="2"/>
        <v>100</v>
      </c>
      <c r="X15" s="1258"/>
      <c r="Y15" s="3438" t="s">
        <v>1688</v>
      </c>
      <c r="Z15" s="1257" t="str">
        <f t="shared" si="7"/>
        <v>办公集聚程度</v>
      </c>
      <c r="AA15" s="1257">
        <f t="shared" si="3"/>
        <v>1</v>
      </c>
      <c r="AB15" s="1257">
        <f t="shared" si="4"/>
        <v>1</v>
      </c>
      <c r="AC15" s="1805">
        <f t="shared" si="5"/>
        <v>1</v>
      </c>
    </row>
    <row r="16" spans="1:29" ht="15">
      <c r="A16" s="366"/>
      <c r="B16" s="553"/>
      <c r="C16" s="1751" t="s">
        <v>4165</v>
      </c>
      <c r="D16" s="386"/>
      <c r="E16" s="385" t="s">
        <v>4165</v>
      </c>
      <c r="F16" s="386"/>
      <c r="G16" s="1751" t="s">
        <v>4165</v>
      </c>
      <c r="H16" s="388"/>
      <c r="I16" s="385" t="s">
        <v>4165</v>
      </c>
      <c r="J16" s="386"/>
      <c r="K16" s="540"/>
      <c r="L16" s="2486"/>
      <c r="M16" s="2481"/>
      <c r="N16" s="2481"/>
      <c r="O16" s="2481"/>
      <c r="P16" s="3446"/>
      <c r="Q16" s="1256"/>
      <c r="R16" s="665"/>
      <c r="S16" s="666"/>
      <c r="T16" s="665"/>
      <c r="U16" s="666"/>
      <c r="V16" s="665"/>
      <c r="W16" s="666"/>
      <c r="X16" s="1258"/>
      <c r="Y16" s="3439"/>
      <c r="Z16" s="1257"/>
      <c r="AA16" s="1257">
        <v>1</v>
      </c>
      <c r="AB16" s="1257">
        <v>1</v>
      </c>
      <c r="AC16" s="1805">
        <v>1</v>
      </c>
    </row>
    <row r="17" spans="1:29" ht="15">
      <c r="A17" s="366"/>
      <c r="B17" s="554" t="s">
        <v>1256</v>
      </c>
      <c r="C17" s="1806">
        <f>估价对象房地状况!C6</f>
        <v>0</v>
      </c>
      <c r="D17" s="388">
        <v>100</v>
      </c>
      <c r="E17" s="392"/>
      <c r="F17" s="388">
        <f>SUMIF(79:79,E18,80:80)-SUMIF(79:79,C18,80:80)+100</f>
        <v>95</v>
      </c>
      <c r="G17" s="390"/>
      <c r="H17" s="393">
        <f>SUMIF(79:79,G18,80:80)-SUMIF(79:79,C18,80:80)+100</f>
        <v>95</v>
      </c>
      <c r="I17" s="390"/>
      <c r="J17" s="393">
        <f>SUMIF(79:79,I18,80:80)-SUMIF(79:79,C18,80:80)+100</f>
        <v>95</v>
      </c>
      <c r="K17" s="539">
        <v>5</v>
      </c>
      <c r="L17" s="2486"/>
      <c r="M17" s="2481"/>
      <c r="N17" s="2481"/>
      <c r="O17" s="2481"/>
      <c r="P17" s="3446"/>
      <c r="Q17" s="1256" t="str">
        <f>B17</f>
        <v>交通便捷度</v>
      </c>
      <c r="R17" s="665" t="s">
        <v>14</v>
      </c>
      <c r="S17" s="666">
        <f>F17</f>
        <v>95</v>
      </c>
      <c r="T17" s="665" t="s">
        <v>14</v>
      </c>
      <c r="U17" s="666">
        <f>H17</f>
        <v>95</v>
      </c>
      <c r="V17" s="665" t="s">
        <v>14</v>
      </c>
      <c r="W17" s="666">
        <f>J17</f>
        <v>95</v>
      </c>
      <c r="X17" s="1258"/>
      <c r="Y17" s="3439"/>
      <c r="Z17" s="1257" t="str">
        <f>Q17</f>
        <v>交通便捷度</v>
      </c>
      <c r="AA17" s="1257">
        <f t="shared" si="3"/>
        <v>1.0526315789473684</v>
      </c>
      <c r="AB17" s="1257">
        <f t="shared" si="4"/>
        <v>1.0526315789473684</v>
      </c>
      <c r="AC17" s="1805">
        <f t="shared" si="5"/>
        <v>1.0526315789473684</v>
      </c>
    </row>
    <row r="18" spans="1:29" ht="15">
      <c r="A18" s="366"/>
      <c r="B18" s="400"/>
      <c r="C18" s="1807" t="s">
        <v>4165</v>
      </c>
      <c r="D18" s="388"/>
      <c r="E18" s="1749" t="s">
        <v>4164</v>
      </c>
      <c r="F18" s="388"/>
      <c r="G18" s="1750" t="s">
        <v>4164</v>
      </c>
      <c r="H18" s="386"/>
      <c r="I18" s="1750" t="s">
        <v>4164</v>
      </c>
      <c r="J18" s="386"/>
      <c r="K18" s="540"/>
      <c r="L18" s="2486"/>
      <c r="M18" s="2481"/>
      <c r="N18" s="2481"/>
      <c r="O18" s="2481"/>
      <c r="P18" s="3446"/>
      <c r="Q18" s="1256"/>
      <c r="R18" s="665"/>
      <c r="S18" s="666"/>
      <c r="T18" s="665"/>
      <c r="U18" s="666"/>
      <c r="V18" s="665"/>
      <c r="W18" s="666"/>
      <c r="X18" s="1258"/>
      <c r="Y18" s="3439"/>
      <c r="Z18" s="1257"/>
      <c r="AA18" s="1257">
        <v>1</v>
      </c>
      <c r="AB18" s="1257">
        <v>1</v>
      </c>
      <c r="AC18" s="1805">
        <v>1</v>
      </c>
    </row>
    <row r="19" spans="1:29" ht="15">
      <c r="A19" s="366"/>
      <c r="B19" s="554" t="s">
        <v>1809</v>
      </c>
      <c r="C19" s="1806">
        <f>估价对象房地状况!C7</f>
        <v>0</v>
      </c>
      <c r="D19" s="393">
        <v>100</v>
      </c>
      <c r="E19" s="397"/>
      <c r="F19" s="393">
        <f>SUMIF(81:81,E20,82:82)-SUMIF(81:81,C20,82:82)+100</f>
        <v>100</v>
      </c>
      <c r="G19" s="395"/>
      <c r="H19" s="388">
        <f>SUMIF(81:81,G20,82:82)-SUMIF(81:81,C20,82:82)+100</f>
        <v>100</v>
      </c>
      <c r="I19" s="395"/>
      <c r="J19" s="388">
        <f>SUMIF(81:81,I20,82:82)-SUMIF(81:81,C20,82:82)+100</f>
        <v>100</v>
      </c>
      <c r="K19" s="539">
        <v>2</v>
      </c>
      <c r="L19" s="2486"/>
      <c r="M19" s="2481"/>
      <c r="N19" s="2481"/>
      <c r="O19" s="2481"/>
      <c r="P19" s="3446"/>
      <c r="Q19" s="1256" t="str">
        <f>B19</f>
        <v>公共配套设施</v>
      </c>
      <c r="R19" s="665" t="s">
        <v>14</v>
      </c>
      <c r="S19" s="666">
        <f>F19</f>
        <v>100</v>
      </c>
      <c r="T19" s="665" t="s">
        <v>14</v>
      </c>
      <c r="U19" s="666">
        <f>H19</f>
        <v>100</v>
      </c>
      <c r="V19" s="665" t="s">
        <v>14</v>
      </c>
      <c r="W19" s="666">
        <f>J19</f>
        <v>100</v>
      </c>
      <c r="X19" s="1258"/>
      <c r="Y19" s="3439"/>
      <c r="Z19" s="1257" t="str">
        <f>Q19</f>
        <v>公共配套设施</v>
      </c>
      <c r="AA19" s="1257">
        <f t="shared" si="3"/>
        <v>1</v>
      </c>
      <c r="AB19" s="1257">
        <f t="shared" si="4"/>
        <v>1</v>
      </c>
      <c r="AC19" s="1805">
        <f t="shared" si="5"/>
        <v>1</v>
      </c>
    </row>
    <row r="20" spans="1:29" ht="15">
      <c r="A20" s="366"/>
      <c r="B20" s="400"/>
      <c r="C20" s="1751" t="s">
        <v>4164</v>
      </c>
      <c r="D20" s="386"/>
      <c r="E20" s="1744" t="s">
        <v>4164</v>
      </c>
      <c r="F20" s="386"/>
      <c r="G20" s="1745" t="s">
        <v>4164</v>
      </c>
      <c r="H20" s="386"/>
      <c r="I20" s="1745" t="s">
        <v>4164</v>
      </c>
      <c r="J20" s="386"/>
      <c r="K20" s="540"/>
      <c r="L20" s="2486"/>
      <c r="M20" s="2481"/>
      <c r="N20" s="2481"/>
      <c r="O20" s="2481"/>
      <c r="P20" s="3446"/>
      <c r="Q20" s="1256"/>
      <c r="R20" s="665"/>
      <c r="S20" s="666"/>
      <c r="T20" s="665"/>
      <c r="U20" s="666"/>
      <c r="V20" s="665"/>
      <c r="W20" s="666"/>
      <c r="X20" s="1258"/>
      <c r="Y20" s="3439"/>
      <c r="Z20" s="1257"/>
      <c r="AA20" s="1257">
        <v>1</v>
      </c>
      <c r="AB20" s="1257">
        <v>1</v>
      </c>
      <c r="AC20" s="1805">
        <v>1</v>
      </c>
    </row>
    <row r="21" spans="1:29" ht="15">
      <c r="A21" s="366"/>
      <c r="B21" s="555" t="s">
        <v>1810</v>
      </c>
      <c r="C21" s="1806">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86"/>
      <c r="M21" s="2481"/>
      <c r="N21" s="2481"/>
      <c r="O21" s="2481"/>
      <c r="P21" s="3446"/>
      <c r="Q21" s="1256" t="str">
        <f>B21</f>
        <v>基础设施水平</v>
      </c>
      <c r="R21" s="665" t="s">
        <v>14</v>
      </c>
      <c r="S21" s="666">
        <f>F21</f>
        <v>100</v>
      </c>
      <c r="T21" s="665" t="s">
        <v>14</v>
      </c>
      <c r="U21" s="666">
        <f>H21</f>
        <v>100</v>
      </c>
      <c r="V21" s="665" t="s">
        <v>14</v>
      </c>
      <c r="W21" s="666">
        <f>J21</f>
        <v>100</v>
      </c>
      <c r="X21" s="1258"/>
      <c r="Y21" s="3439"/>
      <c r="Z21" s="1257" t="str">
        <f>Q21</f>
        <v>基础设施水平</v>
      </c>
      <c r="AA21" s="1257">
        <f t="shared" ref="AA21" si="8">D21/F21</f>
        <v>1</v>
      </c>
      <c r="AB21" s="1257">
        <f t="shared" ref="AB21" si="9">D21/H21</f>
        <v>1</v>
      </c>
      <c r="AC21" s="1805">
        <f t="shared" ref="AC21" si="10">D21/J21</f>
        <v>1</v>
      </c>
    </row>
    <row r="22" spans="1:29" ht="15">
      <c r="A22" s="366"/>
      <c r="B22" s="555"/>
      <c r="C22" s="1807" t="s">
        <v>4210</v>
      </c>
      <c r="D22" s="386"/>
      <c r="E22" s="385" t="s">
        <v>4210</v>
      </c>
      <c r="F22" s="386"/>
      <c r="G22" s="1751" t="s">
        <v>4210</v>
      </c>
      <c r="H22" s="386"/>
      <c r="I22" s="1751" t="s">
        <v>4210</v>
      </c>
      <c r="J22" s="386"/>
      <c r="K22" s="1059"/>
      <c r="L22" s="2486"/>
      <c r="M22" s="2481"/>
      <c r="N22" s="2481"/>
      <c r="O22" s="2481"/>
      <c r="P22" s="3446"/>
      <c r="Q22" s="1256"/>
      <c r="R22" s="665"/>
      <c r="S22" s="666"/>
      <c r="T22" s="665"/>
      <c r="U22" s="666"/>
      <c r="V22" s="665"/>
      <c r="W22" s="666"/>
      <c r="X22" s="1258"/>
      <c r="Y22" s="3439"/>
      <c r="Z22" s="1257"/>
      <c r="AA22" s="1257">
        <v>1</v>
      </c>
      <c r="AB22" s="1257">
        <v>1</v>
      </c>
      <c r="AC22" s="1805">
        <v>1</v>
      </c>
    </row>
    <row r="23" spans="1:29" ht="15">
      <c r="A23" s="366"/>
      <c r="B23" s="554" t="s">
        <v>1811</v>
      </c>
      <c r="C23" s="1806">
        <f>估价对象房地状况!C9</f>
        <v>0</v>
      </c>
      <c r="D23" s="388">
        <v>100</v>
      </c>
      <c r="E23" s="392"/>
      <c r="F23" s="388">
        <f>SUMIF(85:85,E24,86:86)-SUMIF(85:85,C24,86:86)+100</f>
        <v>100</v>
      </c>
      <c r="G23" s="390"/>
      <c r="H23" s="388">
        <f>SUMIF(85:85,G24,86:86)-SUMIF(85:85,C24,86:86)+100</f>
        <v>100</v>
      </c>
      <c r="I23" s="390"/>
      <c r="J23" s="388">
        <f>SUMIF(85:85,I24,86:86)-SUMIF(85:85,C24,86:86)+100</f>
        <v>100</v>
      </c>
      <c r="K23" s="539">
        <v>2</v>
      </c>
      <c r="L23" s="2486"/>
      <c r="M23" s="2481"/>
      <c r="N23" s="2481"/>
      <c r="O23" s="2481"/>
      <c r="P23" s="3446"/>
      <c r="Q23" s="1256" t="str">
        <f>B23</f>
        <v>环境质量</v>
      </c>
      <c r="R23" s="665" t="s">
        <v>14</v>
      </c>
      <c r="S23" s="666">
        <f>F23</f>
        <v>100</v>
      </c>
      <c r="T23" s="665" t="s">
        <v>14</v>
      </c>
      <c r="U23" s="666">
        <f>H23</f>
        <v>100</v>
      </c>
      <c r="V23" s="665" t="s">
        <v>14</v>
      </c>
      <c r="W23" s="666">
        <f>J23</f>
        <v>100</v>
      </c>
      <c r="X23" s="1258"/>
      <c r="Y23" s="3439"/>
      <c r="Z23" s="1257" t="str">
        <f>Q23</f>
        <v>环境质量</v>
      </c>
      <c r="AA23" s="1257">
        <f t="shared" si="3"/>
        <v>1</v>
      </c>
      <c r="AB23" s="1257">
        <f t="shared" si="4"/>
        <v>1</v>
      </c>
      <c r="AC23" s="1805">
        <f t="shared" si="5"/>
        <v>1</v>
      </c>
    </row>
    <row r="24" spans="1:29" ht="15">
      <c r="A24" s="366"/>
      <c r="B24" s="555"/>
      <c r="C24" s="385" t="s">
        <v>4164</v>
      </c>
      <c r="D24" s="386"/>
      <c r="E24" s="385" t="s">
        <v>4164</v>
      </c>
      <c r="F24" s="386"/>
      <c r="G24" s="385" t="s">
        <v>4164</v>
      </c>
      <c r="H24" s="386"/>
      <c r="I24" s="385" t="s">
        <v>4164</v>
      </c>
      <c r="J24" s="386"/>
      <c r="K24" s="540"/>
      <c r="L24" s="2486"/>
      <c r="M24" s="2481"/>
      <c r="N24" s="2481"/>
      <c r="O24" s="2481"/>
      <c r="P24" s="3446"/>
      <c r="Q24" s="1256"/>
      <c r="R24" s="665"/>
      <c r="S24" s="666"/>
      <c r="T24" s="665"/>
      <c r="U24" s="666"/>
      <c r="V24" s="665"/>
      <c r="W24" s="666"/>
      <c r="X24" s="1258"/>
      <c r="Y24" s="3439"/>
      <c r="Z24" s="1257"/>
      <c r="AA24" s="1257">
        <v>1</v>
      </c>
      <c r="AB24" s="1257">
        <v>1</v>
      </c>
      <c r="AC24" s="1805">
        <v>1</v>
      </c>
    </row>
    <row r="25" spans="1:29" ht="27" hidden="1">
      <c r="A25" s="347"/>
      <c r="B25" s="554" t="s">
        <v>1812</v>
      </c>
      <c r="C25" s="1755"/>
      <c r="D25" s="373">
        <v>100</v>
      </c>
      <c r="E25" s="372"/>
      <c r="F25" s="373">
        <f>SUMIF(87:87,E26,88:88)-SUMIF(87:87,C26,88:88)+100</f>
        <v>100</v>
      </c>
      <c r="G25" s="1755"/>
      <c r="H25" s="373">
        <f>SUMIF(87:87,G26,88:88)-SUMIF(87:87,C26,88:88)+100</f>
        <v>100</v>
      </c>
      <c r="I25" s="372"/>
      <c r="J25" s="373">
        <f>SUMIF(87:87,I26,88:88)-SUMIF(87:87,C26,88:88)+100</f>
        <v>100</v>
      </c>
      <c r="K25" s="539"/>
      <c r="L25" s="2486"/>
      <c r="M25" s="2481"/>
      <c r="N25" s="2481"/>
      <c r="O25" s="2481"/>
      <c r="P25" s="3446"/>
      <c r="Q25" s="1256" t="str">
        <f>B25</f>
        <v>毗邻道路的类型与等级</v>
      </c>
      <c r="R25" s="665" t="s">
        <v>14</v>
      </c>
      <c r="S25" s="666">
        <f>F25</f>
        <v>100</v>
      </c>
      <c r="T25" s="665" t="s">
        <v>14</v>
      </c>
      <c r="U25" s="666">
        <f>H25</f>
        <v>100</v>
      </c>
      <c r="V25" s="665" t="s">
        <v>14</v>
      </c>
      <c r="W25" s="666">
        <f>J25</f>
        <v>100</v>
      </c>
      <c r="X25" s="1258"/>
      <c r="Y25" s="3439"/>
      <c r="Z25" s="1257" t="str">
        <f>Q25</f>
        <v>毗邻道路的类型与等级</v>
      </c>
      <c r="AA25" s="1257">
        <f t="shared" si="3"/>
        <v>1</v>
      </c>
      <c r="AB25" s="1257">
        <f t="shared" si="4"/>
        <v>1</v>
      </c>
      <c r="AC25" s="1805">
        <f t="shared" si="5"/>
        <v>1</v>
      </c>
    </row>
    <row r="26" spans="1:29" ht="15" hidden="1">
      <c r="A26" s="347"/>
      <c r="B26" s="400"/>
      <c r="C26" s="556"/>
      <c r="D26" s="373"/>
      <c r="E26" s="541"/>
      <c r="F26" s="373"/>
      <c r="G26" s="556"/>
      <c r="H26" s="373"/>
      <c r="I26" s="541"/>
      <c r="J26" s="373"/>
      <c r="K26" s="540"/>
      <c r="L26" s="2486"/>
      <c r="M26" s="2481"/>
      <c r="N26" s="2481"/>
      <c r="O26" s="2481"/>
      <c r="P26" s="3446"/>
      <c r="Q26" s="1256"/>
      <c r="R26" s="665"/>
      <c r="S26" s="666"/>
      <c r="T26" s="665"/>
      <c r="U26" s="666"/>
      <c r="V26" s="665"/>
      <c r="W26" s="666"/>
      <c r="X26" s="1258"/>
      <c r="Y26" s="3439"/>
      <c r="Z26" s="1257"/>
      <c r="AA26" s="1257">
        <v>1</v>
      </c>
      <c r="AB26" s="1257">
        <v>1</v>
      </c>
      <c r="AC26" s="1805">
        <v>1</v>
      </c>
    </row>
    <row r="27" spans="1:29" ht="15.75" thickBot="1">
      <c r="A27" s="366"/>
      <c r="B27" s="400" t="s">
        <v>1780</v>
      </c>
      <c r="C27" s="556" t="s">
        <v>4211</v>
      </c>
      <c r="D27" s="373">
        <v>100</v>
      </c>
      <c r="E27" s="541" t="s">
        <v>4211</v>
      </c>
      <c r="F27" s="373">
        <f>SUMIF(89:89,E27,90:90)-SUMIF(89:89,C27,90:90)+100</f>
        <v>100</v>
      </c>
      <c r="G27" s="556" t="s">
        <v>4211</v>
      </c>
      <c r="H27" s="373">
        <f>SUMIF(89:89,G27,90:90)-SUMIF(89:89,C27,90:90)+100</f>
        <v>100</v>
      </c>
      <c r="I27" s="541" t="s">
        <v>4211</v>
      </c>
      <c r="J27" s="373">
        <f>SUMIF(89:89,I27,90:90)-SUMIF(89:89,C27,90:90)+100</f>
        <v>100</v>
      </c>
      <c r="K27" s="537">
        <v>2</v>
      </c>
      <c r="L27" s="2486"/>
      <c r="M27" s="2481"/>
      <c r="N27" s="2481"/>
      <c r="O27" s="2481"/>
      <c r="P27" s="3446"/>
      <c r="Q27" s="1256" t="str">
        <f t="shared" ref="Q27:Q47" si="11">B27</f>
        <v>楼层</v>
      </c>
      <c r="R27" s="665" t="s">
        <v>14</v>
      </c>
      <c r="S27" s="666">
        <f>F27</f>
        <v>100</v>
      </c>
      <c r="T27" s="665" t="s">
        <v>14</v>
      </c>
      <c r="U27" s="666">
        <f>H27</f>
        <v>100</v>
      </c>
      <c r="V27" s="665" t="s">
        <v>14</v>
      </c>
      <c r="W27" s="666">
        <f>J27</f>
        <v>100</v>
      </c>
      <c r="X27" s="1258"/>
      <c r="Y27" s="3439"/>
      <c r="Z27" s="1257" t="str">
        <f>Q27</f>
        <v>楼层</v>
      </c>
      <c r="AA27" s="1257">
        <f t="shared" si="3"/>
        <v>1</v>
      </c>
      <c r="AB27" s="1257">
        <f t="shared" si="4"/>
        <v>1</v>
      </c>
      <c r="AC27" s="1805">
        <f t="shared" si="5"/>
        <v>1</v>
      </c>
    </row>
    <row r="28" spans="1:29" s="102" customFormat="1" ht="15" hidden="1">
      <c r="A28" s="369"/>
      <c r="B28" s="554" t="s">
        <v>1813</v>
      </c>
      <c r="C28" s="1808"/>
      <c r="D28" s="400">
        <v>100</v>
      </c>
      <c r="E28" s="1800"/>
      <c r="F28" s="400">
        <f>SUMIF(91:91,E28,92:92)-SUMIF(91:91,C28,92:92)+100</f>
        <v>100</v>
      </c>
      <c r="G28" s="1808"/>
      <c r="H28" s="400">
        <f>SUMIF(91:91,G28,92:92)-SUMIF(91:91,C28,92:92)+100</f>
        <v>100</v>
      </c>
      <c r="I28" s="1800"/>
      <c r="J28" s="400">
        <f>SUMIF(91:91,I28,92:92)-SUMIF(91:91,C28,92:92)+100</f>
        <v>100</v>
      </c>
      <c r="K28" s="537"/>
      <c r="L28" s="2482"/>
      <c r="M28" s="2433"/>
      <c r="N28" s="2433"/>
      <c r="O28" s="2433"/>
      <c r="P28" s="3446"/>
      <c r="Q28" s="529" t="str">
        <f t="shared" si="11"/>
        <v>朝向</v>
      </c>
      <c r="R28" s="662" t="s">
        <v>14</v>
      </c>
      <c r="S28" s="663">
        <f>F28</f>
        <v>100</v>
      </c>
      <c r="T28" s="662" t="s">
        <v>14</v>
      </c>
      <c r="U28" s="663">
        <f>H28</f>
        <v>100</v>
      </c>
      <c r="V28" s="662" t="s">
        <v>14</v>
      </c>
      <c r="W28" s="663">
        <f>J28</f>
        <v>100</v>
      </c>
      <c r="X28" s="664"/>
      <c r="Y28" s="3439"/>
      <c r="Z28" s="50" t="str">
        <f>Q28</f>
        <v>朝向</v>
      </c>
      <c r="AA28" s="1257">
        <f>D28/F28</f>
        <v>1</v>
      </c>
      <c r="AB28" s="1257">
        <f>D28/H28</f>
        <v>1</v>
      </c>
      <c r="AC28" s="1805">
        <f>D28/J28</f>
        <v>1</v>
      </c>
    </row>
    <row r="29" spans="1:29" ht="15" hidden="1">
      <c r="A29" s="366"/>
      <c r="B29" s="1094">
        <v>111</v>
      </c>
      <c r="C29" s="1755"/>
      <c r="D29" s="373">
        <v>100</v>
      </c>
      <c r="E29" s="370"/>
      <c r="F29" s="373">
        <f>SUMIF(93:93,E29,94:94)-SUMIF(93:93,C29,94:94)+100</f>
        <v>100</v>
      </c>
      <c r="G29" s="1803"/>
      <c r="H29" s="373">
        <f>SUMIF(93:93,G29,94:94)-SUMIF(93:93,C29,94:94)+100</f>
        <v>100</v>
      </c>
      <c r="I29" s="370"/>
      <c r="J29" s="373">
        <f>SUMIF(93:93,I29,94:94)-SUMIF(93:93,C29,94:94)+100</f>
        <v>100</v>
      </c>
      <c r="K29" s="538"/>
      <c r="L29" s="2486"/>
      <c r="M29" s="2481"/>
      <c r="N29" s="2481"/>
      <c r="O29" s="2481"/>
      <c r="P29" s="3446"/>
      <c r="Q29" s="1256">
        <f t="shared" si="11"/>
        <v>111</v>
      </c>
      <c r="R29" s="665" t="s">
        <v>14</v>
      </c>
      <c r="S29" s="666">
        <f t="shared" ref="S29:S47" si="12">F29</f>
        <v>100</v>
      </c>
      <c r="T29" s="665" t="s">
        <v>14</v>
      </c>
      <c r="U29" s="666">
        <f t="shared" ref="U29:U47" si="13">H29</f>
        <v>100</v>
      </c>
      <c r="V29" s="665" t="s">
        <v>14</v>
      </c>
      <c r="W29" s="666">
        <f t="shared" ref="W29:W47" si="14">J29</f>
        <v>100</v>
      </c>
      <c r="X29" s="1258"/>
      <c r="Y29" s="3439"/>
      <c r="Z29" s="1257">
        <f t="shared" ref="Z29:Z47" si="15">Q29</f>
        <v>111</v>
      </c>
      <c r="AA29" s="1257">
        <f t="shared" si="3"/>
        <v>1</v>
      </c>
      <c r="AB29" s="1257">
        <f t="shared" si="4"/>
        <v>1</v>
      </c>
      <c r="AC29" s="1805">
        <f t="shared" si="5"/>
        <v>1</v>
      </c>
    </row>
    <row r="30" spans="1:29" ht="15" hidden="1">
      <c r="A30" s="366"/>
      <c r="B30" s="1094">
        <v>111</v>
      </c>
      <c r="C30" s="1755"/>
      <c r="D30" s="373">
        <v>100</v>
      </c>
      <c r="E30" s="370"/>
      <c r="F30" s="373">
        <f>SUMIF(95:95,E30,96:96)-SUMIF(95:95,C30,96:96)+100</f>
        <v>100</v>
      </c>
      <c r="G30" s="1803"/>
      <c r="H30" s="373">
        <f>SUMIF(95:95,G30,96:96)-SUMIF(95:95,C30,96:96)+100</f>
        <v>100</v>
      </c>
      <c r="I30" s="370"/>
      <c r="J30" s="373">
        <f>SUMIF(95:95,I30,96:96)-SUMIF(95:95,C30,96:96)+100</f>
        <v>100</v>
      </c>
      <c r="K30" s="538"/>
      <c r="L30" s="2486"/>
      <c r="M30" s="2481"/>
      <c r="N30" s="2481"/>
      <c r="O30" s="2481"/>
      <c r="P30" s="3446"/>
      <c r="Q30" s="1256">
        <f t="shared" si="11"/>
        <v>111</v>
      </c>
      <c r="R30" s="665" t="s">
        <v>14</v>
      </c>
      <c r="S30" s="666">
        <f t="shared" si="12"/>
        <v>100</v>
      </c>
      <c r="T30" s="665" t="s">
        <v>14</v>
      </c>
      <c r="U30" s="666">
        <f t="shared" si="13"/>
        <v>100</v>
      </c>
      <c r="V30" s="665" t="s">
        <v>14</v>
      </c>
      <c r="W30" s="666">
        <f t="shared" si="14"/>
        <v>100</v>
      </c>
      <c r="X30" s="1258"/>
      <c r="Y30" s="3439"/>
      <c r="Z30" s="1257">
        <f t="shared" si="15"/>
        <v>111</v>
      </c>
      <c r="AA30" s="1257">
        <f t="shared" si="3"/>
        <v>1</v>
      </c>
      <c r="AB30" s="1257">
        <f t="shared" si="4"/>
        <v>1</v>
      </c>
      <c r="AC30" s="1805">
        <f t="shared" si="5"/>
        <v>1</v>
      </c>
    </row>
    <row r="31" spans="1:29" ht="15" hidden="1">
      <c r="A31" s="366"/>
      <c r="B31" s="1094">
        <v>111</v>
      </c>
      <c r="C31" s="1755"/>
      <c r="D31" s="373">
        <v>100</v>
      </c>
      <c r="E31" s="370"/>
      <c r="F31" s="373">
        <f>SUMIF(97:97,E31,98:98)-SUMIF(97:97,C31,98:98)+100</f>
        <v>100</v>
      </c>
      <c r="G31" s="1803"/>
      <c r="H31" s="373">
        <f>SUMIF(97:97,G31,98:98)-SUMIF(97:97,C31,98:98)+100</f>
        <v>100</v>
      </c>
      <c r="I31" s="370"/>
      <c r="J31" s="373">
        <f>SUMIF(97:97,I31,98:98)-SUMIF(97:97,C31,98:98)+100</f>
        <v>100</v>
      </c>
      <c r="K31" s="538"/>
      <c r="L31" s="2486"/>
      <c r="M31" s="2481"/>
      <c r="N31" s="2481"/>
      <c r="O31" s="2481"/>
      <c r="P31" s="3446"/>
      <c r="Q31" s="1256">
        <f t="shared" si="11"/>
        <v>111</v>
      </c>
      <c r="R31" s="665" t="s">
        <v>14</v>
      </c>
      <c r="S31" s="666">
        <f t="shared" si="12"/>
        <v>100</v>
      </c>
      <c r="T31" s="665" t="s">
        <v>14</v>
      </c>
      <c r="U31" s="666">
        <f t="shared" si="13"/>
        <v>100</v>
      </c>
      <c r="V31" s="665" t="s">
        <v>14</v>
      </c>
      <c r="W31" s="666">
        <f t="shared" si="14"/>
        <v>100</v>
      </c>
      <c r="X31" s="1258"/>
      <c r="Y31" s="3439"/>
      <c r="Z31" s="1257">
        <f t="shared" si="15"/>
        <v>111</v>
      </c>
      <c r="AA31" s="1257">
        <f t="shared" si="3"/>
        <v>1</v>
      </c>
      <c r="AB31" s="1257">
        <f t="shared" si="4"/>
        <v>1</v>
      </c>
      <c r="AC31" s="1805">
        <f t="shared" si="5"/>
        <v>1</v>
      </c>
    </row>
    <row r="32" spans="1:29" ht="15.75" hidden="1" thickBot="1">
      <c r="A32" s="374"/>
      <c r="B32" s="557">
        <v>111</v>
      </c>
      <c r="C32" s="1756"/>
      <c r="D32" s="376">
        <v>100</v>
      </c>
      <c r="E32" s="551"/>
      <c r="F32" s="376">
        <f>SUMIF(99:99,E32,100:100)-SUMIF(99:99,C32,100:100)+100</f>
        <v>100</v>
      </c>
      <c r="G32" s="1803"/>
      <c r="H32" s="376">
        <f>SUMIF(99:99,G32,100:100)-SUMIF(99:99,C32,100:100)+100</f>
        <v>100</v>
      </c>
      <c r="I32" s="370"/>
      <c r="J32" s="376">
        <f>SUMIF(99:99,I32,100:100)-SUMIF(99:99,C32,100:100)+100</f>
        <v>100</v>
      </c>
      <c r="K32" s="538"/>
      <c r="L32" s="2486"/>
      <c r="M32" s="2481"/>
      <c r="N32" s="2481"/>
      <c r="O32" s="2481"/>
      <c r="P32" s="3446"/>
      <c r="Q32" s="1256">
        <f t="shared" si="11"/>
        <v>111</v>
      </c>
      <c r="R32" s="665" t="s">
        <v>14</v>
      </c>
      <c r="S32" s="666">
        <f t="shared" si="12"/>
        <v>100</v>
      </c>
      <c r="T32" s="665" t="s">
        <v>14</v>
      </c>
      <c r="U32" s="666">
        <f t="shared" si="13"/>
        <v>100</v>
      </c>
      <c r="V32" s="665" t="s">
        <v>14</v>
      </c>
      <c r="W32" s="666">
        <f t="shared" si="14"/>
        <v>100</v>
      </c>
      <c r="X32" s="1258"/>
      <c r="Y32" s="3439"/>
      <c r="Z32" s="1257">
        <f t="shared" si="15"/>
        <v>111</v>
      </c>
      <c r="AA32" s="1257">
        <f t="shared" si="3"/>
        <v>1</v>
      </c>
      <c r="AB32" s="1257">
        <f t="shared" si="4"/>
        <v>1</v>
      </c>
      <c r="AC32" s="1805">
        <f t="shared" si="5"/>
        <v>1</v>
      </c>
    </row>
    <row r="33" spans="1:29" ht="15">
      <c r="A33" s="378" t="s">
        <v>1691</v>
      </c>
      <c r="B33" s="60" t="s">
        <v>1814</v>
      </c>
      <c r="C33" s="1757" t="s">
        <v>4212</v>
      </c>
      <c r="D33" s="404">
        <v>100</v>
      </c>
      <c r="E33" s="1757" t="s">
        <v>4212</v>
      </c>
      <c r="F33" s="399">
        <f>SUMIF(101:101,E33,102:102)-SUMIF(101:101,C33,102:102)+100</f>
        <v>100</v>
      </c>
      <c r="G33" s="1757" t="s">
        <v>4212</v>
      </c>
      <c r="H33" s="373">
        <f>SUMIF(101:101,G33,102:102)-SUMIF(101:101,C33,102:102)+100</f>
        <v>100</v>
      </c>
      <c r="I33" s="1757" t="s">
        <v>4212</v>
      </c>
      <c r="J33" s="404">
        <f>SUMIF(101:101,I33,102:102)-SUMIF(101:101,C33,102:102)+100</f>
        <v>100</v>
      </c>
      <c r="K33" s="537">
        <v>2</v>
      </c>
      <c r="L33" s="2486"/>
      <c r="M33" s="2481"/>
      <c r="N33" s="2481"/>
      <c r="O33" s="2481"/>
      <c r="P33" s="3440" t="s">
        <v>1693</v>
      </c>
      <c r="Q33" s="1256" t="str">
        <f t="shared" si="11"/>
        <v>建筑类型</v>
      </c>
      <c r="R33" s="665" t="s">
        <v>14</v>
      </c>
      <c r="S33" s="666">
        <f t="shared" si="12"/>
        <v>100</v>
      </c>
      <c r="T33" s="665" t="s">
        <v>14</v>
      </c>
      <c r="U33" s="666">
        <f t="shared" si="13"/>
        <v>100</v>
      </c>
      <c r="V33" s="665" t="s">
        <v>14</v>
      </c>
      <c r="W33" s="666">
        <f t="shared" si="14"/>
        <v>100</v>
      </c>
      <c r="X33" s="1258"/>
      <c r="Y33" s="3443" t="s">
        <v>1693</v>
      </c>
      <c r="Z33" s="1257" t="str">
        <f t="shared" si="15"/>
        <v>建筑类型</v>
      </c>
      <c r="AA33" s="1257">
        <f t="shared" si="3"/>
        <v>1</v>
      </c>
      <c r="AB33" s="1257">
        <f t="shared" si="4"/>
        <v>1</v>
      </c>
      <c r="AC33" s="1805">
        <f t="shared" si="5"/>
        <v>1</v>
      </c>
    </row>
    <row r="34" spans="1:29" s="407" customFormat="1" ht="15">
      <c r="A34" s="405"/>
      <c r="B34" s="363" t="s">
        <v>1694</v>
      </c>
      <c r="C34" s="406">
        <f>'数据-基础表'!I14</f>
        <v>754.84</v>
      </c>
      <c r="D34" s="118">
        <v>100</v>
      </c>
      <c r="E34" s="368">
        <v>149.06</v>
      </c>
      <c r="F34" s="363">
        <f>LOOKUP(E34,104:104,105:105)-LOOKUP(C34,104:104,105:105)+100</f>
        <v>102</v>
      </c>
      <c r="G34" s="367">
        <v>128.76</v>
      </c>
      <c r="H34" s="118">
        <f>LOOKUP(G34,104:104,105:105)-LOOKUP(C34,104:104,105:105)+100</f>
        <v>102</v>
      </c>
      <c r="I34" s="367">
        <v>1206.04</v>
      </c>
      <c r="J34" s="118">
        <f>LOOKUP(I34,104:104,105:105)-LOOKUP(C34,104:104,105:105)+100</f>
        <v>98</v>
      </c>
      <c r="K34" s="538"/>
      <c r="L34" s="2485"/>
      <c r="M34" s="2487"/>
      <c r="N34" s="2487"/>
      <c r="O34" s="2487"/>
      <c r="P34" s="3441"/>
      <c r="Q34" s="530" t="str">
        <f t="shared" si="11"/>
        <v>项目建筑规模</v>
      </c>
      <c r="R34" s="667" t="s">
        <v>14</v>
      </c>
      <c r="S34" s="668">
        <f t="shared" si="12"/>
        <v>102</v>
      </c>
      <c r="T34" s="667" t="s">
        <v>14</v>
      </c>
      <c r="U34" s="668">
        <f t="shared" si="13"/>
        <v>102</v>
      </c>
      <c r="V34" s="667" t="s">
        <v>14</v>
      </c>
      <c r="W34" s="668">
        <f t="shared" si="14"/>
        <v>98</v>
      </c>
      <c r="X34" s="669"/>
      <c r="Y34" s="3443"/>
      <c r="Z34" s="670" t="str">
        <f t="shared" si="15"/>
        <v>项目建筑规模</v>
      </c>
      <c r="AA34" s="1257">
        <f t="shared" si="3"/>
        <v>0.98039215686274506</v>
      </c>
      <c r="AB34" s="1257">
        <f t="shared" si="4"/>
        <v>0.98039215686274506</v>
      </c>
      <c r="AC34" s="1805">
        <f t="shared" si="5"/>
        <v>1.0204081632653061</v>
      </c>
    </row>
    <row r="35" spans="1:29" ht="15">
      <c r="A35" s="408"/>
      <c r="B35" s="363" t="s">
        <v>1695</v>
      </c>
      <c r="C35" s="398" t="s">
        <v>4184</v>
      </c>
      <c r="D35" s="373">
        <v>100</v>
      </c>
      <c r="E35" s="398" t="s">
        <v>4184</v>
      </c>
      <c r="F35" s="399">
        <f>SUMIF(106:106,E35,107:107)-SUMIF(106:106,C35,107:107)+100</f>
        <v>100</v>
      </c>
      <c r="G35" s="398" t="s">
        <v>4184</v>
      </c>
      <c r="H35" s="373">
        <f>SUMIF(106:106,G35,107:107)-SUMIF(106:106,C35,107:107)+100</f>
        <v>100</v>
      </c>
      <c r="I35" s="398" t="s">
        <v>4184</v>
      </c>
      <c r="J35" s="373">
        <f>SUMIF(106:106,I35,107:107)-SUMIF(106:106,C35,107:107)+100</f>
        <v>100</v>
      </c>
      <c r="K35" s="537">
        <v>1</v>
      </c>
      <c r="L35" s="2486"/>
      <c r="M35" s="2481"/>
      <c r="N35" s="2481"/>
      <c r="O35" s="2481"/>
      <c r="P35" s="3441"/>
      <c r="Q35" s="1256" t="str">
        <f t="shared" si="11"/>
        <v>建筑结构</v>
      </c>
      <c r="R35" s="665" t="s">
        <v>14</v>
      </c>
      <c r="S35" s="666">
        <f t="shared" si="12"/>
        <v>100</v>
      </c>
      <c r="T35" s="665" t="s">
        <v>14</v>
      </c>
      <c r="U35" s="666">
        <f t="shared" si="13"/>
        <v>100</v>
      </c>
      <c r="V35" s="665" t="s">
        <v>14</v>
      </c>
      <c r="W35" s="666">
        <f t="shared" si="14"/>
        <v>100</v>
      </c>
      <c r="X35" s="1258"/>
      <c r="Y35" s="3443"/>
      <c r="Z35" s="1257" t="str">
        <f t="shared" si="15"/>
        <v>建筑结构</v>
      </c>
      <c r="AA35" s="1257">
        <f t="shared" si="3"/>
        <v>1</v>
      </c>
      <c r="AB35" s="1257">
        <f t="shared" si="4"/>
        <v>1</v>
      </c>
      <c r="AC35" s="1805">
        <f t="shared" si="5"/>
        <v>1</v>
      </c>
    </row>
    <row r="36" spans="1:29" ht="15">
      <c r="A36" s="408"/>
      <c r="B36" s="363" t="s">
        <v>1782</v>
      </c>
      <c r="C36" s="3198" t="s">
        <v>4213</v>
      </c>
      <c r="D36" s="373">
        <v>100</v>
      </c>
      <c r="E36" s="3198" t="s">
        <v>4237</v>
      </c>
      <c r="F36" s="399">
        <f>SUMIF(108:108,E36,109:109)-SUMIF(108:108,C36,109:109)+100</f>
        <v>95</v>
      </c>
      <c r="G36" s="3198" t="s">
        <v>4237</v>
      </c>
      <c r="H36" s="373">
        <f>SUMIF(108:108,G36,109:109)-SUMIF(108:108,C36,109:109)+100</f>
        <v>95</v>
      </c>
      <c r="I36" s="3198" t="s">
        <v>4237</v>
      </c>
      <c r="J36" s="373">
        <f>SUMIF(108:108,I36,109:109)-SUMIF(108:108,C36,109:109)+100</f>
        <v>95</v>
      </c>
      <c r="K36" s="537">
        <v>5</v>
      </c>
      <c r="L36" s="2486"/>
      <c r="M36" s="2481"/>
      <c r="N36" s="2481"/>
      <c r="O36" s="2481"/>
      <c r="P36" s="3441"/>
      <c r="Q36" s="1256" t="str">
        <f t="shared" si="11"/>
        <v>公共部分装修</v>
      </c>
      <c r="R36" s="665" t="s">
        <v>14</v>
      </c>
      <c r="S36" s="666">
        <f t="shared" si="12"/>
        <v>95</v>
      </c>
      <c r="T36" s="665" t="s">
        <v>14</v>
      </c>
      <c r="U36" s="666">
        <f t="shared" si="13"/>
        <v>95</v>
      </c>
      <c r="V36" s="665" t="s">
        <v>14</v>
      </c>
      <c r="W36" s="666">
        <f t="shared" si="14"/>
        <v>95</v>
      </c>
      <c r="X36" s="1258"/>
      <c r="Y36" s="3443"/>
      <c r="Z36" s="1257" t="str">
        <f t="shared" si="15"/>
        <v>公共部分装修</v>
      </c>
      <c r="AA36" s="1257">
        <f t="shared" si="3"/>
        <v>1.0526315789473684</v>
      </c>
      <c r="AB36" s="1257">
        <f t="shared" si="4"/>
        <v>1.0526315789473684</v>
      </c>
      <c r="AC36" s="1805">
        <f t="shared" si="5"/>
        <v>1.0526315789473684</v>
      </c>
    </row>
    <row r="37" spans="1:29" ht="15">
      <c r="A37" s="408"/>
      <c r="B37" s="363" t="s">
        <v>1783</v>
      </c>
      <c r="C37" s="410">
        <f>ROUND(1-(2024-2021)/60,2)</f>
        <v>0.95</v>
      </c>
      <c r="D37" s="373">
        <v>100</v>
      </c>
      <c r="E37" s="410">
        <f>ROUND(1-(2024-2017)/60,2)</f>
        <v>0.88</v>
      </c>
      <c r="F37" s="399">
        <f>LOOKUP(E37,111:111,112:112)-LOOKUP(C37,111:111,112:112)+100</f>
        <v>98</v>
      </c>
      <c r="G37" s="410">
        <f>E37</f>
        <v>0.88</v>
      </c>
      <c r="H37" s="399">
        <f>LOOKUP(G37,111:111,112:112)-LOOKUP(C37,111:111,112:112)+100</f>
        <v>98</v>
      </c>
      <c r="I37" s="410">
        <f>ROUND(1-(2024-2019)/60,2)</f>
        <v>0.92</v>
      </c>
      <c r="J37" s="373">
        <f>LOOKUP(I37,111:111,112:112)-LOOKUP(C37,111:111,112:112)+100</f>
        <v>100</v>
      </c>
      <c r="K37" s="537">
        <v>2</v>
      </c>
      <c r="L37" s="2486"/>
      <c r="M37" s="2481"/>
      <c r="N37" s="2481"/>
      <c r="O37" s="2481"/>
      <c r="P37" s="3441"/>
      <c r="Q37" s="1256" t="str">
        <f t="shared" si="11"/>
        <v>成新度</v>
      </c>
      <c r="R37" s="665" t="s">
        <v>14</v>
      </c>
      <c r="S37" s="666">
        <f t="shared" si="12"/>
        <v>98</v>
      </c>
      <c r="T37" s="665" t="s">
        <v>14</v>
      </c>
      <c r="U37" s="666">
        <f t="shared" si="13"/>
        <v>98</v>
      </c>
      <c r="V37" s="665" t="s">
        <v>14</v>
      </c>
      <c r="W37" s="666">
        <f t="shared" si="14"/>
        <v>100</v>
      </c>
      <c r="X37" s="1258"/>
      <c r="Y37" s="3443"/>
      <c r="Z37" s="1257" t="str">
        <f t="shared" si="15"/>
        <v>成新度</v>
      </c>
      <c r="AA37" s="1257">
        <f t="shared" si="3"/>
        <v>1.0204081632653061</v>
      </c>
      <c r="AB37" s="1257">
        <f t="shared" si="4"/>
        <v>1.0204081632653061</v>
      </c>
      <c r="AC37" s="1805">
        <f t="shared" si="5"/>
        <v>1</v>
      </c>
    </row>
    <row r="38" spans="1:29" s="102" customFormat="1" ht="15">
      <c r="A38" s="409"/>
      <c r="B38" s="363" t="s">
        <v>1815</v>
      </c>
      <c r="C38" s="3198" t="s">
        <v>4230</v>
      </c>
      <c r="D38" s="118">
        <v>100</v>
      </c>
      <c r="E38" s="3198" t="s">
        <v>4214</v>
      </c>
      <c r="F38" s="399">
        <f>SUMIF(113:113,E38,114:114)-SUMIF(113:113,C38,114:114)+100</f>
        <v>95</v>
      </c>
      <c r="G38" s="3198" t="s">
        <v>4214</v>
      </c>
      <c r="H38" s="373">
        <f>SUMIF(113:113,G38,114:114)-SUMIF(113:113,C38,114:114)+100</f>
        <v>95</v>
      </c>
      <c r="I38" s="3198" t="s">
        <v>4214</v>
      </c>
      <c r="J38" s="373">
        <f>SUMIF(113:113,I38,114:114)-SUMIF(113:113,C38,114:114)+100</f>
        <v>95</v>
      </c>
      <c r="K38" s="537">
        <v>5</v>
      </c>
      <c r="L38" s="2482"/>
      <c r="M38" s="2433"/>
      <c r="N38" s="2433"/>
      <c r="O38" s="2433"/>
      <c r="P38" s="3441"/>
      <c r="Q38" s="529" t="str">
        <f t="shared" si="11"/>
        <v>写字楼等级</v>
      </c>
      <c r="R38" s="662" t="s">
        <v>14</v>
      </c>
      <c r="S38" s="663">
        <f t="shared" si="12"/>
        <v>95</v>
      </c>
      <c r="T38" s="662" t="s">
        <v>14</v>
      </c>
      <c r="U38" s="663">
        <f t="shared" si="13"/>
        <v>95</v>
      </c>
      <c r="V38" s="662" t="s">
        <v>14</v>
      </c>
      <c r="W38" s="663">
        <f t="shared" si="14"/>
        <v>95</v>
      </c>
      <c r="X38" s="664"/>
      <c r="Y38" s="3443"/>
      <c r="Z38" s="50" t="str">
        <f t="shared" si="15"/>
        <v>写字楼等级</v>
      </c>
      <c r="AA38" s="50">
        <f t="shared" si="3"/>
        <v>1.0526315789473684</v>
      </c>
      <c r="AB38" s="50">
        <f t="shared" si="4"/>
        <v>1.0526315789473684</v>
      </c>
      <c r="AC38" s="798">
        <f t="shared" si="5"/>
        <v>1.0526315789473684</v>
      </c>
    </row>
    <row r="39" spans="1:29" ht="15">
      <c r="A39" s="408"/>
      <c r="B39" s="363" t="s">
        <v>1816</v>
      </c>
      <c r="C39" s="3198" t="s">
        <v>4234</v>
      </c>
      <c r="D39" s="373">
        <v>100</v>
      </c>
      <c r="E39" s="3198" t="s">
        <v>4215</v>
      </c>
      <c r="F39" s="399">
        <f>SUMIF(115:115,E39,116:116)-SUMIF(115:115,C39,116:116)+100</f>
        <v>95</v>
      </c>
      <c r="G39" s="3198" t="s">
        <v>4215</v>
      </c>
      <c r="H39" s="373">
        <f>SUMIF(115:115,G39,116:116)-SUMIF(115:115,C39,116:116)+100</f>
        <v>95</v>
      </c>
      <c r="I39" s="3198" t="s">
        <v>4215</v>
      </c>
      <c r="J39" s="373">
        <f>SUMIF(115:115,I39,116:116)-SUMIF(115:115,C39,116:116)+100</f>
        <v>95</v>
      </c>
      <c r="K39" s="537">
        <v>5</v>
      </c>
      <c r="L39" s="2486"/>
      <c r="M39" s="2481"/>
      <c r="N39" s="2481"/>
      <c r="O39" s="2481"/>
      <c r="P39" s="3441" t="s">
        <v>1693</v>
      </c>
      <c r="Q39" s="1256" t="str">
        <f t="shared" si="11"/>
        <v>物业管理</v>
      </c>
      <c r="R39" s="665" t="s">
        <v>14</v>
      </c>
      <c r="S39" s="666">
        <f t="shared" si="12"/>
        <v>95</v>
      </c>
      <c r="T39" s="665" t="s">
        <v>14</v>
      </c>
      <c r="U39" s="666">
        <f t="shared" si="13"/>
        <v>95</v>
      </c>
      <c r="V39" s="665" t="s">
        <v>14</v>
      </c>
      <c r="W39" s="666">
        <f t="shared" si="14"/>
        <v>95</v>
      </c>
      <c r="X39" s="1258"/>
      <c r="Y39" s="3443" t="s">
        <v>1693</v>
      </c>
      <c r="Z39" s="1257" t="str">
        <f t="shared" si="15"/>
        <v>物业管理</v>
      </c>
      <c r="AA39" s="1257">
        <f t="shared" si="3"/>
        <v>1.0526315789473684</v>
      </c>
      <c r="AB39" s="1257">
        <f t="shared" si="4"/>
        <v>1.0526315789473684</v>
      </c>
      <c r="AC39" s="1805">
        <f t="shared" si="5"/>
        <v>1.0526315789473684</v>
      </c>
    </row>
    <row r="40" spans="1:29" ht="15">
      <c r="A40" s="408"/>
      <c r="B40" s="363" t="s">
        <v>1784</v>
      </c>
      <c r="C40" s="398" t="s">
        <v>4216</v>
      </c>
      <c r="D40" s="373">
        <v>100</v>
      </c>
      <c r="E40" s="398" t="s">
        <v>4216</v>
      </c>
      <c r="F40" s="399">
        <f>SUMIF(117:117,E40,118:118)-SUMIF(117:117,C40,118:118)+100</f>
        <v>100</v>
      </c>
      <c r="G40" s="398" t="s">
        <v>4216</v>
      </c>
      <c r="H40" s="373">
        <f>SUMIF(117:117,G40,118:118)-SUMIF(117:117,C40,118:118)+100</f>
        <v>100</v>
      </c>
      <c r="I40" s="398" t="s">
        <v>4216</v>
      </c>
      <c r="J40" s="373">
        <f>SUMIF(117:117,I40,118:118)-SUMIF(117:117,C40,118:118)+100</f>
        <v>100</v>
      </c>
      <c r="K40" s="537">
        <v>1</v>
      </c>
      <c r="L40" s="2486"/>
      <c r="M40" s="2481"/>
      <c r="N40" s="2481"/>
      <c r="O40" s="2481"/>
      <c r="P40" s="3441"/>
      <c r="Q40" s="1256" t="str">
        <f t="shared" si="11"/>
        <v>市政基础设施</v>
      </c>
      <c r="R40" s="665" t="s">
        <v>14</v>
      </c>
      <c r="S40" s="666">
        <f t="shared" si="12"/>
        <v>100</v>
      </c>
      <c r="T40" s="665" t="s">
        <v>14</v>
      </c>
      <c r="U40" s="666">
        <f t="shared" si="13"/>
        <v>100</v>
      </c>
      <c r="V40" s="665" t="s">
        <v>14</v>
      </c>
      <c r="W40" s="666">
        <f t="shared" si="14"/>
        <v>100</v>
      </c>
      <c r="X40" s="1258"/>
      <c r="Y40" s="3443"/>
      <c r="Z40" s="1257" t="str">
        <f t="shared" si="15"/>
        <v>市政基础设施</v>
      </c>
      <c r="AA40" s="1257">
        <f t="shared" si="3"/>
        <v>1</v>
      </c>
      <c r="AB40" s="1257">
        <f t="shared" si="4"/>
        <v>1</v>
      </c>
      <c r="AC40" s="1805">
        <f t="shared" si="5"/>
        <v>1</v>
      </c>
    </row>
    <row r="41" spans="1:29" ht="15">
      <c r="A41" s="408"/>
      <c r="B41" s="363" t="s">
        <v>1786</v>
      </c>
      <c r="C41" s="541" t="s">
        <v>4217</v>
      </c>
      <c r="D41" s="373">
        <v>100</v>
      </c>
      <c r="E41" s="541" t="s">
        <v>4217</v>
      </c>
      <c r="F41" s="399">
        <f>SUMIF(119:119,E41,120:120)-SUMIF(119:119,C41,120:120)+100</f>
        <v>100</v>
      </c>
      <c r="G41" s="541" t="s">
        <v>4217</v>
      </c>
      <c r="H41" s="373">
        <f>SUMIF(119:119,G41,120:120)-SUMIF(119:119,C41,120:120)+100</f>
        <v>100</v>
      </c>
      <c r="I41" s="541" t="s">
        <v>4217</v>
      </c>
      <c r="J41" s="373">
        <f>SUMIF(119:119,I41,120:120)-SUMIF(119:119,C41,120:120)+100</f>
        <v>100</v>
      </c>
      <c r="K41" s="537">
        <v>1</v>
      </c>
      <c r="L41" s="2486"/>
      <c r="M41" s="2481"/>
      <c r="N41" s="2481"/>
      <c r="O41" s="2481"/>
      <c r="P41" s="3441"/>
      <c r="Q41" s="1256" t="str">
        <f t="shared" si="11"/>
        <v>层高</v>
      </c>
      <c r="R41" s="665" t="s">
        <v>14</v>
      </c>
      <c r="S41" s="666">
        <f t="shared" si="12"/>
        <v>100</v>
      </c>
      <c r="T41" s="665" t="s">
        <v>14</v>
      </c>
      <c r="U41" s="666">
        <f t="shared" si="13"/>
        <v>100</v>
      </c>
      <c r="V41" s="665" t="s">
        <v>14</v>
      </c>
      <c r="W41" s="666">
        <f t="shared" si="14"/>
        <v>100</v>
      </c>
      <c r="X41" s="1258"/>
      <c r="Y41" s="3443"/>
      <c r="Z41" s="1257" t="str">
        <f t="shared" si="15"/>
        <v>层高</v>
      </c>
      <c r="AA41" s="1257">
        <f t="shared" si="3"/>
        <v>1</v>
      </c>
      <c r="AB41" s="1257">
        <f t="shared" si="4"/>
        <v>1</v>
      </c>
      <c r="AC41" s="1805">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41"/>
      <c r="Q42" s="530" t="str">
        <f t="shared" si="11"/>
        <v>单套建筑面积</v>
      </c>
      <c r="R42" s="667" t="s">
        <v>14</v>
      </c>
      <c r="S42" s="668">
        <f t="shared" si="12"/>
        <v>100</v>
      </c>
      <c r="T42" s="667" t="s">
        <v>14</v>
      </c>
      <c r="U42" s="668">
        <f t="shared" si="13"/>
        <v>100</v>
      </c>
      <c r="V42" s="667" t="s">
        <v>14</v>
      </c>
      <c r="W42" s="668">
        <f t="shared" si="14"/>
        <v>100</v>
      </c>
      <c r="X42" s="669"/>
      <c r="Y42" s="3443"/>
      <c r="Z42" s="670" t="str">
        <f t="shared" si="15"/>
        <v>单套建筑面积</v>
      </c>
      <c r="AA42" s="1257">
        <f t="shared" si="3"/>
        <v>1</v>
      </c>
      <c r="AB42" s="1257">
        <f t="shared" si="4"/>
        <v>1</v>
      </c>
      <c r="AC42" s="1805">
        <f t="shared" si="5"/>
        <v>1</v>
      </c>
    </row>
    <row r="43" spans="1:29" ht="15">
      <c r="A43" s="408"/>
      <c r="B43" s="363" t="s">
        <v>1789</v>
      </c>
      <c r="C43" s="398" t="s">
        <v>4218</v>
      </c>
      <c r="D43" s="373">
        <v>100</v>
      </c>
      <c r="E43" s="398" t="s">
        <v>4218</v>
      </c>
      <c r="F43" s="399">
        <f>SUMIF(123:123,E43,124:124)-SUMIF(123:123,C43,124:124)+100</f>
        <v>100</v>
      </c>
      <c r="G43" s="398" t="s">
        <v>4218</v>
      </c>
      <c r="H43" s="373">
        <f>SUMIF(123:123,G43,124:124)-SUMIF(123:123,C43,124:124)+100</f>
        <v>100</v>
      </c>
      <c r="I43" s="398" t="s">
        <v>4218</v>
      </c>
      <c r="J43" s="373">
        <f>SUMIF(123:123,I43,124:124)-SUMIF(123:123,C43,124:124)+100</f>
        <v>100</v>
      </c>
      <c r="K43" s="537">
        <v>1</v>
      </c>
      <c r="L43" s="2486"/>
      <c r="M43" s="2481"/>
      <c r="N43" s="2481"/>
      <c r="O43" s="2481"/>
      <c r="P43" s="3441"/>
      <c r="Q43" s="1256" t="str">
        <f t="shared" si="11"/>
        <v>内部装修</v>
      </c>
      <c r="R43" s="665" t="s">
        <v>14</v>
      </c>
      <c r="S43" s="666">
        <f t="shared" si="12"/>
        <v>100</v>
      </c>
      <c r="T43" s="665" t="s">
        <v>14</v>
      </c>
      <c r="U43" s="666">
        <f t="shared" si="13"/>
        <v>100</v>
      </c>
      <c r="V43" s="665" t="s">
        <v>14</v>
      </c>
      <c r="W43" s="666">
        <f t="shared" si="14"/>
        <v>100</v>
      </c>
      <c r="X43" s="1258"/>
      <c r="Y43" s="3443"/>
      <c r="Z43" s="1257" t="str">
        <f t="shared" si="15"/>
        <v>内部装修</v>
      </c>
      <c r="AA43" s="1257">
        <f t="shared" si="3"/>
        <v>1</v>
      </c>
      <c r="AB43" s="1257">
        <f t="shared" si="4"/>
        <v>1</v>
      </c>
      <c r="AC43" s="1805">
        <f t="shared" si="5"/>
        <v>1</v>
      </c>
    </row>
    <row r="44" spans="1:29" ht="15.75" thickBot="1">
      <c r="A44" s="408"/>
      <c r="B44" s="363" t="s">
        <v>1704</v>
      </c>
      <c r="C44" s="398" t="s">
        <v>4165</v>
      </c>
      <c r="D44" s="373">
        <v>100</v>
      </c>
      <c r="E44" s="398" t="s">
        <v>4165</v>
      </c>
      <c r="F44" s="399">
        <f>SUMIF(125:125,E44,126:126)-SUMIF(125:125,C44,126:126)+100</f>
        <v>100</v>
      </c>
      <c r="G44" s="398" t="s">
        <v>4165</v>
      </c>
      <c r="H44" s="373">
        <f>SUMIF(125:125,G44,126:126)-SUMIF(125:125,C44,126:126)+100</f>
        <v>100</v>
      </c>
      <c r="I44" s="398" t="s">
        <v>4165</v>
      </c>
      <c r="J44" s="373">
        <f>SUMIF(125:125,I44,126:126)-SUMIF(125:125,C44,126:126)+100</f>
        <v>100</v>
      </c>
      <c r="K44" s="537">
        <v>1</v>
      </c>
      <c r="L44" s="2486"/>
      <c r="M44" s="2481"/>
      <c r="N44" s="2481"/>
      <c r="O44" s="2481"/>
      <c r="P44" s="3441"/>
      <c r="Q44" s="1256" t="str">
        <f t="shared" si="11"/>
        <v>内部装修维护情况</v>
      </c>
      <c r="R44" s="665" t="s">
        <v>14</v>
      </c>
      <c r="S44" s="666">
        <f t="shared" si="12"/>
        <v>100</v>
      </c>
      <c r="T44" s="665" t="s">
        <v>14</v>
      </c>
      <c r="U44" s="666">
        <f t="shared" si="13"/>
        <v>100</v>
      </c>
      <c r="V44" s="665" t="s">
        <v>14</v>
      </c>
      <c r="W44" s="666">
        <f t="shared" si="14"/>
        <v>100</v>
      </c>
      <c r="X44" s="1258"/>
      <c r="Y44" s="3443"/>
      <c r="Z44" s="1257" t="str">
        <f t="shared" si="15"/>
        <v>内部装修维护情况</v>
      </c>
      <c r="AA44" s="1257">
        <f t="shared" si="3"/>
        <v>1</v>
      </c>
      <c r="AB44" s="1257">
        <f t="shared" si="4"/>
        <v>1</v>
      </c>
      <c r="AC44" s="1805">
        <f t="shared" si="5"/>
        <v>1</v>
      </c>
    </row>
    <row r="45" spans="1:29" s="102" customFormat="1" ht="15" hidden="1">
      <c r="A45" s="409"/>
      <c r="B45" s="1061">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3"/>
      <c r="N45" s="2433"/>
      <c r="O45" s="2433"/>
      <c r="P45" s="3441"/>
      <c r="Q45" s="529">
        <f t="shared" si="11"/>
        <v>111</v>
      </c>
      <c r="R45" s="662" t="s">
        <v>14</v>
      </c>
      <c r="S45" s="663">
        <f t="shared" si="12"/>
        <v>100</v>
      </c>
      <c r="T45" s="662" t="s">
        <v>14</v>
      </c>
      <c r="U45" s="663">
        <f t="shared" si="13"/>
        <v>100</v>
      </c>
      <c r="V45" s="662" t="s">
        <v>14</v>
      </c>
      <c r="W45" s="663">
        <f t="shared" si="14"/>
        <v>100</v>
      </c>
      <c r="X45" s="664"/>
      <c r="Y45" s="3443"/>
      <c r="Z45" s="50">
        <f t="shared" si="15"/>
        <v>111</v>
      </c>
      <c r="AA45" s="50">
        <f t="shared" si="3"/>
        <v>1</v>
      </c>
      <c r="AB45" s="50">
        <f t="shared" si="4"/>
        <v>1</v>
      </c>
      <c r="AC45" s="798">
        <f t="shared" si="5"/>
        <v>1</v>
      </c>
    </row>
    <row r="46" spans="1:29" ht="15" hidden="1">
      <c r="A46" s="408"/>
      <c r="B46" s="1061">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41"/>
      <c r="Q46" s="1256">
        <f t="shared" si="11"/>
        <v>111</v>
      </c>
      <c r="R46" s="665" t="s">
        <v>14</v>
      </c>
      <c r="S46" s="666">
        <f t="shared" si="12"/>
        <v>100</v>
      </c>
      <c r="T46" s="665" t="s">
        <v>14</v>
      </c>
      <c r="U46" s="666">
        <f t="shared" si="13"/>
        <v>100</v>
      </c>
      <c r="V46" s="665" t="s">
        <v>14</v>
      </c>
      <c r="W46" s="666">
        <f t="shared" si="14"/>
        <v>100</v>
      </c>
      <c r="X46" s="1258"/>
      <c r="Y46" s="3443"/>
      <c r="Z46" s="1257">
        <f t="shared" si="15"/>
        <v>111</v>
      </c>
      <c r="AA46" s="1257">
        <f t="shared" si="3"/>
        <v>1</v>
      </c>
      <c r="AB46" s="1257">
        <f t="shared" si="4"/>
        <v>1</v>
      </c>
      <c r="AC46" s="1805">
        <f t="shared" si="5"/>
        <v>1</v>
      </c>
    </row>
    <row r="47" spans="1:29" ht="15.75" hidden="1" thickBot="1">
      <c r="A47" s="414"/>
      <c r="B47" s="1742">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42"/>
      <c r="Q47" s="1256">
        <f t="shared" si="11"/>
        <v>111</v>
      </c>
      <c r="R47" s="665" t="s">
        <v>14</v>
      </c>
      <c r="S47" s="666">
        <f t="shared" si="12"/>
        <v>100</v>
      </c>
      <c r="T47" s="665" t="s">
        <v>14</v>
      </c>
      <c r="U47" s="666">
        <f t="shared" si="13"/>
        <v>100</v>
      </c>
      <c r="V47" s="665" t="s">
        <v>14</v>
      </c>
      <c r="W47" s="666">
        <f t="shared" si="14"/>
        <v>100</v>
      </c>
      <c r="X47" s="1258"/>
      <c r="Y47" s="3444"/>
      <c r="Z47" s="1257">
        <f t="shared" si="15"/>
        <v>111</v>
      </c>
      <c r="AA47" s="1257">
        <f t="shared" si="3"/>
        <v>1</v>
      </c>
      <c r="AB47" s="1257">
        <f t="shared" si="4"/>
        <v>1</v>
      </c>
      <c r="AC47" s="1805">
        <f t="shared" si="5"/>
        <v>1</v>
      </c>
    </row>
    <row r="48" spans="1:29" ht="15">
      <c r="A48" s="415" t="s">
        <v>1705</v>
      </c>
      <c r="B48" s="416"/>
      <c r="C48" s="1076" t="s">
        <v>0</v>
      </c>
      <c r="D48" s="417"/>
      <c r="E48" s="418">
        <v>18199</v>
      </c>
      <c r="F48" s="419"/>
      <c r="G48" s="420">
        <v>18006</v>
      </c>
      <c r="H48" s="421"/>
      <c r="I48" s="418">
        <v>18000</v>
      </c>
      <c r="J48" s="421"/>
      <c r="K48" s="672"/>
      <c r="L48" s="2488"/>
      <c r="M48" s="2481"/>
      <c r="N48" s="2481"/>
      <c r="O48" s="2481"/>
      <c r="P48" s="3447" t="str">
        <f>A48</f>
        <v>成交单价（元/平方米）</v>
      </c>
      <c r="Q48" s="3436"/>
      <c r="R48" s="3437">
        <f>E48</f>
        <v>18199</v>
      </c>
      <c r="S48" s="3437"/>
      <c r="T48" s="3437">
        <f>G48</f>
        <v>18006</v>
      </c>
      <c r="U48" s="3437"/>
      <c r="V48" s="3437">
        <f>I48</f>
        <v>18000</v>
      </c>
      <c r="W48" s="3437"/>
      <c r="X48" s="384"/>
      <c r="Y48" s="671"/>
      <c r="Z48" s="384"/>
      <c r="AA48" s="384"/>
      <c r="AB48" s="384"/>
      <c r="AC48" s="553"/>
    </row>
    <row r="49" spans="1:29" ht="15.75" thickBot="1">
      <c r="A49" s="422" t="s">
        <v>1790</v>
      </c>
      <c r="B49" s="423"/>
      <c r="C49" s="1077">
        <f>R50</f>
        <v>22339</v>
      </c>
      <c r="D49" s="2134" t="s">
        <v>2134</v>
      </c>
      <c r="E49" s="1078">
        <f>R49</f>
        <v>22353</v>
      </c>
      <c r="F49" s="2135"/>
      <c r="G49" s="1077">
        <f>T49</f>
        <v>22115</v>
      </c>
      <c r="H49" s="2135"/>
      <c r="I49" s="1078">
        <f>V49</f>
        <v>22550</v>
      </c>
      <c r="J49" s="2135"/>
      <c r="K49" s="2137">
        <f>F49+H49+J49</f>
        <v>0</v>
      </c>
      <c r="L49" s="2488"/>
      <c r="M49" s="2481"/>
      <c r="N49" s="2481"/>
      <c r="O49" s="2481"/>
      <c r="P49" s="3447" t="str">
        <f>A49</f>
        <v>比较价值（元/平方米）</v>
      </c>
      <c r="Q49" s="3436"/>
      <c r="R49" s="3437">
        <f>IF(F1="售价",ROUND(PRODUCT(R48,AA7:AA47),0),ROUND(PRODUCT(R48,AA7:AA47),1))</f>
        <v>22353</v>
      </c>
      <c r="S49" s="3437"/>
      <c r="T49" s="3437">
        <f>IF(F1="售价",ROUND(PRODUCT(T48,AB7:AB47),0),ROUND(PRODUCT(T48,AB7:AB47),1))</f>
        <v>22115</v>
      </c>
      <c r="U49" s="3437"/>
      <c r="V49" s="3437">
        <f>IF(F1="售价",ROUND(PRODUCT(V48,AC7:AC47),0),ROUND(PRODUCT(V48,AC7:AC47),1))</f>
        <v>22550</v>
      </c>
      <c r="W49" s="3437"/>
      <c r="X49" s="384"/>
      <c r="Y49" s="384"/>
      <c r="Z49" s="384"/>
      <c r="AA49" s="384"/>
      <c r="AB49" s="384"/>
      <c r="AC49" s="553"/>
    </row>
    <row r="50" spans="1:29" ht="15.75" thickBot="1">
      <c r="A50" s="426" t="s">
        <v>1791</v>
      </c>
      <c r="B50" s="427"/>
      <c r="C50" s="350">
        <f>R50</f>
        <v>22339</v>
      </c>
      <c r="D50" s="350"/>
      <c r="E50" s="350"/>
      <c r="F50" s="350"/>
      <c r="G50" s="350"/>
      <c r="H50" s="350"/>
      <c r="I50" s="350"/>
      <c r="J50" s="428"/>
      <c r="K50" s="673"/>
      <c r="L50" s="2488"/>
      <c r="M50" s="2481"/>
      <c r="N50" s="2481"/>
      <c r="O50" s="2481"/>
      <c r="P50" s="3487" t="str">
        <f>A50</f>
        <v>估价对象XX用房的比较价值（楼面单价，元/平方米）</v>
      </c>
      <c r="Q50" s="3488"/>
      <c r="R50" s="3489">
        <f>IF(F1="售价",ROUND(IF(D49="简单平均",AVERAGE(R49:V49),R49*F49+T49*H49+V49*J49),0),ROUND(IF(D49="简单平均",AVERAGE(R49:V49),R49*F49+T49*H49+V49*J49),1))</f>
        <v>22339</v>
      </c>
      <c r="S50" s="3489"/>
      <c r="T50" s="3489"/>
      <c r="U50" s="3489"/>
      <c r="V50" s="3489"/>
      <c r="W50" s="3489"/>
      <c r="X50" s="1791"/>
      <c r="Y50" s="1791"/>
      <c r="Z50" s="1791"/>
      <c r="AA50" s="1791"/>
      <c r="AB50" s="1791"/>
      <c r="AC50" s="1792"/>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1792</v>
      </c>
      <c r="D53" s="432"/>
      <c r="E53" s="433">
        <f>IF(E48&lt;E49,E49/E48-1,E48/E49-1)</f>
        <v>0.228254299686796</v>
      </c>
      <c r="F53" s="434" t="str">
        <f>IF(OR(E53&gt;=0.3,E53&lt;=-0.3),"超过30%","")</f>
        <v/>
      </c>
      <c r="G53" s="433">
        <f>IF(G48&lt;G49,G49/G48-1,G48/G49-1)</f>
        <v>0.22820171054093086</v>
      </c>
      <c r="H53" s="434" t="str">
        <f>IF(OR(G53&gt;=0.3,G53&lt;=-0.3),"超过30%","")</f>
        <v/>
      </c>
      <c r="I53" s="433">
        <f>IF(I48&lt;I49,I49/I48-1,I48/I49-1)</f>
        <v>0.25277777777777777</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1793</v>
      </c>
      <c r="D54" s="435"/>
      <c r="E54" s="433">
        <f>IF(E49&lt;G49,G49/E49-1,E49/G49-1)</f>
        <v>1.0761926294370339E-2</v>
      </c>
      <c r="F54" s="434" t="str">
        <f>IF(OR(E54&gt;=0.2,E54&lt;=-0.2),"超过20%","")</f>
        <v/>
      </c>
      <c r="G54" s="433">
        <f>IF(G49&lt;I49,I49/G49-1,G49/I49-1)</f>
        <v>1.9669907302735767E-2</v>
      </c>
      <c r="H54" s="434" t="str">
        <f>IF(OR(G54&gt;=0.2,G54&lt;=-0.2),"超过20%","")</f>
        <v/>
      </c>
      <c r="I54" s="433">
        <f>IF(I49&lt;E49,E49/I49-1,I49/E49-1)</f>
        <v>8.8131347022770701E-3</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1794</v>
      </c>
      <c r="D55" s="435"/>
      <c r="E55" s="433">
        <f>IF(E48&lt;G48,G48/E48-1,E48/G48-1)</f>
        <v>1.0718649339109154E-2</v>
      </c>
      <c r="F55" s="434" t="str">
        <f>IF(OR(E55&gt;=0.3,E55&lt;=-0.3),"超过30%","")</f>
        <v/>
      </c>
      <c r="G55" s="433">
        <f>IF(G48&lt;I48,I48/G48-1,G48/I48-1)</f>
        <v>3.3333333333329662E-4</v>
      </c>
      <c r="H55" s="434" t="str">
        <f>IF(OR(G55&gt;=0.3,G55&lt;=-0.3),"超过30%","")</f>
        <v/>
      </c>
      <c r="I55" s="433">
        <f>IF(I48&lt;E48,E48/I48-1,I48/E48-1)</f>
        <v>1.1055555555555596E-2</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1795</v>
      </c>
      <c r="B58" s="384"/>
      <c r="C58" s="657"/>
      <c r="D58" s="657"/>
      <c r="E58" s="657"/>
      <c r="F58" s="658"/>
      <c r="G58" s="658"/>
      <c r="H58" s="657"/>
      <c r="I58" s="657"/>
      <c r="J58" s="657"/>
      <c r="K58" s="659"/>
      <c r="L58" s="884"/>
      <c r="M58" s="882"/>
      <c r="N58" s="2531"/>
      <c r="O58" s="2531"/>
      <c r="P58" s="2520"/>
      <c r="Q58" s="2502"/>
      <c r="R58" s="2481"/>
      <c r="S58" s="2481"/>
      <c r="T58" s="2481"/>
      <c r="U58" s="2481"/>
      <c r="V58" s="2481"/>
      <c r="W58" s="2481"/>
      <c r="X58" s="2481"/>
      <c r="Y58" s="2481"/>
      <c r="Z58" s="2481"/>
      <c r="AA58" s="2481"/>
      <c r="AB58" s="2481"/>
      <c r="AC58" s="2481"/>
    </row>
    <row r="59" spans="1:29" s="441" customFormat="1" ht="15">
      <c r="A59" s="439" t="s">
        <v>1676</v>
      </c>
      <c r="B59" s="440"/>
      <c r="C59" s="1098" t="str">
        <f>YEAR(C7)&amp;"-"&amp;MONTH(C7)</f>
        <v>2024-7</v>
      </c>
      <c r="D59" s="1099">
        <f>EDATE(C59,-1)</f>
        <v>45444</v>
      </c>
      <c r="E59" s="1099">
        <f>EDATE(D59,-1)</f>
        <v>45413</v>
      </c>
      <c r="F59" s="1099">
        <f t="shared" ref="F59:O59" si="16">EDATE(E59,-1)</f>
        <v>45383</v>
      </c>
      <c r="G59" s="1099">
        <f t="shared" si="16"/>
        <v>45352</v>
      </c>
      <c r="H59" s="1099">
        <f t="shared" si="16"/>
        <v>45323</v>
      </c>
      <c r="I59" s="1099">
        <f t="shared" si="16"/>
        <v>45292</v>
      </c>
      <c r="J59" s="1099">
        <f t="shared" si="16"/>
        <v>45261</v>
      </c>
      <c r="K59" s="1099">
        <f t="shared" si="16"/>
        <v>45231</v>
      </c>
      <c r="L59" s="1099">
        <f t="shared" si="16"/>
        <v>45200</v>
      </c>
      <c r="M59" s="1099">
        <f t="shared" si="16"/>
        <v>45170</v>
      </c>
      <c r="N59" s="1099">
        <f t="shared" si="16"/>
        <v>45139</v>
      </c>
      <c r="O59" s="1099">
        <f t="shared" si="16"/>
        <v>45108</v>
      </c>
      <c r="P59" s="2521"/>
      <c r="Q59" s="2504"/>
      <c r="R59" s="2504"/>
      <c r="S59" s="2504"/>
      <c r="T59" s="2504"/>
      <c r="U59" s="2504"/>
      <c r="V59" s="2504"/>
      <c r="W59" s="2504"/>
      <c r="X59" s="2504"/>
      <c r="Y59" s="2504"/>
      <c r="Z59" s="2504"/>
      <c r="AA59" s="2504"/>
      <c r="AB59" s="2504"/>
      <c r="AC59" s="2504"/>
    </row>
    <row r="60" spans="1:29" s="102" customFormat="1" ht="15">
      <c r="A60" s="442"/>
      <c r="B60" s="443"/>
      <c r="C60" s="1097">
        <v>100</v>
      </c>
      <c r="D60" s="445">
        <v>100</v>
      </c>
      <c r="E60" s="445">
        <v>100</v>
      </c>
      <c r="F60" s="445">
        <v>100</v>
      </c>
      <c r="G60" s="445">
        <v>100</v>
      </c>
      <c r="H60" s="445">
        <v>100</v>
      </c>
      <c r="I60" s="445">
        <v>100</v>
      </c>
      <c r="J60" s="445">
        <v>100</v>
      </c>
      <c r="K60" s="445">
        <v>100</v>
      </c>
      <c r="L60" s="445">
        <v>100</v>
      </c>
      <c r="M60" s="445">
        <v>100</v>
      </c>
      <c r="N60" s="445">
        <v>100</v>
      </c>
      <c r="O60" s="445">
        <v>100</v>
      </c>
      <c r="P60" s="2522"/>
      <c r="Q60" s="2433"/>
      <c r="R60" s="2433"/>
      <c r="S60" s="2433"/>
      <c r="T60" s="2433"/>
      <c r="U60" s="2433"/>
      <c r="V60" s="2433"/>
      <c r="W60" s="2433"/>
      <c r="X60" s="2433"/>
      <c r="Y60" s="2433"/>
      <c r="Z60" s="2433"/>
      <c r="AA60" s="2433"/>
      <c r="AB60" s="2433"/>
      <c r="AC60" s="2433"/>
    </row>
    <row r="61" spans="1:29" s="102" customFormat="1" ht="15.75" thickBot="1">
      <c r="A61" s="448" t="s">
        <v>1713</v>
      </c>
      <c r="B61" s="449"/>
      <c r="C61" s="450"/>
      <c r="D61" s="451"/>
      <c r="E61" s="451"/>
      <c r="F61" s="451"/>
      <c r="G61" s="451"/>
      <c r="H61" s="451"/>
      <c r="I61" s="451"/>
      <c r="J61" s="451"/>
      <c r="K61" s="451"/>
      <c r="L61" s="451"/>
      <c r="M61" s="452"/>
      <c r="N61" s="451"/>
      <c r="O61" s="452"/>
      <c r="P61" s="2522"/>
      <c r="Q61" s="2502"/>
      <c r="R61" s="2433"/>
      <c r="S61" s="2433"/>
      <c r="T61" s="2433"/>
      <c r="U61" s="2433"/>
      <c r="V61" s="2433"/>
      <c r="W61" s="2433"/>
      <c r="X61" s="2433"/>
      <c r="Y61" s="2433"/>
      <c r="Z61" s="2433"/>
      <c r="AA61" s="2433"/>
      <c r="AB61" s="2433"/>
      <c r="AC61" s="2433"/>
    </row>
    <row r="62" spans="1:29" s="102" customFormat="1" ht="15">
      <c r="A62" s="454" t="s">
        <v>1678</v>
      </c>
      <c r="B62" s="443"/>
      <c r="C62" s="455" t="s">
        <v>1773</v>
      </c>
      <c r="D62" s="3157" t="s">
        <v>4196</v>
      </c>
      <c r="E62" s="31"/>
      <c r="F62" s="31"/>
      <c r="G62" s="31"/>
      <c r="H62" s="31"/>
      <c r="I62" s="31"/>
      <c r="J62" s="31"/>
      <c r="K62" s="31"/>
      <c r="L62" s="456"/>
      <c r="M62" s="457"/>
      <c r="N62" s="2514"/>
      <c r="O62" s="2514"/>
      <c r="P62" s="2523"/>
      <c r="Q62" s="2502"/>
      <c r="R62" s="2433"/>
      <c r="S62" s="2433"/>
      <c r="T62" s="2433"/>
      <c r="U62" s="2433"/>
      <c r="V62" s="2433"/>
      <c r="W62" s="2433"/>
      <c r="X62" s="2433"/>
      <c r="Y62" s="2433"/>
      <c r="Z62" s="2433"/>
      <c r="AA62" s="2433"/>
      <c r="AB62" s="2433"/>
      <c r="AC62" s="2433"/>
    </row>
    <row r="63" spans="1:29" s="102" customFormat="1" ht="15.75" thickBot="1">
      <c r="A63" s="454"/>
      <c r="B63" s="443"/>
      <c r="C63" s="444">
        <v>100</v>
      </c>
      <c r="D63" s="445">
        <v>102</v>
      </c>
      <c r="E63" s="445"/>
      <c r="F63" s="445"/>
      <c r="G63" s="445"/>
      <c r="H63" s="445"/>
      <c r="I63" s="445"/>
      <c r="J63" s="445"/>
      <c r="K63" s="445"/>
      <c r="L63" s="445"/>
      <c r="M63" s="447"/>
      <c r="N63" s="2514"/>
      <c r="O63" s="2514"/>
      <c r="P63" s="2522"/>
      <c r="Q63" s="2502"/>
      <c r="R63" s="2433"/>
      <c r="S63" s="2433"/>
      <c r="T63" s="2433"/>
      <c r="U63" s="2433"/>
      <c r="V63" s="2433"/>
      <c r="W63" s="2433"/>
      <c r="X63" s="2433"/>
      <c r="Y63" s="2433"/>
      <c r="Z63" s="2433"/>
      <c r="AA63" s="2433"/>
      <c r="AB63" s="2433"/>
      <c r="AC63" s="2433"/>
    </row>
    <row r="64" spans="1:29">
      <c r="A64" s="378" t="s">
        <v>1716</v>
      </c>
      <c r="B64" s="459" t="s">
        <v>1682</v>
      </c>
      <c r="C64" s="460" t="str">
        <f>C9</f>
        <v>办公</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1685</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4（含）-5</v>
      </c>
      <c r="H68" s="477" t="str">
        <f t="shared" si="17"/>
        <v>5（含）-6</v>
      </c>
      <c r="I68" s="477" t="str">
        <f t="shared" si="17"/>
        <v>6（含）-7</v>
      </c>
      <c r="J68" s="477" t="str">
        <f t="shared" si="17"/>
        <v>7（含）-8</v>
      </c>
      <c r="K68" s="477" t="str">
        <f t="shared" si="17"/>
        <v>8（含）-9</v>
      </c>
      <c r="L68" s="477" t="str">
        <f t="shared" si="17"/>
        <v>9（含）-10</v>
      </c>
      <c r="M68" s="386" t="str">
        <f>M69&amp;"（含）"&amp;"-"&amp;P69</f>
        <v>10（含）-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1</v>
      </c>
      <c r="E69" s="479">
        <v>2</v>
      </c>
      <c r="F69" s="479">
        <v>3</v>
      </c>
      <c r="G69" s="479">
        <v>4</v>
      </c>
      <c r="H69" s="479">
        <v>5</v>
      </c>
      <c r="I69" s="479">
        <v>6</v>
      </c>
      <c r="J69" s="479">
        <v>7</v>
      </c>
      <c r="K69" s="479">
        <v>8</v>
      </c>
      <c r="L69" s="479">
        <v>9</v>
      </c>
      <c r="M69" s="479">
        <v>10</v>
      </c>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1687</v>
      </c>
      <c r="B77" s="459" t="s">
        <v>1818</v>
      </c>
      <c r="C77" s="503" t="s">
        <v>1718</v>
      </c>
      <c r="D77" s="503" t="s">
        <v>1719</v>
      </c>
      <c r="E77" s="503" t="s">
        <v>1720</v>
      </c>
      <c r="F77" s="503" t="s">
        <v>1721</v>
      </c>
      <c r="G77" s="503" t="s">
        <v>1722</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98</v>
      </c>
      <c r="E78" s="474">
        <f>D78-$K15</f>
        <v>96</v>
      </c>
      <c r="F78" s="474">
        <f>E78-$K15</f>
        <v>94</v>
      </c>
      <c r="G78" s="474">
        <f>F78-$K15</f>
        <v>92</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1723</v>
      </c>
      <c r="C79" s="508" t="s">
        <v>1718</v>
      </c>
      <c r="D79" s="508" t="s">
        <v>1719</v>
      </c>
      <c r="E79" s="508" t="s">
        <v>1720</v>
      </c>
      <c r="F79" s="508" t="s">
        <v>1721</v>
      </c>
      <c r="G79" s="508" t="s">
        <v>1722</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95</v>
      </c>
      <c r="E80" s="474">
        <f>D80-$K17</f>
        <v>90</v>
      </c>
      <c r="F80" s="474">
        <f>E80-$K17</f>
        <v>85</v>
      </c>
      <c r="G80" s="474">
        <f>F80-$K17</f>
        <v>80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1724</v>
      </c>
      <c r="C81" s="508" t="s">
        <v>1718</v>
      </c>
      <c r="D81" s="508" t="s">
        <v>1719</v>
      </c>
      <c r="E81" s="508" t="s">
        <v>1720</v>
      </c>
      <c r="F81" s="508" t="s">
        <v>1721</v>
      </c>
      <c r="G81" s="508" t="s">
        <v>1722</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98</v>
      </c>
      <c r="E82" s="474">
        <f>D82-$K19</f>
        <v>96</v>
      </c>
      <c r="F82" s="474">
        <f>E82-$K19</f>
        <v>94</v>
      </c>
      <c r="G82" s="474">
        <f>F82-$K19</f>
        <v>92</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1810</v>
      </c>
      <c r="C83" s="579" t="s">
        <v>1796</v>
      </c>
      <c r="D83" s="579" t="s">
        <v>1797</v>
      </c>
      <c r="E83" s="579" t="s">
        <v>1798</v>
      </c>
      <c r="F83" s="579" t="s">
        <v>1799</v>
      </c>
      <c r="G83" s="579" t="s">
        <v>1800</v>
      </c>
      <c r="H83" s="469"/>
      <c r="I83" s="469"/>
      <c r="J83" s="469"/>
      <c r="K83" s="469"/>
      <c r="L83" s="469"/>
      <c r="M83" s="1058"/>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98</v>
      </c>
      <c r="E84" s="474">
        <f>D84-$K21</f>
        <v>96</v>
      </c>
      <c r="F84" s="474">
        <f>E84-$K21</f>
        <v>94</v>
      </c>
      <c r="G84" s="474">
        <f>F84-$K21</f>
        <v>92</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1819</v>
      </c>
      <c r="C85" s="508" t="s">
        <v>1718</v>
      </c>
      <c r="D85" s="508" t="s">
        <v>1719</v>
      </c>
      <c r="E85" s="508" t="s">
        <v>1720</v>
      </c>
      <c r="F85" s="508" t="s">
        <v>1721</v>
      </c>
      <c r="G85" s="508" t="s">
        <v>1722</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98</v>
      </c>
      <c r="E86" s="474">
        <f>D86-$K23</f>
        <v>96</v>
      </c>
      <c r="F86" s="474">
        <f>E86-$K23</f>
        <v>94</v>
      </c>
      <c r="G86" s="474">
        <f>F86-$K23</f>
        <v>92</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2" customFormat="1" ht="27.75" thickTop="1">
      <c r="A87" s="369"/>
      <c r="B87" s="468" t="s">
        <v>1820</v>
      </c>
      <c r="C87" s="484"/>
      <c r="D87" s="484"/>
      <c r="E87" s="484"/>
      <c r="F87" s="484"/>
      <c r="G87" s="484"/>
      <c r="H87" s="484"/>
      <c r="I87" s="484"/>
      <c r="J87" s="484"/>
      <c r="K87" s="484"/>
      <c r="L87" s="509"/>
      <c r="M87" s="510"/>
      <c r="N87" s="2514"/>
      <c r="O87" s="2514"/>
      <c r="P87" s="2524"/>
      <c r="Q87" s="2502"/>
      <c r="R87" s="2433"/>
      <c r="S87" s="2433"/>
      <c r="T87" s="2433"/>
      <c r="U87" s="2433"/>
      <c r="V87" s="2433"/>
      <c r="W87" s="2433"/>
      <c r="X87" s="2433"/>
      <c r="Y87" s="2433"/>
      <c r="Z87" s="2433"/>
      <c r="AA87" s="2433"/>
      <c r="AB87" s="2433"/>
      <c r="AC87" s="2433"/>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69"/>
      <c r="B89" s="468" t="str">
        <f>B27</f>
        <v>楼层</v>
      </c>
      <c r="C89" s="3158" t="s">
        <v>4197</v>
      </c>
      <c r="D89" s="3158" t="s">
        <v>4198</v>
      </c>
      <c r="E89" s="3158" t="s">
        <v>4199</v>
      </c>
      <c r="F89" s="1773"/>
      <c r="G89" s="484"/>
      <c r="H89" s="484"/>
      <c r="I89" s="484"/>
      <c r="J89" s="484"/>
      <c r="K89" s="484"/>
      <c r="L89" s="484"/>
      <c r="M89" s="510"/>
      <c r="N89" s="2514"/>
      <c r="O89" s="2514"/>
      <c r="P89" s="2524"/>
      <c r="Q89" s="2502"/>
      <c r="R89" s="2433"/>
      <c r="S89" s="2433"/>
      <c r="T89" s="2433"/>
      <c r="U89" s="2433"/>
      <c r="V89" s="2433"/>
      <c r="W89" s="2433"/>
      <c r="X89" s="2433"/>
      <c r="Y89" s="2433"/>
      <c r="Z89" s="2433"/>
      <c r="AA89" s="2433"/>
      <c r="AB89" s="2433"/>
      <c r="AC89" s="2433"/>
    </row>
    <row r="90" spans="1:29" s="102"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6"/>
      <c r="O90" s="2516"/>
      <c r="P90" s="2524"/>
      <c r="Q90" s="2502"/>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1691</v>
      </c>
      <c r="B101" s="459" t="s">
        <v>1733</v>
      </c>
      <c r="C101" s="3159" t="s">
        <v>4200</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98</v>
      </c>
      <c r="E102" s="474">
        <f t="shared" si="22"/>
        <v>96</v>
      </c>
      <c r="F102" s="474">
        <f t="shared" si="22"/>
        <v>94</v>
      </c>
      <c r="G102" s="474">
        <f t="shared" si="22"/>
        <v>92</v>
      </c>
      <c r="H102" s="474">
        <f t="shared" si="22"/>
        <v>90</v>
      </c>
      <c r="I102" s="474">
        <f t="shared" si="22"/>
        <v>88</v>
      </c>
      <c r="J102" s="474">
        <f t="shared" si="22"/>
        <v>86</v>
      </c>
      <c r="K102" s="474">
        <f t="shared" si="22"/>
        <v>84</v>
      </c>
      <c r="L102" s="474">
        <f t="shared" si="22"/>
        <v>82</v>
      </c>
      <c r="M102" s="475">
        <f t="shared" si="22"/>
        <v>80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6"/>
      <c r="B103" s="468" t="s">
        <v>1734</v>
      </c>
      <c r="C103" s="508" t="str">
        <f>C104&amp;"(含)"&amp;"-"&amp;D104</f>
        <v>0(含)-300</v>
      </c>
      <c r="D103" s="508" t="str">
        <f t="shared" ref="D103:L103" si="23">D104&amp;"(含)"&amp;"-"&amp;E104</f>
        <v>300(含)-600</v>
      </c>
      <c r="E103" s="508" t="str">
        <f t="shared" si="23"/>
        <v>600(含)-900</v>
      </c>
      <c r="F103" s="508" t="str">
        <f t="shared" si="23"/>
        <v>900(含)-1200</v>
      </c>
      <c r="G103" s="508" t="str">
        <f t="shared" si="23"/>
        <v>1200(含)-1500</v>
      </c>
      <c r="H103" s="508" t="str">
        <f t="shared" si="23"/>
        <v>1500(含)-1800</v>
      </c>
      <c r="I103" s="508" t="str">
        <f t="shared" si="23"/>
        <v>1800(含)-2100</v>
      </c>
      <c r="J103" s="508" t="str">
        <f t="shared" si="23"/>
        <v>2100(含)-2400</v>
      </c>
      <c r="K103" s="508" t="str">
        <f t="shared" si="23"/>
        <v>2400(含)-2700</v>
      </c>
      <c r="L103" s="508" t="str">
        <f t="shared" si="23"/>
        <v>2700(含)-3000</v>
      </c>
      <c r="M103" s="545" t="str">
        <f>M104&amp;"(含)"&amp;"-"&amp;P104</f>
        <v>3000(含)-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300</v>
      </c>
      <c r="E104" s="6">
        <v>600</v>
      </c>
      <c r="F104" s="6">
        <v>900</v>
      </c>
      <c r="G104" s="6">
        <v>1200</v>
      </c>
      <c r="H104" s="6">
        <v>1500</v>
      </c>
      <c r="I104" s="6">
        <v>1800</v>
      </c>
      <c r="J104" s="6">
        <v>2100</v>
      </c>
      <c r="K104" s="6">
        <v>2400</v>
      </c>
      <c r="L104" s="6">
        <v>2700</v>
      </c>
      <c r="M104" s="6">
        <v>3000</v>
      </c>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v>100</v>
      </c>
      <c r="D105" s="466">
        <v>99</v>
      </c>
      <c r="E105" s="490">
        <v>98</v>
      </c>
      <c r="F105" s="466">
        <v>97</v>
      </c>
      <c r="G105" s="490">
        <v>96</v>
      </c>
      <c r="H105" s="466">
        <v>95</v>
      </c>
      <c r="I105" s="490">
        <v>94</v>
      </c>
      <c r="J105" s="466">
        <v>93</v>
      </c>
      <c r="K105" s="490">
        <v>92</v>
      </c>
      <c r="L105" s="466">
        <v>91</v>
      </c>
      <c r="M105" s="490">
        <v>90</v>
      </c>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1735</v>
      </c>
      <c r="C106" s="3158" t="s">
        <v>4201</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1737</v>
      </c>
      <c r="C108" s="3158" t="s">
        <v>4202</v>
      </c>
      <c r="D108" s="3158" t="s">
        <v>4205</v>
      </c>
      <c r="E108" s="3158" t="s">
        <v>4206</v>
      </c>
      <c r="F108" s="3160" t="s">
        <v>4207</v>
      </c>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95</v>
      </c>
      <c r="E109" s="474">
        <f t="shared" si="25"/>
        <v>90</v>
      </c>
      <c r="F109" s="474">
        <f t="shared" si="25"/>
        <v>85</v>
      </c>
      <c r="G109" s="474">
        <f t="shared" si="25"/>
        <v>80</v>
      </c>
      <c r="H109" s="474">
        <f t="shared" si="25"/>
        <v>75</v>
      </c>
      <c r="I109" s="474">
        <f t="shared" si="25"/>
        <v>70</v>
      </c>
      <c r="J109" s="474">
        <f t="shared" si="25"/>
        <v>65</v>
      </c>
      <c r="K109" s="474">
        <f t="shared" si="25"/>
        <v>60</v>
      </c>
      <c r="L109" s="474">
        <f t="shared" si="25"/>
        <v>55</v>
      </c>
      <c r="M109" s="475">
        <f t="shared" si="25"/>
        <v>50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1821</v>
      </c>
      <c r="C113" s="3158" t="s">
        <v>4231</v>
      </c>
      <c r="D113" s="3158" t="s">
        <v>4232</v>
      </c>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95</v>
      </c>
      <c r="E114" s="474">
        <f t="shared" ref="E114:M114" si="27">D114-$K38</f>
        <v>90</v>
      </c>
      <c r="F114" s="474">
        <f t="shared" si="27"/>
        <v>85</v>
      </c>
      <c r="G114" s="474">
        <f t="shared" si="27"/>
        <v>80</v>
      </c>
      <c r="H114" s="474">
        <f t="shared" si="27"/>
        <v>75</v>
      </c>
      <c r="I114" s="474">
        <f t="shared" si="27"/>
        <v>70</v>
      </c>
      <c r="J114" s="474">
        <f t="shared" si="27"/>
        <v>65</v>
      </c>
      <c r="K114" s="474">
        <f t="shared" si="27"/>
        <v>60</v>
      </c>
      <c r="L114" s="474">
        <f t="shared" si="27"/>
        <v>55</v>
      </c>
      <c r="M114" s="474">
        <f t="shared" si="27"/>
        <v>50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1738</v>
      </c>
      <c r="C115" s="3158" t="s">
        <v>4235</v>
      </c>
      <c r="D115" s="3158" t="s">
        <v>4236</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95</v>
      </c>
      <c r="E116" s="474">
        <f t="shared" si="28"/>
        <v>90</v>
      </c>
      <c r="F116" s="474">
        <f t="shared" si="28"/>
        <v>85</v>
      </c>
      <c r="G116" s="474">
        <f t="shared" si="28"/>
        <v>80</v>
      </c>
      <c r="H116" s="474">
        <f t="shared" si="28"/>
        <v>75</v>
      </c>
      <c r="I116" s="474">
        <f t="shared" si="28"/>
        <v>70</v>
      </c>
      <c r="J116" s="474">
        <f t="shared" si="28"/>
        <v>65</v>
      </c>
      <c r="K116" s="474">
        <f t="shared" si="28"/>
        <v>60</v>
      </c>
      <c r="L116" s="474">
        <f t="shared" si="28"/>
        <v>55</v>
      </c>
      <c r="M116" s="475">
        <f t="shared" si="28"/>
        <v>50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1739</v>
      </c>
      <c r="C117" s="3158" t="s">
        <v>4203</v>
      </c>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1822</v>
      </c>
      <c r="C119" s="3160" t="s">
        <v>4204</v>
      </c>
      <c r="D119" s="512"/>
      <c r="E119" s="512"/>
      <c r="F119" s="512"/>
      <c r="G119" s="512"/>
      <c r="H119" s="512"/>
      <c r="I119" s="512"/>
      <c r="J119" s="512"/>
      <c r="K119" s="512"/>
      <c r="L119" s="1809"/>
      <c r="M119" s="1810"/>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99</v>
      </c>
      <c r="E120" s="474">
        <f t="shared" ref="E120:M120" si="29">D120-$K41</f>
        <v>98</v>
      </c>
      <c r="F120" s="474">
        <f t="shared" si="29"/>
        <v>97</v>
      </c>
      <c r="G120" s="474">
        <f t="shared" si="29"/>
        <v>96</v>
      </c>
      <c r="H120" s="474">
        <f t="shared" si="29"/>
        <v>95</v>
      </c>
      <c r="I120" s="474">
        <f t="shared" si="29"/>
        <v>94</v>
      </c>
      <c r="J120" s="474">
        <f t="shared" si="29"/>
        <v>93</v>
      </c>
      <c r="K120" s="474">
        <f t="shared" si="29"/>
        <v>92</v>
      </c>
      <c r="L120" s="474">
        <f t="shared" si="29"/>
        <v>91</v>
      </c>
      <c r="M120" s="474">
        <f t="shared" si="29"/>
        <v>90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1805</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1741</v>
      </c>
      <c r="C123" s="3158" t="s">
        <v>4202</v>
      </c>
      <c r="D123" s="3158" t="s">
        <v>4205</v>
      </c>
      <c r="E123" s="3158" t="s">
        <v>4206</v>
      </c>
      <c r="F123" s="3160" t="s">
        <v>4207</v>
      </c>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99</v>
      </c>
      <c r="E124" s="474">
        <f t="shared" si="30"/>
        <v>98</v>
      </c>
      <c r="F124" s="474">
        <f t="shared" si="30"/>
        <v>97</v>
      </c>
      <c r="G124" s="474">
        <f t="shared" si="30"/>
        <v>96</v>
      </c>
      <c r="H124" s="474">
        <f t="shared" si="30"/>
        <v>95</v>
      </c>
      <c r="I124" s="474">
        <f t="shared" si="30"/>
        <v>94</v>
      </c>
      <c r="J124" s="474">
        <f t="shared" si="30"/>
        <v>93</v>
      </c>
      <c r="K124" s="474">
        <f t="shared" si="30"/>
        <v>92</v>
      </c>
      <c r="L124" s="474">
        <f t="shared" si="30"/>
        <v>91</v>
      </c>
      <c r="M124" s="475">
        <f t="shared" si="30"/>
        <v>90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F7:F47 H7:H47 J7:J47">
    <cfRule type="cellIs" dxfId="101" priority="1" operator="notEqual">
      <formula>100</formula>
    </cfRule>
  </conditionalFormatting>
  <conditionalFormatting sqref="F49">
    <cfRule type="expression" dxfId="100" priority="4">
      <formula>$D$49="简单平均"</formula>
    </cfRule>
  </conditionalFormatting>
  <conditionalFormatting sqref="F53:F55 H53:H55">
    <cfRule type="containsText" dxfId="99" priority="17" stopIfTrue="1" operator="containsText" text="超过">
      <formula>NOT(ISERROR(SEARCH("超过",F53)))</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G55">
    <cfRule type="expression" dxfId="96" priority="13" stopIfTrue="1">
      <formula>$H$55="超过30%"</formula>
    </cfRule>
  </conditionalFormatting>
  <conditionalFormatting sqref="H49">
    <cfRule type="expression" dxfId="95" priority="3">
      <formula>$D$49="简单平均"</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J49">
    <cfRule type="expression" dxfId="91" priority="2">
      <formula>$D$49="简单平均"</formula>
    </cfRule>
  </conditionalFormatting>
  <conditionalFormatting sqref="J53:J55">
    <cfRule type="containsText" dxfId="90" priority="8" stopIfTrue="1" operator="containsText" text="超过">
      <formula>NOT(ISERROR(SEARCH("超过",J53)))</formula>
    </cfRule>
  </conditionalFormatting>
  <dataValidations count="25">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0 I20 G20 C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9"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39997558519241921"/>
  </sheetPr>
  <dimension ref="A1:AK122"/>
  <sheetViews>
    <sheetView view="pageBreakPreview" zoomScale="85" zoomScaleNormal="80" zoomScaleSheetLayoutView="85" workbookViewId="0">
      <selection activeCell="G61" sqref="G61:G69"/>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7" t="s">
        <v>1923</v>
      </c>
      <c r="B1" s="188"/>
      <c r="C1" s="192" t="s">
        <v>1924</v>
      </c>
      <c r="D1" s="332">
        <f>SUM(D33:D34,D37:D42)</f>
        <v>754.84</v>
      </c>
      <c r="E1" s="1835"/>
      <c r="F1" s="1835"/>
      <c r="G1" s="1835"/>
      <c r="H1" s="1835"/>
      <c r="I1" s="1835"/>
      <c r="J1" s="1835"/>
      <c r="K1" s="1051"/>
      <c r="L1" s="1836" t="s">
        <v>1925</v>
      </c>
      <c r="M1" s="806">
        <f>SUMPRODUCT((区片价!B5:B9=I2)*(区片价!C3:G3=E2)*(区片价!C5:G9))</f>
        <v>0</v>
      </c>
      <c r="N1" s="809">
        <f>SUMPRODUCT((因素修正幅度!B5:B9=I2)*(因素修正幅度!C3:G3=E2)*(因素修正幅度!C5:G9))</f>
        <v>0</v>
      </c>
      <c r="O1" s="1837"/>
      <c r="P1" s="1837"/>
      <c r="Q1" s="1051"/>
      <c r="R1" s="1124" t="s">
        <v>1926</v>
      </c>
      <c r="S1" s="1124" t="s">
        <v>1927</v>
      </c>
      <c r="T1" s="1124" t="s">
        <v>1928</v>
      </c>
      <c r="U1" s="1124" t="s">
        <v>1929</v>
      </c>
      <c r="V1" s="1124" t="s">
        <v>1930</v>
      </c>
      <c r="W1" s="1128"/>
      <c r="X1" s="1128"/>
      <c r="Y1" s="1128"/>
      <c r="Z1" s="1128"/>
      <c r="AA1" s="1128"/>
      <c r="AB1" s="1128"/>
      <c r="AC1" s="1129"/>
      <c r="AD1" s="1130"/>
      <c r="AE1" s="1130"/>
      <c r="AF1" s="1130"/>
      <c r="AG1" s="1130"/>
      <c r="AH1" s="1130"/>
      <c r="AI1" s="1130"/>
      <c r="AJ1" s="1131"/>
    </row>
    <row r="2" spans="1:36" ht="15.75">
      <c r="A2" s="192" t="s">
        <v>1931</v>
      </c>
      <c r="B2" s="195">
        <f>C30</f>
        <v>648</v>
      </c>
      <c r="C2" s="1839" t="s">
        <v>1932</v>
      </c>
      <c r="D2" s="161" t="s">
        <v>1933</v>
      </c>
      <c r="E2" s="3114" t="s">
        <v>21</v>
      </c>
      <c r="F2" s="161" t="s">
        <v>1934</v>
      </c>
      <c r="G2" s="162" t="str">
        <f>IF(E2="商业",项目基本情况!B37,IF(E2="办公",项目基本情况!C37,IF(E2="住宅",项目基本情况!D37,IF(E2="工业",项目基本情况!E37,项目基本情况!F37))))</f>
        <v>七级</v>
      </c>
      <c r="H2" s="161" t="s">
        <v>1935</v>
      </c>
      <c r="I2" s="162" t="str">
        <f>IF(E2="商业",项目基本情况!B38,IF(E2="办公",项目基本情况!C38,IF(E2="住宅",项目基本情况!D38,IF(E2="工业",项目基本情况!E38,项目基本情况!F38))))</f>
        <v>Ⅶ-昌3</v>
      </c>
      <c r="J2" s="1835"/>
      <c r="K2" s="1051"/>
      <c r="L2" s="1840" t="s">
        <v>1936</v>
      </c>
      <c r="M2" s="807">
        <f>SUMPRODUCT((区片价!B10:B29=I2)*(区片价!C3:G3=E2)*(区片价!C10:G29))</f>
        <v>0</v>
      </c>
      <c r="N2" s="809">
        <f>SUMPRODUCT((因素修正幅度!B10:B29=I2)*(因素修正幅度!C3:G3=E2)*(因素修正幅度!C10:G29))</f>
        <v>0</v>
      </c>
      <c r="O2" s="1051"/>
      <c r="P2" s="1051"/>
      <c r="Q2" s="1051"/>
      <c r="R2" s="1124">
        <v>1</v>
      </c>
      <c r="S2" s="3057">
        <f>ROUND(SUMPRODUCT((B106:B110=R2)*(C105:N105=G2)*(C106:N110)),4)</f>
        <v>1.5019</v>
      </c>
      <c r="T2" s="3057">
        <f t="shared" ref="T2:T16" si="0">ROUND($C$5*$C$22*$C$23*$C$24*S2*$C$28,0)</f>
        <v>14890</v>
      </c>
      <c r="U2" s="1125"/>
      <c r="V2" s="3057">
        <f>ROUND(T2*U2/10000,0)</f>
        <v>0</v>
      </c>
      <c r="W2" s="1128"/>
      <c r="X2" s="1128"/>
      <c r="Y2" s="1128"/>
      <c r="Z2" s="1128"/>
      <c r="AA2" s="1128"/>
      <c r="AB2" s="1128"/>
      <c r="AC2" s="1129"/>
      <c r="AD2" s="1130"/>
      <c r="AE2" s="1130"/>
      <c r="AF2" s="1130"/>
      <c r="AG2" s="1130"/>
      <c r="AH2" s="1130"/>
      <c r="AI2" s="1130"/>
      <c r="AJ2" s="1131"/>
    </row>
    <row r="3" spans="1:36" ht="15.75">
      <c r="A3" s="194" t="s">
        <v>1937</v>
      </c>
      <c r="B3" s="195">
        <f>ROUND(B2*10000/D1,0)</f>
        <v>8585</v>
      </c>
      <c r="C3" s="1839" t="s">
        <v>1938</v>
      </c>
      <c r="D3" s="161" t="s">
        <v>1939</v>
      </c>
      <c r="E3" s="3112" t="s">
        <v>4419</v>
      </c>
      <c r="F3" s="1841" t="s">
        <v>4163</v>
      </c>
      <c r="G3" s="704">
        <f>IF(F3="宗地容积率",'数据-汇总表'!I4,IF(F3="估价对象容积率",'数据-汇总表'!I6,'数据-汇总表'!I7))</f>
        <v>6.2</v>
      </c>
      <c r="H3" s="161" t="s">
        <v>1940</v>
      </c>
      <c r="I3" s="725"/>
      <c r="J3" s="1835" t="s">
        <v>1941</v>
      </c>
      <c r="K3" s="1051"/>
      <c r="L3" s="1840" t="s">
        <v>1942</v>
      </c>
      <c r="M3" s="807">
        <f>SUMPRODUCT((区片价!B30:B54=I2)*(区片价!C3:G3=E2)*(区片价!C30:G54))</f>
        <v>0</v>
      </c>
      <c r="N3" s="809">
        <f>SUMPRODUCT((因素修正幅度!B30:B54=I2)*(因素修正幅度!C3:G3=E2)*(因素修正幅度!C30:G54))</f>
        <v>0</v>
      </c>
      <c r="O3" s="1051"/>
      <c r="P3" s="1051"/>
      <c r="Q3" s="1051"/>
      <c r="R3" s="1124">
        <v>2</v>
      </c>
      <c r="S3" s="3057">
        <f>ROUND(SUMPRODUCT((B106:B110=R3)*(C105:N105=G2)*(C106:N110)),4)</f>
        <v>1.1838</v>
      </c>
      <c r="T3" s="3057">
        <f t="shared" si="0"/>
        <v>11737</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395"/>
      <c r="B4" s="3396"/>
      <c r="C4" s="3396"/>
      <c r="D4" s="3397"/>
      <c r="E4" s="3397"/>
      <c r="F4" s="3397"/>
      <c r="G4" s="3397"/>
      <c r="H4" s="3397"/>
      <c r="I4" s="3397"/>
      <c r="J4" s="3398"/>
      <c r="K4" s="1051"/>
      <c r="L4" s="1840" t="s">
        <v>1943</v>
      </c>
      <c r="M4" s="807">
        <f>SUMPRODUCT((区片价!B55:B86=I2)*(区片价!C3:G3=E2)*(区片价!C55:G86))</f>
        <v>0</v>
      </c>
      <c r="N4" s="809">
        <f>SUMPRODUCT((因素修正幅度!B55:B86=I2)*(因素修正幅度!C3:G3=E2)*(因素修正幅度!C55:G86))</f>
        <v>0</v>
      </c>
      <c r="O4" s="1051"/>
      <c r="P4" s="1051"/>
      <c r="Q4" s="1051"/>
      <c r="R4" s="1124">
        <v>3</v>
      </c>
      <c r="S4" s="3057">
        <f>ROUND(SUMPRODUCT((B106:B110=R4)*(C105:N105=G2)*(C106:N110)),4)</f>
        <v>1.0004999999999999</v>
      </c>
      <c r="T4" s="3057">
        <f t="shared" si="0"/>
        <v>9919</v>
      </c>
      <c r="U4" s="1125"/>
      <c r="V4" s="3057">
        <f t="shared" si="1"/>
        <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1944</v>
      </c>
      <c r="C5" s="705">
        <f>ROUND(IF(E2="商业",C6*C7*C17+C20,(IF(E2="住宅",C6*C13*C17+C20,IF(E2="办公",C6*C12*C17+C20,C6+C20)))),0)</f>
        <v>9429</v>
      </c>
      <c r="D5" s="1245">
        <f>ROUND(C6*C17+C20,0)</f>
        <v>8980</v>
      </c>
      <c r="E5" s="1245"/>
      <c r="F5" s="1844"/>
      <c r="G5" s="1845"/>
      <c r="H5" s="1845"/>
      <c r="I5" s="1845"/>
      <c r="J5" s="1846"/>
      <c r="K5" s="1847"/>
      <c r="L5" s="1840" t="s">
        <v>1945</v>
      </c>
      <c r="M5" s="807">
        <f>SUMPRODUCT((区片价!B87:B126=I2)*(区片价!C3:G3=E2)*(区片价!C87:G126))</f>
        <v>0</v>
      </c>
      <c r="N5" s="809">
        <f>SUMPRODUCT((因素修正幅度!B87:B126=I2)*(因素修正幅度!C3:G3=E2)*(因素修正幅度!C87:G126))</f>
        <v>0</v>
      </c>
      <c r="O5" s="1051"/>
      <c r="P5" s="1051"/>
      <c r="Q5" s="1051"/>
      <c r="R5" s="1124">
        <v>4</v>
      </c>
      <c r="S5" s="3057">
        <f>ROUND(SUMPRODUCT((B106:B110=R5)*(C105:N105=G2)*(C106:N110)),4)</f>
        <v>0.88239999999999996</v>
      </c>
      <c r="T5" s="3057">
        <f t="shared" si="0"/>
        <v>8749</v>
      </c>
      <c r="U5" s="1125"/>
      <c r="V5" s="3057">
        <f t="shared" si="1"/>
        <v>0</v>
      </c>
      <c r="W5" s="1128"/>
      <c r="X5" s="1128"/>
      <c r="Y5" s="1128"/>
      <c r="Z5" s="1128"/>
      <c r="AA5" s="1128"/>
      <c r="AB5" s="1128"/>
      <c r="AC5" s="1848"/>
      <c r="AD5" s="1849"/>
      <c r="AE5" s="1849"/>
      <c r="AF5" s="1849"/>
      <c r="AG5" s="1849"/>
      <c r="AH5" s="1849"/>
      <c r="AI5" s="1849"/>
      <c r="AJ5" s="1850"/>
    </row>
    <row r="6" spans="1:36" ht="15.75" thickBot="1">
      <c r="A6" s="1852" t="s">
        <v>1946</v>
      </c>
      <c r="B6" s="1853" t="s">
        <v>1947</v>
      </c>
      <c r="C6" s="706">
        <f>SUMIF(L1:L12,G2,M1:M12)</f>
        <v>8980</v>
      </c>
      <c r="D6" s="1854"/>
      <c r="E6" s="1855"/>
      <c r="F6" s="1855"/>
      <c r="G6" s="1856"/>
      <c r="H6" s="1856"/>
      <c r="I6" s="1856"/>
      <c r="J6" s="1857"/>
      <c r="K6" s="1285"/>
      <c r="L6" s="1840" t="s">
        <v>1948</v>
      </c>
      <c r="M6" s="807">
        <f>SUMPRODUCT((区片价!B127:B189=I2)*(区片价!C3:G3=E2)*(区片价!C127:G189))</f>
        <v>0</v>
      </c>
      <c r="N6" s="809">
        <f>SUMPRODUCT((因素修正幅度!B127:B189=I2)*(因素修正幅度!C3:G3=E2)*(因素修正幅度!C127:G189))</f>
        <v>0</v>
      </c>
      <c r="O6" s="1051"/>
      <c r="P6" s="1051"/>
      <c r="Q6" s="1051"/>
      <c r="R6" s="1124">
        <v>5</v>
      </c>
      <c r="S6" s="3057">
        <f>ROUND(SUMPRODUCT((B106:B110=R6)*(C105:N105=G2)*(C106:N110)),4)</f>
        <v>0.84799999999999998</v>
      </c>
      <c r="T6" s="3057">
        <f t="shared" si="0"/>
        <v>8407</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3226</v>
      </c>
      <c r="B7" s="1858" t="s">
        <v>1949</v>
      </c>
      <c r="C7" s="707">
        <f>IF(C8="不临65条商业街",1,ROUND(1+(1.6*E8+1.2*E9+0.8*E10+0.4*E11)*C9,4))</f>
        <v>1</v>
      </c>
      <c r="D7" s="1859" t="s">
        <v>1950</v>
      </c>
      <c r="E7" s="726"/>
      <c r="F7" s="1860"/>
      <c r="G7" s="1861"/>
      <c r="H7" s="1861"/>
      <c r="I7" s="1861"/>
      <c r="J7" s="1862"/>
      <c r="K7" s="1285"/>
      <c r="L7" s="1840" t="s">
        <v>1951</v>
      </c>
      <c r="M7" s="807">
        <f>SUMPRODUCT((区片价!B190:B233=I2)*(区片价!C3:G3=E2)*(区片价!C190:G233))</f>
        <v>8980</v>
      </c>
      <c r="N7" s="809">
        <f>SUMPRODUCT((因素修正幅度!B190:B233=I2)*(因素修正幅度!C3:G3=E2)*(因素修正幅度!C190:G233))</f>
        <v>0.13</v>
      </c>
      <c r="O7" s="1051"/>
      <c r="P7" s="1051"/>
      <c r="Q7" s="1051"/>
      <c r="R7" s="1124">
        <v>6</v>
      </c>
      <c r="S7" s="3111"/>
      <c r="T7" s="3057">
        <f t="shared" si="0"/>
        <v>0</v>
      </c>
      <c r="U7" s="1125"/>
      <c r="V7" s="3057">
        <f t="shared" si="1"/>
        <v>0</v>
      </c>
      <c r="W7" s="1260" t="s">
        <v>1952</v>
      </c>
      <c r="X7" s="1126" t="str">
        <f>G2</f>
        <v>七级</v>
      </c>
      <c r="Y7" s="1126" t="s">
        <v>1953</v>
      </c>
      <c r="Z7" s="1127">
        <f>G3</f>
        <v>6.2</v>
      </c>
      <c r="AA7" s="1128"/>
      <c r="AB7" s="1128"/>
      <c r="AC7" s="1129"/>
      <c r="AD7" s="1130"/>
      <c r="AE7" s="1130"/>
      <c r="AF7" s="1130"/>
      <c r="AG7" s="1130"/>
      <c r="AH7" s="1130"/>
      <c r="AI7" s="1130"/>
      <c r="AJ7" s="1131"/>
    </row>
    <row r="8" spans="1:36" ht="25.5">
      <c r="A8" s="3003"/>
      <c r="B8" s="161" t="s">
        <v>1954</v>
      </c>
      <c r="C8" s="1863" t="s">
        <v>4160</v>
      </c>
      <c r="D8" s="708" t="s">
        <v>112</v>
      </c>
      <c r="E8" s="709" t="e">
        <f>ROUND(C11/E7,4)</f>
        <v>#DIV/0!</v>
      </c>
      <c r="F8" s="1864" t="s">
        <v>1955</v>
      </c>
      <c r="G8" s="1865"/>
      <c r="H8" s="1865"/>
      <c r="I8" s="1865"/>
      <c r="J8" s="1866"/>
      <c r="K8" s="1051"/>
      <c r="L8" s="1840" t="s">
        <v>1956</v>
      </c>
      <c r="M8" s="807">
        <f>SUMPRODUCT((区片价!B234:B276=I2)*(区片价!C3:G3=E2)*(区片价!C234:G276))</f>
        <v>0</v>
      </c>
      <c r="N8" s="809">
        <f>SUMPRODUCT((因素修正幅度!B234:B276=I2)*(因素修正幅度!C3:G3=E2)*(因素修正幅度!C234:G276))</f>
        <v>0</v>
      </c>
      <c r="O8" s="1051"/>
      <c r="P8" s="1051"/>
      <c r="Q8" s="1051"/>
      <c r="R8" s="1124">
        <v>7</v>
      </c>
      <c r="S8" s="1125"/>
      <c r="T8" s="3057">
        <f t="shared" si="0"/>
        <v>0</v>
      </c>
      <c r="U8" s="1125"/>
      <c r="V8" s="3057">
        <f t="shared" si="1"/>
        <v>0</v>
      </c>
      <c r="W8" s="3392" t="s">
        <v>1957</v>
      </c>
      <c r="X8" s="3393"/>
      <c r="Y8" s="1132" t="s">
        <v>1958</v>
      </c>
      <c r="Z8" s="1132" t="s">
        <v>1959</v>
      </c>
      <c r="AA8" s="1132" t="s">
        <v>1960</v>
      </c>
      <c r="AB8" s="1132" t="s">
        <v>1961</v>
      </c>
      <c r="AC8" s="1132" t="s">
        <v>1962</v>
      </c>
      <c r="AD8" s="1132" t="s">
        <v>1963</v>
      </c>
      <c r="AE8" s="1132" t="s">
        <v>1964</v>
      </c>
      <c r="AF8" s="1132" t="s">
        <v>1965</v>
      </c>
      <c r="AG8" s="1132" t="s">
        <v>1966</v>
      </c>
      <c r="AH8" s="1132" t="s">
        <v>1967</v>
      </c>
      <c r="AI8" s="1132" t="s">
        <v>1968</v>
      </c>
      <c r="AJ8" s="1132" t="s">
        <v>1969</v>
      </c>
    </row>
    <row r="9" spans="1:36" ht="15">
      <c r="A9" s="3003"/>
      <c r="B9" s="161" t="s">
        <v>1970</v>
      </c>
      <c r="C9" s="710">
        <f>SUMIF(修正!C71:C138,C8,修正!E71:E138)</f>
        <v>0</v>
      </c>
      <c r="D9" s="162" t="s">
        <v>113</v>
      </c>
      <c r="E9" s="162" t="e">
        <f>ROUND(C11/E7,4)</f>
        <v>#DIV/0!</v>
      </c>
      <c r="F9" s="1864" t="s">
        <v>1971</v>
      </c>
      <c r="G9" s="1865"/>
      <c r="H9" s="1865"/>
      <c r="I9" s="1865"/>
      <c r="J9" s="1866"/>
      <c r="K9" s="1051"/>
      <c r="L9" s="1840" t="s">
        <v>1972</v>
      </c>
      <c r="M9" s="807">
        <f>SUMPRODUCT((区片价!B277:B326=I2)*(区片价!C3:G3=E2)*(区片价!C277:G326))</f>
        <v>0</v>
      </c>
      <c r="N9" s="809">
        <f>SUMPRODUCT((因素修正幅度!B277:B326=I2)*(因素修正幅度!C3:G3=E2)*(因素修正幅度!C277:G326))</f>
        <v>0</v>
      </c>
      <c r="O9" s="1051"/>
      <c r="P9" s="1051"/>
      <c r="Q9" s="1051"/>
      <c r="R9" s="1124">
        <v>8</v>
      </c>
      <c r="S9" s="1125"/>
      <c r="T9" s="3057">
        <f t="shared" si="0"/>
        <v>0</v>
      </c>
      <c r="U9" s="1125"/>
      <c r="V9" s="3057">
        <f t="shared" si="1"/>
        <v>0</v>
      </c>
      <c r="W9" s="3394"/>
      <c r="X9" s="3058" t="s">
        <v>3256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4" t="s">
        <v>1974</v>
      </c>
      <c r="G10" s="1865"/>
      <c r="H10" s="1865"/>
      <c r="I10" s="1865"/>
      <c r="J10" s="1866"/>
      <c r="K10" s="1051"/>
      <c r="L10" s="1840" t="s">
        <v>1975</v>
      </c>
      <c r="M10" s="807">
        <f>SUMPRODUCT((区片价!B327:B357=I2)*(区片价!C3:G3=E2)*(区片价!C327:G357))</f>
        <v>0</v>
      </c>
      <c r="N10" s="809">
        <f>SUMPRODUCT((因素修正幅度!B327:B357=I2)*(因素修正幅度!C3:G3=E2)*(因素修正幅度!C327:G357))</f>
        <v>0</v>
      </c>
      <c r="O10" s="1051"/>
      <c r="P10" s="1051"/>
      <c r="Q10" s="1051"/>
      <c r="R10" s="1124">
        <v>9</v>
      </c>
      <c r="S10" s="1125"/>
      <c r="T10" s="3057">
        <f t="shared" si="0"/>
        <v>0</v>
      </c>
      <c r="U10" s="1125"/>
      <c r="V10" s="3057">
        <f t="shared" si="1"/>
        <v>0</v>
      </c>
      <c r="W10" s="339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1976</v>
      </c>
      <c r="C11" s="711">
        <f>C10/4</f>
        <v>0</v>
      </c>
      <c r="D11" s="711" t="s">
        <v>115</v>
      </c>
      <c r="E11" s="711" t="e">
        <f>ROUND(C11/E7,4)</f>
        <v>#DIV/0!</v>
      </c>
      <c r="F11" s="1868" t="s">
        <v>1977</v>
      </c>
      <c r="G11" s="1869"/>
      <c r="H11" s="1869"/>
      <c r="I11" s="1869"/>
      <c r="J11" s="1870"/>
      <c r="K11" s="1051"/>
      <c r="L11" s="1840" t="s">
        <v>1978</v>
      </c>
      <c r="M11" s="807">
        <f>SUMPRODUCT((区片价!B358:B377=I2)*(区片价!C3:G3=E2)*(区片价!C358:G377))</f>
        <v>0</v>
      </c>
      <c r="N11" s="809">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5" thickBot="1">
      <c r="A12" s="3006" t="s">
        <v>3227</v>
      </c>
      <c r="B12" s="3007" t="s">
        <v>3228</v>
      </c>
      <c r="C12" s="3008">
        <v>1.05</v>
      </c>
      <c r="D12" s="3009" t="s">
        <v>3229</v>
      </c>
      <c r="E12" s="3010" t="s">
        <v>3230</v>
      </c>
      <c r="F12" s="3011"/>
      <c r="G12" s="3012"/>
      <c r="H12" s="3012"/>
      <c r="I12" s="3012"/>
      <c r="J12" s="3013"/>
      <c r="K12" s="1051"/>
      <c r="L12" s="1789" t="s">
        <v>1981</v>
      </c>
      <c r="M12" s="808">
        <f>SUMPRODUCT((区片价!B378:B384=I2)*(区片价!C3:G3=E2)*(区片价!C378:G384))</f>
        <v>0</v>
      </c>
      <c r="N12" s="809">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15.75" thickBot="1">
      <c r="A13" s="3006" t="s">
        <v>3231</v>
      </c>
      <c r="B13" s="1871" t="s">
        <v>1979</v>
      </c>
      <c r="C13" s="707">
        <f>ROUND(C16*D16*E16*F16*G16*H16*I16*J16,4)</f>
        <v>0</v>
      </c>
      <c r="D13" s="1872" t="s">
        <v>1980</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15">
      <c r="A14" s="3002"/>
      <c r="B14" s="1876" t="s">
        <v>1982</v>
      </c>
      <c r="C14" s="1877" t="s">
        <v>1983</v>
      </c>
      <c r="D14" s="1254" t="s">
        <v>1984</v>
      </c>
      <c r="E14" s="27" t="s">
        <v>1985</v>
      </c>
      <c r="F14" s="3014" t="s">
        <v>3232</v>
      </c>
      <c r="G14" s="3014" t="s">
        <v>3232</v>
      </c>
      <c r="H14" s="3014" t="s">
        <v>3232</v>
      </c>
      <c r="I14" s="3014" t="s">
        <v>3232</v>
      </c>
      <c r="J14" s="3014" t="s">
        <v>3232</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8"/>
      <c r="C15" s="1879"/>
      <c r="D15" s="1880"/>
      <c r="E15" s="1881"/>
      <c r="F15" s="1463" t="s">
        <v>3233</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c r="A17" s="3029" t="s">
        <v>3234</v>
      </c>
      <c r="B17" s="3021" t="s">
        <v>3235</v>
      </c>
      <c r="C17" s="3030">
        <f>ROUND(IF(OR(E2="工业",E2="公共服务"),1,IF(AND(E18=0,E19=0),1,IF(AND(E18=J24,E19=G19),0.8,IF(E19=0,1+E17*(-0.2),1+E17*G17*(-0.2))))),4)</f>
        <v>1</v>
      </c>
      <c r="D17" s="3022" t="s">
        <v>3236</v>
      </c>
      <c r="E17" s="3030">
        <f>ROUND(G18/I18,2)</f>
        <v>0</v>
      </c>
      <c r="F17" s="3022" t="s">
        <v>3239</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3"/>
      <c r="C18" s="3028"/>
      <c r="D18" s="3023" t="s">
        <v>3237</v>
      </c>
      <c r="E18" s="2350"/>
      <c r="F18" s="3024" t="s">
        <v>3240</v>
      </c>
      <c r="G18" s="3028">
        <f>ROUND(1-(1/(POWER(1+G24,E18))),4)</f>
        <v>0</v>
      </c>
      <c r="H18" s="3024" t="s">
        <v>3242</v>
      </c>
      <c r="I18" s="3028">
        <f>ROUND(1-(1/(POWER(1+G24,J24))),4)</f>
        <v>0.93120000000000003</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6"/>
    </row>
    <row r="19" spans="1:37" s="1851" customFormat="1" ht="15" thickBot="1">
      <c r="A19" s="3034"/>
      <c r="B19" s="3035"/>
      <c r="C19" s="3036"/>
      <c r="D19" s="3036" t="s">
        <v>3238</v>
      </c>
      <c r="E19" s="3037"/>
      <c r="F19" s="3038" t="s">
        <v>3241</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9"/>
      <c r="AH19" s="1973"/>
      <c r="AI19" s="559"/>
      <c r="AJ19" s="559"/>
      <c r="AK19" s="1892"/>
    </row>
    <row r="20" spans="1:37" s="1851" customFormat="1" ht="14.25">
      <c r="A20" s="3399" t="s">
        <v>3243</v>
      </c>
      <c r="B20" s="158" t="s">
        <v>1991</v>
      </c>
      <c r="C20" s="3025">
        <f>ROUND(IF(F21="与级别开发程度一致",0,(G21-E21)/C21),0)</f>
        <v>0</v>
      </c>
      <c r="D20" s="3040" t="s">
        <v>1995</v>
      </c>
      <c r="E20" s="3041"/>
      <c r="F20" s="3405" t="s">
        <v>1992</v>
      </c>
      <c r="G20" s="3406"/>
      <c r="H20" s="3026"/>
      <c r="I20" s="3026"/>
      <c r="J20" s="3027"/>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6"/>
      <c r="AH20" s="2546"/>
      <c r="AI20" s="2546"/>
      <c r="AJ20" s="2546"/>
    </row>
    <row r="21" spans="1:37" s="1851" customFormat="1" ht="26.25" thickBot="1">
      <c r="A21" s="3400"/>
      <c r="B21" s="1995" t="s">
        <v>1994</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4161</v>
      </c>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6"/>
      <c r="R21" s="1055"/>
      <c r="S21" s="1055"/>
      <c r="T21" s="1052"/>
      <c r="U21" s="1052"/>
      <c r="V21" s="1052"/>
      <c r="W21" s="1051"/>
      <c r="X21" s="1051"/>
      <c r="Y21" s="1051"/>
      <c r="Z21" s="1056"/>
      <c r="AA21" s="1056"/>
      <c r="AB21" s="1056"/>
      <c r="AC21" s="1056"/>
      <c r="AD21" s="1056"/>
      <c r="AE21" s="1056"/>
      <c r="AF21" s="1056"/>
      <c r="AG21" s="2546"/>
      <c r="AH21" s="2546"/>
      <c r="AI21" s="2546"/>
      <c r="AJ21" s="2546"/>
    </row>
    <row r="22" spans="1:37" s="1851" customFormat="1" ht="15.75" thickBot="1">
      <c r="A22" s="1989" t="s">
        <v>363</v>
      </c>
      <c r="B22" s="1990" t="s">
        <v>1997</v>
      </c>
      <c r="C22" s="1991">
        <f>SUMIF(修正!C20:C51,E3,修正!E20:E51)</f>
        <v>1</v>
      </c>
      <c r="D22" s="1992"/>
      <c r="E22" s="1993"/>
      <c r="F22" s="1993"/>
      <c r="G22" s="1993"/>
      <c r="H22" s="1993"/>
      <c r="I22" s="1993"/>
      <c r="J22" s="1994"/>
      <c r="K22" s="1056"/>
      <c r="L22" s="2546"/>
      <c r="M22" s="2546"/>
      <c r="N22" s="2546"/>
      <c r="O22" s="1054"/>
      <c r="P22" s="1054"/>
      <c r="Q22" s="2546"/>
      <c r="R22" s="1055"/>
      <c r="S22" s="1055"/>
      <c r="T22" s="1052"/>
      <c r="U22" s="1052"/>
      <c r="V22" s="1052"/>
      <c r="W22" s="1051"/>
      <c r="X22" s="1051"/>
      <c r="Y22" s="1051"/>
      <c r="Z22" s="1056"/>
      <c r="AA22" s="1056"/>
      <c r="AB22" s="1056"/>
      <c r="AC22" s="1056"/>
      <c r="AD22" s="1056"/>
      <c r="AE22" s="1056"/>
      <c r="AF22" s="1056"/>
      <c r="AG22" s="2546"/>
      <c r="AH22" s="2546"/>
      <c r="AI22" s="2546"/>
      <c r="AJ22" s="2546"/>
    </row>
    <row r="23" spans="1:37" ht="26.25" thickBot="1">
      <c r="A23" s="1885" t="s">
        <v>364</v>
      </c>
      <c r="B23" s="1886" t="s">
        <v>1998</v>
      </c>
      <c r="C23" s="712">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1.0298</v>
      </c>
      <c r="D23" s="1889" t="s">
        <v>1999</v>
      </c>
      <c r="E23" s="713">
        <v>44197</v>
      </c>
      <c r="F23" s="1889" t="s">
        <v>2000</v>
      </c>
      <c r="G23" s="714">
        <f>'数据-取费表'!B2</f>
        <v>45492</v>
      </c>
      <c r="H23" s="3042" t="s">
        <v>3244</v>
      </c>
      <c r="I23" s="3043" t="str">
        <f>IF(H23="季度增幅（自定义）",SUMIF(N25:N28,E2,O25:O28),"")</f>
        <v/>
      </c>
      <c r="J23" s="3135" t="s">
        <v>4162</v>
      </c>
      <c r="K23" s="1056"/>
      <c r="L23" s="1890" t="s">
        <v>2001</v>
      </c>
      <c r="M23" s="1234">
        <f>ROUND(SUMIF(地价!B2:G2,E2,地价!B16:G16),0)</f>
        <v>350</v>
      </c>
      <c r="N23" s="1891" t="s">
        <v>2002</v>
      </c>
      <c r="O23" s="715">
        <f>ROUNDDOWN(DATEDIF(E23,G23,"M")/3,0)</f>
        <v>14</v>
      </c>
      <c r="P23" s="1052"/>
      <c r="Q23" s="2546"/>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2003</v>
      </c>
      <c r="C24" s="716">
        <f>ROUND(POWER(1+G24,J24-I24)*(POWER(1+G24,I24)-1)/(POWER(1+G24,J24)-1),4)</f>
        <v>0.95730000000000004</v>
      </c>
      <c r="D24" s="1895" t="s">
        <v>2004</v>
      </c>
      <c r="E24" s="1241">
        <f>存贷款利率!E26/100</f>
        <v>4.3499999999999997E-2</v>
      </c>
      <c r="F24" s="1895" t="s">
        <v>1996</v>
      </c>
      <c r="G24" s="720">
        <f>SUMIF(M30:Q30,E2,M33:Q33)</f>
        <v>5.5E-2</v>
      </c>
      <c r="H24" s="1895" t="s">
        <v>2005</v>
      </c>
      <c r="I24" s="721">
        <f>SUMIF('数据-取费表'!C6:C15,E2,'数据-取费表'!F6:F15)/COUNTIF('数据-取费表'!C6:C15,E2)</f>
        <v>41.47</v>
      </c>
      <c r="J24" s="722">
        <f>IF(E2="住宅",70,IF(E2="商业",40,50))</f>
        <v>50</v>
      </c>
      <c r="K24" s="1056"/>
      <c r="L24" s="1896" t="s">
        <v>2006</v>
      </c>
      <c r="M24" s="1235">
        <f>ROUND(SUMPRODUCT((地价!A4:A16=YEAR(G23)&amp;"-"&amp;ROUNDUP(MONTH(G23)/3,0))*(地价!B2:G2=E2)*(地价!B4:G16)),0)</f>
        <v>0</v>
      </c>
      <c r="N24" s="1897" t="s">
        <v>2007</v>
      </c>
      <c r="O24" s="1898" t="s">
        <v>2008</v>
      </c>
      <c r="P24" s="1899" t="s">
        <v>2009</v>
      </c>
      <c r="Q24" s="1837"/>
      <c r="R24" s="1055"/>
      <c r="S24" s="1055"/>
      <c r="T24" s="1052"/>
      <c r="U24" s="1052"/>
      <c r="V24" s="1052"/>
      <c r="W24" s="1051"/>
      <c r="X24" s="1051"/>
      <c r="Y24" s="1051"/>
      <c r="Z24" s="1056"/>
      <c r="AA24" s="1056"/>
      <c r="AB24" s="1056"/>
      <c r="AC24" s="1056"/>
      <c r="AD24" s="1056"/>
      <c r="AE24" s="1056"/>
      <c r="AF24" s="1056"/>
      <c r="AG24" s="2546"/>
      <c r="AH24" s="2546"/>
      <c r="AI24" s="2546"/>
      <c r="AJ24" s="2546"/>
    </row>
    <row r="25" spans="1:37" ht="15">
      <c r="A25" s="1900" t="s">
        <v>366</v>
      </c>
      <c r="B25" s="1901" t="s">
        <v>3323</v>
      </c>
      <c r="C25" s="460">
        <f>IF(B25="容积率修正",IF(G3&lt;10,D26,J26),C27)</f>
        <v>0.86619999999999997</v>
      </c>
      <c r="D25" s="1902"/>
      <c r="E25" s="1902"/>
      <c r="F25" s="1902"/>
      <c r="G25" s="1902"/>
      <c r="H25" s="1902"/>
      <c r="I25" s="1902"/>
      <c r="J25" s="1903"/>
      <c r="K25" s="1056"/>
      <c r="L25" s="2546"/>
      <c r="M25" s="2546"/>
      <c r="N25" s="1904" t="s">
        <v>2010</v>
      </c>
      <c r="O25" s="1088"/>
      <c r="P25" s="1089">
        <f>SUMPRODUCT((地价!A3:A40=YEAR(G23)&amp;"-"&amp;ROUNDUP(MONTH(G23)/3,0))*(地价!AD2:AH2=N25)*(地价!AD3:AH40))</f>
        <v>0</v>
      </c>
      <c r="Q25" s="2546"/>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2011</v>
      </c>
      <c r="B26" s="1905" t="s">
        <v>2012</v>
      </c>
      <c r="C26" s="1905" t="s">
        <v>3245</v>
      </c>
      <c r="D26" s="1256">
        <f>IF(E26=G26,F26,IF(G3&lt;10,ROUND(F26+(H26-F26)*(G3-E26)/(G26-E26),4),"——"))</f>
        <v>0.86619999999999997</v>
      </c>
      <c r="E26" s="704">
        <f>ROUNDDOWN(G3,1)</f>
        <v>6.2</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704">
        <f>ROUNDUP(G3,1)</f>
        <v>6.2</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0.86619999999999997</v>
      </c>
      <c r="I26" s="1905" t="s">
        <v>3246</v>
      </c>
      <c r="J26" s="373" t="str">
        <f>IF(G3&gt;=10,D115,"——")</f>
        <v>——</v>
      </c>
      <c r="K26" s="1056"/>
      <c r="L26" s="2546"/>
      <c r="M26" s="2546"/>
      <c r="N26" s="1904" t="s">
        <v>2013</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2014</v>
      </c>
      <c r="B27" s="1906" t="s">
        <v>2015</v>
      </c>
      <c r="C27" s="787">
        <f>ROUND(IF(I3&lt;6,SUMPRODUCT((B106:B110=I3)*(C105:N105=G2)*(C106:N110)),SUMIF(C105:N105,G2,C112:N112)),4)</f>
        <v>0</v>
      </c>
      <c r="D27" s="1835"/>
      <c r="E27" s="1835"/>
      <c r="F27" s="1907"/>
      <c r="G27" s="1908"/>
      <c r="H27" s="1909"/>
      <c r="I27" s="1910"/>
      <c r="J27" s="1911"/>
      <c r="K27" s="1051"/>
      <c r="L27" s="1837"/>
      <c r="M27" s="1837"/>
      <c r="N27" s="1904" t="s">
        <v>2016</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2017</v>
      </c>
      <c r="C28" s="712">
        <f>SUMIF(A47:A101,E2,B47:B101)</f>
        <v>1.0666</v>
      </c>
      <c r="D28" s="1887"/>
      <c r="E28" s="1912"/>
      <c r="F28" s="1912"/>
      <c r="G28" s="1912"/>
      <c r="H28" s="1912"/>
      <c r="I28" s="1912"/>
      <c r="J28" s="1913"/>
      <c r="K28" s="1056"/>
      <c r="L28" s="2546"/>
      <c r="M28" s="2546"/>
      <c r="N28" s="1914" t="s">
        <v>2018</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2019</v>
      </c>
      <c r="C29" s="717"/>
      <c r="D29" s="1861"/>
      <c r="E29" s="1861"/>
      <c r="F29" s="1916"/>
      <c r="G29" s="1861"/>
      <c r="H29" s="1861"/>
      <c r="I29" s="1861"/>
      <c r="J29" s="1862"/>
      <c r="K29" s="1051"/>
      <c r="L29" s="1837"/>
      <c r="M29" s="1837"/>
      <c r="N29" s="2543" t="s">
        <v>2020</v>
      </c>
      <c r="O29" s="2544"/>
      <c r="P29" s="2545">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2021</v>
      </c>
      <c r="C30" s="2138">
        <f>IF(B25="容积率修正",E33+SUM(E37:E42),SUM(V2:V16)+SUM(E37:E42))</f>
        <v>648</v>
      </c>
      <c r="D30" s="1918"/>
      <c r="E30" s="1835"/>
      <c r="F30" s="1919"/>
      <c r="G30" s="1835"/>
      <c r="H30" s="1835"/>
      <c r="I30" s="1835"/>
      <c r="J30" s="1920"/>
      <c r="K30" s="1051"/>
      <c r="L30" s="3049" t="s">
        <v>1933</v>
      </c>
      <c r="M30" s="3050" t="s">
        <v>1987</v>
      </c>
      <c r="N30" s="3050" t="s">
        <v>1988</v>
      </c>
      <c r="O30" s="3050" t="s">
        <v>1989</v>
      </c>
      <c r="P30" s="3050" t="s">
        <v>1990</v>
      </c>
      <c r="Q30" s="3053" t="s">
        <v>3250</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2022</v>
      </c>
      <c r="C31" s="718">
        <f>E34+SUM(I37:I42)</f>
        <v>0</v>
      </c>
      <c r="D31" s="1922"/>
      <c r="E31" s="1923"/>
      <c r="F31" s="1924"/>
      <c r="G31" s="1923"/>
      <c r="H31" s="1923"/>
      <c r="I31" s="1923"/>
      <c r="J31" s="1925"/>
      <c r="K31" s="1051"/>
      <c r="L31" s="3051" t="s">
        <v>1993</v>
      </c>
      <c r="M31" s="161">
        <v>0.25</v>
      </c>
      <c r="N31" s="161">
        <v>0.2</v>
      </c>
      <c r="O31" s="161">
        <v>0.15</v>
      </c>
      <c r="P31" s="161">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2023</v>
      </c>
      <c r="C32" s="1928" t="s">
        <v>2024</v>
      </c>
      <c r="D32" s="1928" t="s">
        <v>2025</v>
      </c>
      <c r="E32" s="1929" t="s">
        <v>2026</v>
      </c>
      <c r="F32" s="1930"/>
      <c r="G32" s="1874"/>
      <c r="H32" s="1874"/>
      <c r="I32" s="1874"/>
      <c r="J32" s="1875"/>
      <c r="K32" s="1051"/>
      <c r="L32" s="3052" t="s">
        <v>1996</v>
      </c>
      <c r="M32" s="2349">
        <f>ROUND($E$24*(1+M31),3)</f>
        <v>5.3999999999999999E-2</v>
      </c>
      <c r="N32" s="2349">
        <f>ROUND($E$24*(1+N31),3)</f>
        <v>5.1999999999999998E-2</v>
      </c>
      <c r="O32" s="2349">
        <f>ROUND($E$24*(1+O31),3)</f>
        <v>0.05</v>
      </c>
      <c r="P32" s="2349">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2027</v>
      </c>
      <c r="C33" s="166">
        <f>ROUND(C5*C22*C23*C24*C25*C28,0)</f>
        <v>8588</v>
      </c>
      <c r="D33" s="1933">
        <f>'数据-基础表'!I14</f>
        <v>754.84</v>
      </c>
      <c r="E33" s="723">
        <f>ROUND(C33*D33/10000,0)</f>
        <v>648</v>
      </c>
      <c r="F33" s="3044" t="s">
        <v>3248</v>
      </c>
      <c r="G33" s="1934"/>
      <c r="H33" s="1934"/>
      <c r="I33" s="1934"/>
      <c r="J33" s="1935"/>
      <c r="K33" s="1051"/>
      <c r="L33" s="3047" t="s">
        <v>3251</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2028</v>
      </c>
      <c r="C34" s="178">
        <f>ROUND(IF(E2="工业",C33*M42,IF(B25="楼层修正",SUM(V2:V16)*M41*10000/D34,C33*M41)),0)</f>
        <v>2147</v>
      </c>
      <c r="D34" s="1938"/>
      <c r="E34" s="723">
        <f>ROUND(IF(B25="楼层修正",SUM(V2:V16)*M40,C34*D34/10000),0)</f>
        <v>0</v>
      </c>
      <c r="F34" s="1939" t="s">
        <v>2029</v>
      </c>
      <c r="G34" s="1940"/>
      <c r="H34" s="1940"/>
      <c r="I34" s="1940"/>
      <c r="J34" s="1941"/>
      <c r="K34" s="1051"/>
      <c r="L34" s="3047" t="s">
        <v>3252</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2030</v>
      </c>
      <c r="C35" s="3045" t="s">
        <v>3249</v>
      </c>
      <c r="D35" s="1874"/>
      <c r="E35" s="1944"/>
      <c r="F35" s="1944"/>
      <c r="G35" s="1872" t="s">
        <v>2031</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5" t="s">
        <v>2024</v>
      </c>
      <c r="D36" s="432" t="s">
        <v>2025</v>
      </c>
      <c r="E36" s="432" t="s">
        <v>2026</v>
      </c>
      <c r="F36" s="332" t="s">
        <v>2032</v>
      </c>
      <c r="G36" s="1947" t="s">
        <v>2024</v>
      </c>
      <c r="H36" s="1947" t="s">
        <v>2025</v>
      </c>
      <c r="I36" s="1947" t="s">
        <v>2026</v>
      </c>
      <c r="J36" s="234"/>
      <c r="K36" s="1957" t="s">
        <v>3253</v>
      </c>
      <c r="L36" s="3136">
        <f ca="1">'数据-取费表'!B40</f>
        <v>3.4500000000000003E-2</v>
      </c>
      <c r="M36" s="2359">
        <f ca="1">ROUND($L$36*(1+M31),3)</f>
        <v>4.2999999999999997E-2</v>
      </c>
      <c r="N36" s="2359">
        <f ca="1">ROUND($L$36*(1+N31),3)</f>
        <v>4.1000000000000002E-2</v>
      </c>
      <c r="O36" s="2359">
        <f ca="1">ROUND($L$36*(1+O31),3)</f>
        <v>0.04</v>
      </c>
      <c r="P36" s="2359">
        <f ca="1">ROUND($L$36*(1+P31),3)</f>
        <v>3.7999999999999999E-2</v>
      </c>
      <c r="Q36" s="2359">
        <f ca="1">ROUND($L$36*(1+Q31),3)</f>
        <v>0.04</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403"/>
      <c r="B37" s="1948" t="s">
        <v>2033</v>
      </c>
      <c r="C37" s="166">
        <f>ROUND(D5*C22*C23*C24*C28*F37,0)</f>
        <v>5665</v>
      </c>
      <c r="D37" s="1933"/>
      <c r="E37" s="162">
        <f>ROUND(C37*D37/10000,0)</f>
        <v>0</v>
      </c>
      <c r="F37" s="162">
        <f>SUMIF(修正!A57:A68,G2,修正!B57:B68)</f>
        <v>0.6</v>
      </c>
      <c r="G37" s="162">
        <f>ROUND(IF(E2="工业",C37*$M$42,C37*$M$41),0)</f>
        <v>1416</v>
      </c>
      <c r="H37" s="162">
        <f>D37</f>
        <v>0</v>
      </c>
      <c r="I37" s="162">
        <f>ROUND(G37*H37/10000,0)</f>
        <v>0</v>
      </c>
      <c r="J37" s="2748"/>
      <c r="K37" s="3055" t="s">
        <v>3254</v>
      </c>
      <c r="L37" s="1957">
        <f ca="1">L36+K38</f>
        <v>3.95E-2</v>
      </c>
      <c r="M37" s="2359">
        <f ca="1">ROUND($L$37*(1+M31),3)</f>
        <v>4.9000000000000002E-2</v>
      </c>
      <c r="N37" s="2359">
        <f t="shared" ref="N37:Q37" ca="1" si="3">ROUND($L$37*(1+N31),3)</f>
        <v>4.7E-2</v>
      </c>
      <c r="O37" s="2359">
        <f t="shared" ca="1" si="3"/>
        <v>4.4999999999999998E-2</v>
      </c>
      <c r="P37" s="2359">
        <f t="shared" ca="1" si="3"/>
        <v>4.2999999999999997E-2</v>
      </c>
      <c r="Q37" s="2359">
        <f t="shared" ca="1" si="3"/>
        <v>4.4999999999999998E-2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404"/>
      <c r="B38" s="1877" t="s">
        <v>2034</v>
      </c>
      <c r="C38" s="166">
        <f>ROUND(D5*C22*C23*C24*C28*F38,0)</f>
        <v>2833</v>
      </c>
      <c r="D38" s="1933"/>
      <c r="E38" s="162">
        <f t="shared" ref="E38:E42" si="4">ROUND(C38*D38/10000,0)</f>
        <v>0</v>
      </c>
      <c r="F38" s="162">
        <f>SUMIF(修正!A57:A68,G2,修正!C57:C68)</f>
        <v>0.3</v>
      </c>
      <c r="G38" s="162">
        <f>ROUND(IF(E2="工业",C38*$M$42,C38*$M$41),0)</f>
        <v>708</v>
      </c>
      <c r="H38" s="162">
        <f t="shared" ref="H38:H42" si="5">D38</f>
        <v>0</v>
      </c>
      <c r="I38" s="162">
        <f t="shared" ref="I38:I42" si="6">ROUND(G38*H38/10000,0)</f>
        <v>0</v>
      </c>
      <c r="J38" s="2747"/>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404"/>
      <c r="B39" s="1877" t="s">
        <v>3247</v>
      </c>
      <c r="C39" s="166">
        <f>ROUND(D5*C22*C23*C24*C28*F39,0)</f>
        <v>2361</v>
      </c>
      <c r="D39" s="1933"/>
      <c r="E39" s="162">
        <f t="shared" si="4"/>
        <v>0</v>
      </c>
      <c r="F39" s="162">
        <f>SUMIF(修正!A57:A68,G2,修正!D57:D68)</f>
        <v>0.25</v>
      </c>
      <c r="G39" s="162">
        <f>ROUND(IF(E2="工业",C39*$M$42,C39*$M$41),0)</f>
        <v>590</v>
      </c>
      <c r="H39" s="162">
        <f t="shared" si="5"/>
        <v>0</v>
      </c>
      <c r="I39" s="162">
        <f t="shared" si="6"/>
        <v>0</v>
      </c>
      <c r="J39" s="2747"/>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2035</v>
      </c>
      <c r="C40" s="162">
        <f>ROUND(D5*C22*C23*C24*C28*F40,0)</f>
        <v>2361</v>
      </c>
      <c r="D40" s="1933"/>
      <c r="E40" s="162">
        <f t="shared" si="4"/>
        <v>0</v>
      </c>
      <c r="F40" s="166">
        <f>SUMIF(修正!A57:A68,G2,修正!E57:E68)</f>
        <v>0.25</v>
      </c>
      <c r="G40" s="162">
        <f>ROUND(IF(E2="工业",C40*$M$42,C40*$M$41),0)</f>
        <v>590</v>
      </c>
      <c r="H40" s="162">
        <f t="shared" si="5"/>
        <v>0</v>
      </c>
      <c r="I40" s="162">
        <f t="shared" si="6"/>
        <v>0</v>
      </c>
      <c r="J40" s="935"/>
      <c r="L40" s="1950" t="s">
        <v>2036</v>
      </c>
      <c r="M40" s="1951"/>
      <c r="Z40" s="1052"/>
      <c r="AA40" s="1052"/>
      <c r="AB40" s="1052"/>
      <c r="AC40" s="1052"/>
      <c r="AD40" s="1052"/>
      <c r="AE40" s="1052"/>
      <c r="AF40" s="1052"/>
      <c r="AG40" s="1052"/>
      <c r="AH40" s="1052"/>
      <c r="AI40" s="1052"/>
      <c r="AJ40" s="1052"/>
    </row>
    <row r="41" spans="1:37" s="1051" customFormat="1">
      <c r="A41" s="1949"/>
      <c r="B41" s="1877" t="s">
        <v>2037</v>
      </c>
      <c r="C41" s="162">
        <f>ROUND(D5*C22*C23*C44*C28*F41,0)</f>
        <v>2361</v>
      </c>
      <c r="D41" s="1933"/>
      <c r="E41" s="162">
        <f t="shared" si="4"/>
        <v>0</v>
      </c>
      <c r="F41" s="166">
        <f>SUMIF(修正!A57:A68,G2,修正!F57:F68)</f>
        <v>0.25</v>
      </c>
      <c r="G41" s="162">
        <f>ROUND(IF(E2="工业",C41*$M$42,C41*$M$41),0)</f>
        <v>590</v>
      </c>
      <c r="H41" s="162">
        <f t="shared" si="5"/>
        <v>0</v>
      </c>
      <c r="I41" s="162">
        <f t="shared" si="6"/>
        <v>0</v>
      </c>
      <c r="J41" s="935"/>
      <c r="L41" s="3056" t="s">
        <v>3255</v>
      </c>
      <c r="M41" s="1952">
        <v>0.25</v>
      </c>
      <c r="Z41" s="1052"/>
      <c r="AA41" s="1052"/>
      <c r="AB41" s="1052"/>
      <c r="AC41" s="1052"/>
      <c r="AD41" s="1052"/>
      <c r="AE41" s="1052"/>
      <c r="AF41" s="1052"/>
      <c r="AG41" s="1052"/>
      <c r="AH41" s="1052"/>
      <c r="AI41" s="1052"/>
      <c r="AJ41" s="1052"/>
    </row>
    <row r="42" spans="1:37" s="1051" customFormat="1" ht="13.5" thickBot="1">
      <c r="A42" s="1936"/>
      <c r="B42" s="1953" t="s">
        <v>2038</v>
      </c>
      <c r="C42" s="178">
        <f>ROUND(D5*C22*C23*C44*C28*F42,0)</f>
        <v>1416</v>
      </c>
      <c r="D42" s="1938"/>
      <c r="E42" s="178">
        <f t="shared" si="4"/>
        <v>0</v>
      </c>
      <c r="F42" s="719">
        <f>SUMIF(修正!A57:A68,G2,修正!G57:G68)</f>
        <v>0.15</v>
      </c>
      <c r="G42" s="178">
        <f>ROUND(IF(E2="工业",C42*$M$42,C42*$M$41),0)</f>
        <v>354</v>
      </c>
      <c r="H42" s="178">
        <f t="shared" si="5"/>
        <v>0</v>
      </c>
      <c r="I42" s="178">
        <f t="shared" si="6"/>
        <v>0</v>
      </c>
      <c r="J42" s="1954"/>
      <c r="L42" s="1955" t="s">
        <v>1990</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2118</v>
      </c>
      <c r="C44" s="332">
        <f>ROUND(POWER(1+E44,H44-G44)*(POWER(1+E44,G44)-1)/(POWER(1+E44,H44)-1),4)</f>
        <v>0.95730000000000004</v>
      </c>
      <c r="D44" s="162" t="s">
        <v>1996</v>
      </c>
      <c r="E44" s="1984">
        <f>G24</f>
        <v>5.5E-2</v>
      </c>
      <c r="F44" s="162" t="s">
        <v>2005</v>
      </c>
      <c r="G44" s="174">
        <f>项目基本情况!E15</f>
        <v>41.47</v>
      </c>
      <c r="H44" s="162">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2039</v>
      </c>
      <c r="B47" s="1959"/>
      <c r="C47" s="4"/>
      <c r="D47" s="4"/>
      <c r="E47" s="4"/>
      <c r="F47" s="3"/>
      <c r="G47" s="3"/>
      <c r="H47" s="3"/>
      <c r="I47" s="1674"/>
      <c r="J47" s="1674"/>
      <c r="K47" s="1674"/>
      <c r="L47" s="1674"/>
      <c r="M47" s="1674"/>
      <c r="AA47" s="1052"/>
      <c r="AB47" s="1052"/>
      <c r="AC47" s="1052"/>
      <c r="AD47" s="1052"/>
      <c r="AE47" s="1052"/>
      <c r="AF47" s="1052"/>
      <c r="AG47" s="1052"/>
      <c r="AH47" s="1052"/>
      <c r="AI47" s="1052"/>
      <c r="AJ47" s="1052"/>
      <c r="AK47" s="1052"/>
    </row>
    <row r="48" spans="1:37" s="1051" customFormat="1" ht="15">
      <c r="A48" s="1960" t="s">
        <v>2040</v>
      </c>
      <c r="B48" s="1961">
        <f>1+E50</f>
        <v>1</v>
      </c>
      <c r="C48" s="1719"/>
      <c r="D48" s="695"/>
      <c r="E48" s="696"/>
      <c r="F48" s="1962"/>
      <c r="G48" s="3"/>
      <c r="H48" s="4"/>
      <c r="I48" s="1674"/>
      <c r="J48" s="1674"/>
      <c r="K48" s="1674"/>
      <c r="L48" s="1674"/>
      <c r="M48" s="1674"/>
      <c r="AA48" s="1052"/>
      <c r="AB48" s="1052"/>
      <c r="AC48" s="1052"/>
      <c r="AD48" s="1052"/>
      <c r="AE48" s="1052"/>
      <c r="AF48" s="1052"/>
      <c r="AG48" s="1052"/>
      <c r="AH48" s="1052"/>
      <c r="AI48" s="1052"/>
      <c r="AJ48" s="1052"/>
      <c r="AK48" s="1052"/>
    </row>
    <row r="49" spans="1:37" s="1051" customFormat="1" ht="24.75">
      <c r="A49" s="1963" t="s">
        <v>2041</v>
      </c>
      <c r="B49" s="1255" t="s">
        <v>2042</v>
      </c>
      <c r="C49" s="1255" t="s">
        <v>2043</v>
      </c>
      <c r="D49" s="1255" t="s">
        <v>2044</v>
      </c>
      <c r="E49" s="697" t="s">
        <v>2045</v>
      </c>
      <c r="F49" s="1964" t="s">
        <v>2046</v>
      </c>
      <c r="G49" s="1255" t="s">
        <v>310</v>
      </c>
      <c r="H49" s="1965" t="s">
        <v>2047</v>
      </c>
      <c r="I49" s="1255" t="s">
        <v>2048</v>
      </c>
      <c r="J49" s="529" t="s">
        <v>1718</v>
      </c>
      <c r="K49" s="529" t="s">
        <v>1719</v>
      </c>
      <c r="L49" s="529" t="s">
        <v>1720</v>
      </c>
      <c r="M49" s="529" t="s">
        <v>1721</v>
      </c>
      <c r="N49" s="529" t="s">
        <v>1722</v>
      </c>
      <c r="AA49" s="1052"/>
      <c r="AB49" s="1052"/>
      <c r="AC49" s="1052"/>
      <c r="AD49" s="1052"/>
      <c r="AE49" s="1052"/>
      <c r="AF49" s="1052"/>
      <c r="AG49" s="1052"/>
      <c r="AH49" s="1052"/>
      <c r="AI49" s="1052"/>
      <c r="AJ49" s="1052"/>
      <c r="AK49" s="1052"/>
    </row>
    <row r="50" spans="1:37" s="1051" customFormat="1" ht="24.75">
      <c r="A50" s="1963" t="s">
        <v>2049</v>
      </c>
      <c r="B50" s="1966">
        <f>估价对象房地状况!C4</f>
        <v>0</v>
      </c>
      <c r="C50" s="1880"/>
      <c r="D50" s="997">
        <f t="shared" ref="D50:D58" si="7">SUMIF($J$49:$N$49,C50,J50:N50)</f>
        <v>0</v>
      </c>
      <c r="E50" s="698">
        <f>ROUND(SUM(D50:D58),4)</f>
        <v>0</v>
      </c>
      <c r="F50" s="1668" t="str">
        <f>IF(E2="商业",SUMIF(L1:L12,G2,N1:N12),"——")</f>
        <v>——</v>
      </c>
      <c r="G50" s="995" t="str">
        <f>H50</f>
        <v>——</v>
      </c>
      <c r="H50" s="998" t="str">
        <f t="shared" ref="H50:H58" si="8">IFERROR(ROUNDDOWN($F$50*I50/2,4),"——")</f>
        <v>——</v>
      </c>
      <c r="I50" s="3062">
        <v>0.3</v>
      </c>
      <c r="J50" s="996" t="e">
        <f t="shared" ref="J50:J58" si="9">K50+$G50</f>
        <v>#VALUE!</v>
      </c>
      <c r="K50" s="996" t="e">
        <f t="shared" ref="K50:K58" si="10">$L50+$G50</f>
        <v>#VALUE!</v>
      </c>
      <c r="L50" s="996">
        <v>0</v>
      </c>
      <c r="M50" s="996" t="e">
        <f t="shared" ref="M50:N58" si="11">L50-$G50</f>
        <v>#VALUE!</v>
      </c>
      <c r="N50" s="996" t="e">
        <f t="shared" si="11"/>
        <v>#VALUE!</v>
      </c>
      <c r="AA50" s="1052"/>
      <c r="AB50" s="1052"/>
      <c r="AC50" s="1052"/>
      <c r="AD50" s="1052"/>
      <c r="AE50" s="1052"/>
      <c r="AF50" s="1052"/>
      <c r="AG50" s="1052"/>
      <c r="AH50" s="1052"/>
      <c r="AI50" s="1052"/>
      <c r="AJ50" s="1052"/>
      <c r="AK50" s="1052"/>
    </row>
    <row r="51" spans="1:37" s="1051" customFormat="1" ht="14.25">
      <c r="A51" s="1963" t="s">
        <v>2050</v>
      </c>
      <c r="B51" s="1255">
        <f>估价对象房地状况!C18</f>
        <v>0</v>
      </c>
      <c r="C51" s="1880"/>
      <c r="D51" s="997">
        <f t="shared" si="7"/>
        <v>0</v>
      </c>
      <c r="E51" s="699"/>
      <c r="F51" s="1668"/>
      <c r="G51" s="995" t="str">
        <f t="shared" ref="G51:G58" si="12">H51</f>
        <v>——</v>
      </c>
      <c r="H51" s="998" t="str">
        <f t="shared" si="8"/>
        <v>——</v>
      </c>
      <c r="I51" s="3062">
        <v>0.22</v>
      </c>
      <c r="J51" s="996" t="e">
        <f t="shared" si="9"/>
        <v>#VALUE!</v>
      </c>
      <c r="K51" s="996" t="e">
        <f t="shared" si="10"/>
        <v>#VALUE!</v>
      </c>
      <c r="L51" s="996">
        <v>0</v>
      </c>
      <c r="M51" s="996" t="e">
        <f t="shared" si="11"/>
        <v>#VALUE!</v>
      </c>
      <c r="N51" s="996" t="e">
        <f t="shared" si="11"/>
        <v>#VALUE!</v>
      </c>
      <c r="AA51" s="1052"/>
      <c r="AB51" s="1052"/>
      <c r="AC51" s="1052"/>
      <c r="AD51" s="1052"/>
      <c r="AE51" s="1052"/>
      <c r="AF51" s="1052"/>
      <c r="AG51" s="1052"/>
      <c r="AH51" s="1052"/>
      <c r="AI51" s="1052"/>
      <c r="AJ51" s="1052"/>
      <c r="AK51" s="1052"/>
    </row>
    <row r="52" spans="1:37" s="1051" customFormat="1" ht="36">
      <c r="A52" s="3064" t="s">
        <v>3257</v>
      </c>
      <c r="B52" s="1255">
        <f>估价对象房地状况!C19</f>
        <v>0</v>
      </c>
      <c r="C52" s="1880"/>
      <c r="D52" s="997">
        <f t="shared" si="7"/>
        <v>0</v>
      </c>
      <c r="E52" s="699"/>
      <c r="F52" s="1668"/>
      <c r="G52" s="995" t="str">
        <f t="shared" si="12"/>
        <v>——</v>
      </c>
      <c r="H52" s="998" t="str">
        <f t="shared" si="8"/>
        <v>——</v>
      </c>
      <c r="I52" s="3062">
        <v>0.12</v>
      </c>
      <c r="J52" s="996" t="e">
        <f t="shared" si="9"/>
        <v>#VALUE!</v>
      </c>
      <c r="K52" s="996" t="e">
        <f t="shared" si="10"/>
        <v>#VALUE!</v>
      </c>
      <c r="L52" s="996">
        <v>0</v>
      </c>
      <c r="M52" s="996" t="e">
        <f t="shared" si="11"/>
        <v>#VALUE!</v>
      </c>
      <c r="N52" s="996" t="e">
        <f t="shared" si="11"/>
        <v>#VALUE!</v>
      </c>
      <c r="AA52" s="1052"/>
      <c r="AB52" s="1052"/>
      <c r="AC52" s="1052"/>
      <c r="AD52" s="1052"/>
      <c r="AE52" s="1052"/>
      <c r="AF52" s="1052"/>
      <c r="AG52" s="1052"/>
      <c r="AH52" s="1052"/>
      <c r="AI52" s="1052"/>
      <c r="AJ52" s="1052"/>
      <c r="AK52" s="1052"/>
    </row>
    <row r="53" spans="1:37" s="1051" customFormat="1" ht="36.75">
      <c r="A53" s="1963" t="s">
        <v>2051</v>
      </c>
      <c r="B53" s="1967" t="s">
        <v>2052</v>
      </c>
      <c r="C53" s="1880"/>
      <c r="D53" s="997">
        <f t="shared" si="7"/>
        <v>0</v>
      </c>
      <c r="E53" s="699"/>
      <c r="F53" s="1668"/>
      <c r="G53" s="995" t="str">
        <f t="shared" si="12"/>
        <v>——</v>
      </c>
      <c r="H53" s="998" t="str">
        <f t="shared" si="8"/>
        <v>——</v>
      </c>
      <c r="I53" s="3062">
        <v>0.05</v>
      </c>
      <c r="J53" s="996" t="e">
        <f t="shared" si="9"/>
        <v>#VALUE!</v>
      </c>
      <c r="K53" s="996" t="e">
        <f t="shared" si="10"/>
        <v>#VALUE!</v>
      </c>
      <c r="L53" s="996">
        <v>0</v>
      </c>
      <c r="M53" s="996" t="e">
        <f t="shared" si="11"/>
        <v>#VALUE!</v>
      </c>
      <c r="N53" s="996" t="e">
        <f t="shared" si="11"/>
        <v>#VALUE!</v>
      </c>
      <c r="AA53" s="1052"/>
      <c r="AB53" s="1052"/>
      <c r="AC53" s="1052"/>
      <c r="AD53" s="1052"/>
      <c r="AE53" s="1052"/>
      <c r="AF53" s="1052"/>
      <c r="AG53" s="1052"/>
      <c r="AH53" s="1052"/>
      <c r="AI53" s="1052"/>
      <c r="AJ53" s="1052"/>
      <c r="AK53" s="1052"/>
    </row>
    <row r="54" spans="1:37" s="1051" customFormat="1" ht="24">
      <c r="A54" s="1963" t="s">
        <v>2053</v>
      </c>
      <c r="B54" s="1255">
        <f>估价对象房地状况!C24</f>
        <v>0</v>
      </c>
      <c r="C54" s="1880"/>
      <c r="D54" s="997">
        <f t="shared" si="7"/>
        <v>0</v>
      </c>
      <c r="E54" s="699"/>
      <c r="F54" s="1668"/>
      <c r="G54" s="995" t="str">
        <f t="shared" si="12"/>
        <v>——</v>
      </c>
      <c r="H54" s="998" t="str">
        <f t="shared" si="8"/>
        <v>——</v>
      </c>
      <c r="I54" s="3062">
        <v>0.08</v>
      </c>
      <c r="J54" s="996" t="e">
        <f t="shared" si="9"/>
        <v>#VALUE!</v>
      </c>
      <c r="K54" s="996" t="e">
        <f t="shared" si="10"/>
        <v>#VALUE!</v>
      </c>
      <c r="L54" s="996">
        <v>0</v>
      </c>
      <c r="M54" s="996" t="e">
        <f t="shared" si="11"/>
        <v>#VALUE!</v>
      </c>
      <c r="N54" s="996" t="e">
        <f t="shared" si="11"/>
        <v>#VALUE!</v>
      </c>
      <c r="AA54" s="1052"/>
      <c r="AB54" s="1052"/>
      <c r="AC54" s="1052"/>
      <c r="AD54" s="1052"/>
      <c r="AE54" s="1052"/>
      <c r="AF54" s="1052"/>
      <c r="AG54" s="1052"/>
      <c r="AH54" s="1052"/>
      <c r="AI54" s="1052"/>
      <c r="AJ54" s="1052"/>
      <c r="AK54" s="1052"/>
    </row>
    <row r="55" spans="1:37" s="1051" customFormat="1" ht="24">
      <c r="A55" s="1963" t="s">
        <v>2054</v>
      </c>
      <c r="B55" s="1968" t="s">
        <v>2055</v>
      </c>
      <c r="C55" s="1880"/>
      <c r="D55" s="997">
        <f t="shared" si="7"/>
        <v>0</v>
      </c>
      <c r="E55" s="699"/>
      <c r="F55" s="1668"/>
      <c r="G55" s="995" t="str">
        <f t="shared" si="12"/>
        <v>——</v>
      </c>
      <c r="H55" s="998" t="str">
        <f t="shared" si="8"/>
        <v>——</v>
      </c>
      <c r="I55" s="3062">
        <v>0.05</v>
      </c>
      <c r="J55" s="996" t="e">
        <f t="shared" si="9"/>
        <v>#VALUE!</v>
      </c>
      <c r="K55" s="996" t="e">
        <f t="shared" si="10"/>
        <v>#VALUE!</v>
      </c>
      <c r="L55" s="996">
        <v>0</v>
      </c>
      <c r="M55" s="996" t="e">
        <f t="shared" si="11"/>
        <v>#VALUE!</v>
      </c>
      <c r="N55" s="996" t="e">
        <f t="shared" si="11"/>
        <v>#VALUE!</v>
      </c>
      <c r="AA55" s="1052"/>
      <c r="AB55" s="1052"/>
      <c r="AC55" s="1052"/>
      <c r="AD55" s="1052"/>
      <c r="AE55" s="1052"/>
      <c r="AF55" s="1052"/>
      <c r="AG55" s="1052"/>
      <c r="AH55" s="1052"/>
      <c r="AI55" s="1052"/>
      <c r="AJ55" s="1052"/>
      <c r="AK55" s="1052"/>
    </row>
    <row r="56" spans="1:37" s="1051" customFormat="1" ht="24">
      <c r="A56" s="1969" t="s">
        <v>2056</v>
      </c>
      <c r="B56" s="1233">
        <f>估价对象房地状况!C21</f>
        <v>0</v>
      </c>
      <c r="C56" s="1880"/>
      <c r="D56" s="997">
        <f t="shared" si="7"/>
        <v>0</v>
      </c>
      <c r="E56" s="699"/>
      <c r="F56" s="1668"/>
      <c r="G56" s="995" t="str">
        <f t="shared" si="12"/>
        <v>——</v>
      </c>
      <c r="H56" s="998" t="str">
        <f t="shared" si="8"/>
        <v>——</v>
      </c>
      <c r="I56" s="3062">
        <v>0.05</v>
      </c>
      <c r="J56" s="996" t="e">
        <f t="shared" si="9"/>
        <v>#VALUE!</v>
      </c>
      <c r="K56" s="996" t="e">
        <f t="shared" si="10"/>
        <v>#VALUE!</v>
      </c>
      <c r="L56" s="996">
        <v>0</v>
      </c>
      <c r="M56" s="996" t="e">
        <f t="shared" si="11"/>
        <v>#VALUE!</v>
      </c>
      <c r="N56" s="996" t="e">
        <f t="shared" si="11"/>
        <v>#VALUE!</v>
      </c>
      <c r="AA56" s="1052"/>
      <c r="AB56" s="1052"/>
      <c r="AC56" s="1052"/>
      <c r="AD56" s="1052"/>
      <c r="AE56" s="1052"/>
      <c r="AF56" s="1052"/>
      <c r="AG56" s="1052"/>
      <c r="AH56" s="1052"/>
      <c r="AI56" s="1052"/>
      <c r="AJ56" s="1052"/>
      <c r="AK56" s="1052"/>
    </row>
    <row r="57" spans="1:37" s="1051" customFormat="1" ht="24">
      <c r="A57" s="1969" t="s">
        <v>2057</v>
      </c>
      <c r="B57" s="1255">
        <f>估价对象房地状况!C22</f>
        <v>0</v>
      </c>
      <c r="C57" s="1880"/>
      <c r="D57" s="997">
        <f t="shared" si="7"/>
        <v>0</v>
      </c>
      <c r="E57" s="699"/>
      <c r="F57" s="1668"/>
      <c r="G57" s="995" t="str">
        <f t="shared" si="12"/>
        <v>——</v>
      </c>
      <c r="H57" s="998" t="str">
        <f t="shared" si="8"/>
        <v>——</v>
      </c>
      <c r="I57" s="3062">
        <v>0.08</v>
      </c>
      <c r="J57" s="996" t="e">
        <f t="shared" si="9"/>
        <v>#VALUE!</v>
      </c>
      <c r="K57" s="996" t="e">
        <f t="shared" si="10"/>
        <v>#VALUE!</v>
      </c>
      <c r="L57" s="996">
        <v>0</v>
      </c>
      <c r="M57" s="996" t="e">
        <f t="shared" si="11"/>
        <v>#VALUE!</v>
      </c>
      <c r="N57" s="996" t="e">
        <f t="shared" si="11"/>
        <v>#VALUE!</v>
      </c>
      <c r="AA57" s="1052"/>
      <c r="AB57" s="1052"/>
      <c r="AC57" s="1052"/>
      <c r="AD57" s="1052"/>
      <c r="AE57" s="1052"/>
      <c r="AF57" s="1052"/>
      <c r="AG57" s="1052"/>
      <c r="AH57" s="1052"/>
      <c r="AI57" s="1052"/>
      <c r="AJ57" s="1052"/>
      <c r="AK57" s="1052"/>
    </row>
    <row r="58" spans="1:37" s="1051" customFormat="1" ht="24.75" thickBot="1">
      <c r="A58" s="1970" t="s">
        <v>2058</v>
      </c>
      <c r="B58" s="1971">
        <f>估价对象房地状况!C20</f>
        <v>0</v>
      </c>
      <c r="C58" s="1880"/>
      <c r="D58" s="997">
        <f t="shared" si="7"/>
        <v>0</v>
      </c>
      <c r="E58" s="700"/>
      <c r="F58" s="1668"/>
      <c r="G58" s="995" t="str">
        <f t="shared" si="12"/>
        <v>——</v>
      </c>
      <c r="H58" s="998" t="str">
        <f t="shared" si="8"/>
        <v>——</v>
      </c>
      <c r="I58" s="3063">
        <v>0.05</v>
      </c>
      <c r="J58" s="996" t="e">
        <f t="shared" si="9"/>
        <v>#VALUE!</v>
      </c>
      <c r="K58" s="996" t="e">
        <f t="shared" si="10"/>
        <v>#VALUE!</v>
      </c>
      <c r="L58" s="996">
        <v>0</v>
      </c>
      <c r="M58" s="996" t="e">
        <f t="shared" si="11"/>
        <v>#VALUE!</v>
      </c>
      <c r="N58" s="996" t="e">
        <f t="shared" si="11"/>
        <v>#VALUE!</v>
      </c>
      <c r="AA58" s="1052"/>
      <c r="AB58" s="1052"/>
      <c r="AC58" s="1052"/>
      <c r="AD58" s="1052"/>
      <c r="AE58" s="1052"/>
      <c r="AF58" s="1052"/>
      <c r="AG58" s="1052"/>
      <c r="AH58" s="1052"/>
      <c r="AI58" s="1052"/>
      <c r="AJ58" s="1052"/>
      <c r="AK58" s="1052"/>
    </row>
    <row r="59" spans="1:37" s="1051" customFormat="1" ht="15">
      <c r="A59" s="1960" t="s">
        <v>2059</v>
      </c>
      <c r="B59" s="1961">
        <f>1+E61</f>
        <v>1.0666</v>
      </c>
      <c r="C59" s="695"/>
      <c r="D59" s="695"/>
      <c r="E59" s="696"/>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2041</v>
      </c>
      <c r="B60" s="1255"/>
      <c r="C60" s="1255" t="s">
        <v>2043</v>
      </c>
      <c r="D60" s="1255" t="s">
        <v>2044</v>
      </c>
      <c r="E60" s="697" t="s">
        <v>2045</v>
      </c>
      <c r="F60" s="1964" t="s">
        <v>2060</v>
      </c>
      <c r="G60" s="1255" t="s">
        <v>310</v>
      </c>
      <c r="H60" s="1965" t="s">
        <v>2047</v>
      </c>
      <c r="I60" s="1255" t="s">
        <v>2048</v>
      </c>
      <c r="J60" s="529" t="s">
        <v>1718</v>
      </c>
      <c r="K60" s="529" t="s">
        <v>1719</v>
      </c>
      <c r="L60" s="529" t="s">
        <v>1720</v>
      </c>
      <c r="M60" s="529" t="s">
        <v>1721</v>
      </c>
      <c r="N60" s="529" t="s">
        <v>1722</v>
      </c>
      <c r="AA60" s="1052"/>
      <c r="AB60" s="1052"/>
      <c r="AC60" s="1052"/>
      <c r="AD60" s="1052"/>
      <c r="AE60" s="1052"/>
      <c r="AF60" s="1052"/>
      <c r="AG60" s="1052"/>
      <c r="AH60" s="1052"/>
      <c r="AI60" s="1052"/>
      <c r="AJ60" s="1052"/>
      <c r="AK60" s="1052"/>
    </row>
    <row r="61" spans="1:37" s="1051" customFormat="1" ht="24">
      <c r="A61" s="1963" t="s">
        <v>2061</v>
      </c>
      <c r="B61" s="1966">
        <f>估价对象房地状况!C17</f>
        <v>0</v>
      </c>
      <c r="C61" s="1880" t="s">
        <v>4165</v>
      </c>
      <c r="D61" s="997">
        <f t="shared" ref="D61:D69" si="13">SUMIF($J$60:$N$60,C61,J61:N61)</f>
        <v>1.6199999999999999E-2</v>
      </c>
      <c r="E61" s="698">
        <f>ROUND(SUM(D61:D69),4)</f>
        <v>6.6600000000000006E-2</v>
      </c>
      <c r="F61" s="1668">
        <f>IF(E2="办公",SUMIF(L1:L12,G2,N1:N12),"——")</f>
        <v>0.13</v>
      </c>
      <c r="G61" s="995">
        <f>H61</f>
        <v>1.6199999999999999E-2</v>
      </c>
      <c r="H61" s="998">
        <f t="shared" ref="H61:H69" si="14">IFERROR(ROUNDDOWN($F$61*I61/2,4),"——")</f>
        <v>1.6199999999999999E-2</v>
      </c>
      <c r="I61" s="3062">
        <v>0.25</v>
      </c>
      <c r="J61" s="996">
        <f t="shared" ref="J61:J69" si="15">K61+$G61</f>
        <v>3.2399999999999998E-2</v>
      </c>
      <c r="K61" s="996">
        <f t="shared" ref="K61:K69" si="16">$L61+$G61</f>
        <v>1.6199999999999999E-2</v>
      </c>
      <c r="L61" s="996">
        <v>0</v>
      </c>
      <c r="M61" s="996">
        <f t="shared" ref="M61:N69" si="17">L61-$G61</f>
        <v>-1.6199999999999999E-2</v>
      </c>
      <c r="N61" s="996">
        <f t="shared" si="17"/>
        <v>-3.2399999999999998E-2</v>
      </c>
      <c r="AA61" s="1052"/>
      <c r="AB61" s="1052"/>
      <c r="AC61" s="1052"/>
      <c r="AD61" s="1052"/>
      <c r="AE61" s="1052"/>
      <c r="AF61" s="1052"/>
      <c r="AG61" s="1052"/>
      <c r="AH61" s="1052"/>
      <c r="AI61" s="1052"/>
      <c r="AJ61" s="1052"/>
      <c r="AK61" s="1052"/>
    </row>
    <row r="62" spans="1:37" s="1051" customFormat="1" ht="14.25">
      <c r="A62" s="1963" t="s">
        <v>2050</v>
      </c>
      <c r="B62" s="1255">
        <f>估价对象房地状况!C18</f>
        <v>0</v>
      </c>
      <c r="C62" s="1880" t="s">
        <v>4165</v>
      </c>
      <c r="D62" s="997">
        <f t="shared" si="13"/>
        <v>1.6899999999999998E-2</v>
      </c>
      <c r="E62" s="699"/>
      <c r="F62" s="1668"/>
      <c r="G62" s="995">
        <f t="shared" ref="G62:G69" si="18">H62</f>
        <v>1.6899999999999998E-2</v>
      </c>
      <c r="H62" s="998">
        <f t="shared" si="14"/>
        <v>1.6899999999999998E-2</v>
      </c>
      <c r="I62" s="3062">
        <v>0.26</v>
      </c>
      <c r="J62" s="996">
        <f t="shared" si="15"/>
        <v>3.3799999999999997E-2</v>
      </c>
      <c r="K62" s="996">
        <f t="shared" si="16"/>
        <v>1.6899999999999998E-2</v>
      </c>
      <c r="L62" s="996">
        <v>0</v>
      </c>
      <c r="M62" s="996">
        <f t="shared" si="17"/>
        <v>-1.6899999999999998E-2</v>
      </c>
      <c r="N62" s="996">
        <f t="shared" si="17"/>
        <v>-3.3799999999999997E-2</v>
      </c>
      <c r="AA62" s="1052"/>
      <c r="AB62" s="1052"/>
      <c r="AC62" s="1052"/>
      <c r="AD62" s="1052"/>
      <c r="AE62" s="1052"/>
      <c r="AF62" s="1052"/>
      <c r="AG62" s="1052"/>
      <c r="AH62" s="1052"/>
      <c r="AI62" s="1052"/>
      <c r="AJ62" s="1052"/>
      <c r="AK62" s="1052"/>
    </row>
    <row r="63" spans="1:37" s="1051" customFormat="1" ht="36">
      <c r="A63" s="3064" t="s">
        <v>3257</v>
      </c>
      <c r="B63" s="1255">
        <f>估价对象房地状况!C19</f>
        <v>0</v>
      </c>
      <c r="C63" s="1880" t="s">
        <v>4165</v>
      </c>
      <c r="D63" s="997">
        <f t="shared" si="13"/>
        <v>7.1000000000000004E-3</v>
      </c>
      <c r="E63" s="699"/>
      <c r="F63" s="1668"/>
      <c r="G63" s="995">
        <f t="shared" si="18"/>
        <v>7.1000000000000004E-3</v>
      </c>
      <c r="H63" s="998">
        <f t="shared" si="14"/>
        <v>7.1000000000000004E-3</v>
      </c>
      <c r="I63" s="3062">
        <v>0.11</v>
      </c>
      <c r="J63" s="996">
        <f t="shared" si="15"/>
        <v>1.4200000000000001E-2</v>
      </c>
      <c r="K63" s="996">
        <f t="shared" si="16"/>
        <v>7.1000000000000004E-3</v>
      </c>
      <c r="L63" s="996">
        <v>0</v>
      </c>
      <c r="M63" s="996">
        <f t="shared" si="17"/>
        <v>-7.1000000000000004E-3</v>
      </c>
      <c r="N63" s="996">
        <f t="shared" si="17"/>
        <v>-1.4200000000000001E-2</v>
      </c>
      <c r="AA63" s="1052"/>
      <c r="AB63" s="1052"/>
      <c r="AC63" s="1052"/>
      <c r="AD63" s="1052"/>
      <c r="AE63" s="1052"/>
      <c r="AF63" s="1052"/>
      <c r="AG63" s="1052"/>
      <c r="AH63" s="1052"/>
      <c r="AI63" s="1052"/>
      <c r="AJ63" s="1052"/>
      <c r="AK63" s="1052"/>
    </row>
    <row r="64" spans="1:37" s="1051" customFormat="1" ht="36.75">
      <c r="A64" s="1963" t="s">
        <v>2051</v>
      </c>
      <c r="B64" s="1967" t="s">
        <v>2052</v>
      </c>
      <c r="C64" s="1880" t="s">
        <v>4165</v>
      </c>
      <c r="D64" s="997">
        <f t="shared" si="13"/>
        <v>3.2000000000000002E-3</v>
      </c>
      <c r="E64" s="699"/>
      <c r="F64" s="1668"/>
      <c r="G64" s="995">
        <f t="shared" si="18"/>
        <v>3.2000000000000002E-3</v>
      </c>
      <c r="H64" s="998">
        <f t="shared" si="14"/>
        <v>3.2000000000000002E-3</v>
      </c>
      <c r="I64" s="3062">
        <v>0.05</v>
      </c>
      <c r="J64" s="996">
        <f t="shared" si="15"/>
        <v>6.4000000000000003E-3</v>
      </c>
      <c r="K64" s="996">
        <f t="shared" si="16"/>
        <v>3.2000000000000002E-3</v>
      </c>
      <c r="L64" s="996">
        <v>0</v>
      </c>
      <c r="M64" s="996">
        <f t="shared" si="17"/>
        <v>-3.2000000000000002E-3</v>
      </c>
      <c r="N64" s="996">
        <f t="shared" si="17"/>
        <v>-6.4000000000000003E-3</v>
      </c>
      <c r="AA64" s="1052"/>
      <c r="AB64" s="1052"/>
      <c r="AC64" s="1052"/>
      <c r="AD64" s="1052"/>
      <c r="AE64" s="1052"/>
      <c r="AF64" s="1052"/>
      <c r="AG64" s="1052"/>
      <c r="AH64" s="1052"/>
      <c r="AI64" s="1052"/>
      <c r="AJ64" s="1052"/>
      <c r="AK64" s="1052"/>
    </row>
    <row r="65" spans="1:37" s="1051" customFormat="1" ht="24">
      <c r="A65" s="1963" t="s">
        <v>2053</v>
      </c>
      <c r="B65" s="1255">
        <f>估价对象房地状况!C24</f>
        <v>0</v>
      </c>
      <c r="C65" s="1880" t="s">
        <v>4165</v>
      </c>
      <c r="D65" s="997">
        <f t="shared" si="13"/>
        <v>3.2000000000000002E-3</v>
      </c>
      <c r="E65" s="699"/>
      <c r="F65" s="1668"/>
      <c r="G65" s="995">
        <f t="shared" si="18"/>
        <v>3.2000000000000002E-3</v>
      </c>
      <c r="H65" s="998">
        <f t="shared" si="14"/>
        <v>3.2000000000000002E-3</v>
      </c>
      <c r="I65" s="3062">
        <v>0.05</v>
      </c>
      <c r="J65" s="996">
        <f t="shared" si="15"/>
        <v>6.4000000000000003E-3</v>
      </c>
      <c r="K65" s="996">
        <f t="shared" si="16"/>
        <v>3.2000000000000002E-3</v>
      </c>
      <c r="L65" s="996">
        <v>0</v>
      </c>
      <c r="M65" s="996">
        <f t="shared" si="17"/>
        <v>-3.2000000000000002E-3</v>
      </c>
      <c r="N65" s="996">
        <f t="shared" si="17"/>
        <v>-6.4000000000000003E-3</v>
      </c>
      <c r="AA65" s="1052"/>
      <c r="AB65" s="1052"/>
      <c r="AC65" s="1052"/>
      <c r="AD65" s="1052"/>
      <c r="AE65" s="1052"/>
      <c r="AF65" s="1052"/>
      <c r="AG65" s="1052"/>
      <c r="AH65" s="1052"/>
      <c r="AI65" s="1052"/>
      <c r="AJ65" s="1052"/>
      <c r="AK65" s="1052"/>
    </row>
    <row r="66" spans="1:37" s="1051" customFormat="1" ht="24">
      <c r="A66" s="1963" t="s">
        <v>2054</v>
      </c>
      <c r="B66" s="1968" t="s">
        <v>2055</v>
      </c>
      <c r="C66" s="1880" t="s">
        <v>4165</v>
      </c>
      <c r="D66" s="997">
        <f t="shared" si="13"/>
        <v>3.8999999999999998E-3</v>
      </c>
      <c r="E66" s="699"/>
      <c r="F66" s="1668"/>
      <c r="G66" s="995">
        <f t="shared" si="18"/>
        <v>3.8999999999999998E-3</v>
      </c>
      <c r="H66" s="998">
        <f t="shared" si="14"/>
        <v>3.8999999999999998E-3</v>
      </c>
      <c r="I66" s="3062">
        <v>0.06</v>
      </c>
      <c r="J66" s="996">
        <f t="shared" si="15"/>
        <v>7.7999999999999996E-3</v>
      </c>
      <c r="K66" s="996">
        <f t="shared" si="16"/>
        <v>3.8999999999999998E-3</v>
      </c>
      <c r="L66" s="996">
        <v>0</v>
      </c>
      <c r="M66" s="996">
        <f t="shared" si="17"/>
        <v>-3.8999999999999998E-3</v>
      </c>
      <c r="N66" s="996">
        <f t="shared" si="17"/>
        <v>-7.7999999999999996E-3</v>
      </c>
      <c r="AA66" s="1052"/>
      <c r="AB66" s="1052"/>
      <c r="AC66" s="1052"/>
      <c r="AD66" s="1052"/>
      <c r="AE66" s="1052"/>
      <c r="AF66" s="1052"/>
      <c r="AG66" s="1052"/>
      <c r="AH66" s="1052"/>
      <c r="AI66" s="1052"/>
      <c r="AJ66" s="1052"/>
      <c r="AK66" s="1052"/>
    </row>
    <row r="67" spans="1:37" s="1051" customFormat="1" ht="24">
      <c r="A67" s="1963" t="s">
        <v>2056</v>
      </c>
      <c r="B67" s="1233">
        <f>估价对象房地状况!C21</f>
        <v>0</v>
      </c>
      <c r="C67" s="1880" t="s">
        <v>4164</v>
      </c>
      <c r="D67" s="997">
        <f t="shared" si="13"/>
        <v>0</v>
      </c>
      <c r="E67" s="699"/>
      <c r="F67" s="1668"/>
      <c r="G67" s="995">
        <f t="shared" si="18"/>
        <v>3.8999999999999998E-3</v>
      </c>
      <c r="H67" s="998">
        <f t="shared" si="14"/>
        <v>3.8999999999999998E-3</v>
      </c>
      <c r="I67" s="3062">
        <v>0.06</v>
      </c>
      <c r="J67" s="996">
        <f t="shared" si="15"/>
        <v>7.7999999999999996E-3</v>
      </c>
      <c r="K67" s="996">
        <f t="shared" si="16"/>
        <v>3.8999999999999998E-3</v>
      </c>
      <c r="L67" s="996">
        <v>0</v>
      </c>
      <c r="M67" s="996">
        <f t="shared" si="17"/>
        <v>-3.8999999999999998E-3</v>
      </c>
      <c r="N67" s="996">
        <f t="shared" si="17"/>
        <v>-7.7999999999999996E-3</v>
      </c>
      <c r="AA67" s="1052"/>
      <c r="AB67" s="1052"/>
      <c r="AC67" s="1052"/>
      <c r="AD67" s="1052"/>
      <c r="AE67" s="1052"/>
      <c r="AF67" s="1052"/>
      <c r="AG67" s="1052"/>
      <c r="AH67" s="1052"/>
      <c r="AI67" s="1052"/>
      <c r="AJ67" s="1052"/>
      <c r="AK67" s="1052"/>
    </row>
    <row r="68" spans="1:37" s="1051" customFormat="1" ht="24">
      <c r="A68" s="1963" t="s">
        <v>2057</v>
      </c>
      <c r="B68" s="1233">
        <f>估价对象房地状况!C22</f>
        <v>0</v>
      </c>
      <c r="C68" s="1880" t="s">
        <v>4428</v>
      </c>
      <c r="D68" s="997">
        <f t="shared" si="13"/>
        <v>1.1599999999999999E-2</v>
      </c>
      <c r="E68" s="699"/>
      <c r="F68" s="1668"/>
      <c r="G68" s="995">
        <f t="shared" si="18"/>
        <v>5.7999999999999996E-3</v>
      </c>
      <c r="H68" s="998">
        <f t="shared" si="14"/>
        <v>5.7999999999999996E-3</v>
      </c>
      <c r="I68" s="3062">
        <v>0.09</v>
      </c>
      <c r="J68" s="996">
        <f t="shared" si="15"/>
        <v>1.1599999999999999E-2</v>
      </c>
      <c r="K68" s="996">
        <f t="shared" si="16"/>
        <v>5.7999999999999996E-3</v>
      </c>
      <c r="L68" s="996">
        <v>0</v>
      </c>
      <c r="M68" s="996">
        <f t="shared" si="17"/>
        <v>-5.7999999999999996E-3</v>
      </c>
      <c r="N68" s="996">
        <f t="shared" si="17"/>
        <v>-1.1599999999999999E-2</v>
      </c>
      <c r="AA68" s="1052"/>
      <c r="AB68" s="1052"/>
      <c r="AC68" s="1052"/>
      <c r="AD68" s="1052"/>
      <c r="AE68" s="1052"/>
      <c r="AF68" s="1052"/>
      <c r="AG68" s="1052"/>
      <c r="AH68" s="1052"/>
      <c r="AI68" s="1052"/>
      <c r="AJ68" s="1052"/>
      <c r="AK68" s="1052"/>
    </row>
    <row r="69" spans="1:37" s="1051" customFormat="1" ht="24.75" thickBot="1">
      <c r="A69" s="1970" t="s">
        <v>2058</v>
      </c>
      <c r="B69" s="1972">
        <f>估价对象房地状况!C20</f>
        <v>0</v>
      </c>
      <c r="C69" s="1880" t="s">
        <v>4165</v>
      </c>
      <c r="D69" s="997">
        <f t="shared" si="13"/>
        <v>4.4999999999999997E-3</v>
      </c>
      <c r="E69" s="700"/>
      <c r="F69" s="1668"/>
      <c r="G69" s="995">
        <f t="shared" si="18"/>
        <v>4.4999999999999997E-3</v>
      </c>
      <c r="H69" s="998">
        <f t="shared" si="14"/>
        <v>4.4999999999999997E-3</v>
      </c>
      <c r="I69" s="3063">
        <v>7.0000000000000007E-2</v>
      </c>
      <c r="J69" s="996">
        <f t="shared" si="15"/>
        <v>8.9999999999999993E-3</v>
      </c>
      <c r="K69" s="996">
        <f t="shared" si="16"/>
        <v>4.4999999999999997E-3</v>
      </c>
      <c r="L69" s="996">
        <v>0</v>
      </c>
      <c r="M69" s="996">
        <f t="shared" si="17"/>
        <v>-4.4999999999999997E-3</v>
      </c>
      <c r="N69" s="996">
        <f t="shared" si="17"/>
        <v>-8.9999999999999993E-3</v>
      </c>
      <c r="AA69" s="1052"/>
      <c r="AB69" s="1052"/>
      <c r="AC69" s="1052"/>
      <c r="AD69" s="1052"/>
      <c r="AE69" s="1052"/>
      <c r="AF69" s="1052"/>
      <c r="AG69" s="1052"/>
      <c r="AH69" s="1052"/>
      <c r="AI69" s="1052"/>
      <c r="AJ69" s="1052"/>
      <c r="AK69" s="1052"/>
    </row>
    <row r="70" spans="1:37" s="1051" customFormat="1" ht="15">
      <c r="A70" s="1960" t="s">
        <v>2062</v>
      </c>
      <c r="B70" s="1961">
        <f>1+E72</f>
        <v>1</v>
      </c>
      <c r="C70" s="695"/>
      <c r="D70" s="695"/>
      <c r="E70" s="696"/>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2041</v>
      </c>
      <c r="B71" s="1255"/>
      <c r="C71" s="1255" t="s">
        <v>2043</v>
      </c>
      <c r="D71" s="1255" t="s">
        <v>2044</v>
      </c>
      <c r="E71" s="697" t="s">
        <v>2045</v>
      </c>
      <c r="F71" s="1964" t="s">
        <v>2060</v>
      </c>
      <c r="G71" s="1255" t="s">
        <v>310</v>
      </c>
      <c r="H71" s="1965" t="s">
        <v>2047</v>
      </c>
      <c r="I71" s="1255" t="s">
        <v>2048</v>
      </c>
      <c r="J71" s="529" t="s">
        <v>1718</v>
      </c>
      <c r="K71" s="529" t="s">
        <v>1719</v>
      </c>
      <c r="L71" s="529" t="s">
        <v>1720</v>
      </c>
      <c r="M71" s="529" t="s">
        <v>1721</v>
      </c>
      <c r="N71" s="529" t="s">
        <v>1722</v>
      </c>
      <c r="AA71" s="1052"/>
      <c r="AB71" s="1052"/>
      <c r="AC71" s="1052"/>
      <c r="AD71" s="1052"/>
      <c r="AE71" s="1052"/>
      <c r="AF71" s="1052"/>
      <c r="AG71" s="1052"/>
      <c r="AH71" s="1052"/>
      <c r="AI71" s="1052"/>
      <c r="AJ71" s="1052"/>
      <c r="AK71" s="1052"/>
    </row>
    <row r="72" spans="1:37" s="1051" customFormat="1" ht="24">
      <c r="A72" s="1963" t="s">
        <v>2063</v>
      </c>
      <c r="B72" s="1966">
        <f>估价对象房地状况!C15</f>
        <v>0</v>
      </c>
      <c r="C72" s="1880"/>
      <c r="D72" s="997">
        <f t="shared" ref="D72:D80" si="19">SUMIF($J$71:$N$71,C72,J72:N72)</f>
        <v>0</v>
      </c>
      <c r="E72" s="698">
        <f>ROUND(SUM(D72:D80),4)</f>
        <v>0</v>
      </c>
      <c r="F72" s="1668" t="str">
        <f>IF(E2="住宅",SUMIF(L1:L12,G2,N1:N12),"——")</f>
        <v>——</v>
      </c>
      <c r="G72" s="995"/>
      <c r="H72" s="998" t="str">
        <f t="shared" ref="H72:H80" si="20">IFERROR(ROUNDDOWN($F$72*I72/2,4),"——")</f>
        <v>——</v>
      </c>
      <c r="I72" s="3062">
        <v>0.2</v>
      </c>
      <c r="J72" s="996">
        <f t="shared" ref="J72:J80" si="21">K72+$G72</f>
        <v>0</v>
      </c>
      <c r="K72" s="996">
        <f t="shared" ref="K72:K80" si="22">$L72+$G72</f>
        <v>0</v>
      </c>
      <c r="L72" s="996">
        <v>0</v>
      </c>
      <c r="M72" s="996">
        <f t="shared" ref="M72:N80" si="23">L72-$G72</f>
        <v>0</v>
      </c>
      <c r="N72" s="996">
        <f t="shared" si="23"/>
        <v>0</v>
      </c>
      <c r="AA72" s="1052"/>
      <c r="AB72" s="1052"/>
      <c r="AC72" s="1052"/>
      <c r="AD72" s="1052"/>
      <c r="AE72" s="1052"/>
      <c r="AF72" s="1052"/>
      <c r="AG72" s="1052"/>
      <c r="AH72" s="1052"/>
      <c r="AI72" s="1052"/>
      <c r="AJ72" s="1052"/>
      <c r="AK72" s="1052"/>
    </row>
    <row r="73" spans="1:37" s="1051" customFormat="1" ht="14.25">
      <c r="A73" s="1963" t="s">
        <v>2050</v>
      </c>
      <c r="B73" s="1255">
        <f>估价对象房地状况!C18</f>
        <v>0</v>
      </c>
      <c r="C73" s="1880"/>
      <c r="D73" s="997">
        <f t="shared" si="19"/>
        <v>0</v>
      </c>
      <c r="E73" s="701"/>
      <c r="F73" s="1668"/>
      <c r="G73" s="995"/>
      <c r="H73" s="998" t="str">
        <f t="shared" si="20"/>
        <v>——</v>
      </c>
      <c r="I73" s="3062">
        <v>0.26</v>
      </c>
      <c r="J73" s="996">
        <f t="shared" si="21"/>
        <v>0</v>
      </c>
      <c r="K73" s="996">
        <f t="shared" si="22"/>
        <v>0</v>
      </c>
      <c r="L73" s="996">
        <v>0</v>
      </c>
      <c r="M73" s="996">
        <f t="shared" si="23"/>
        <v>0</v>
      </c>
      <c r="N73" s="996">
        <f t="shared" si="23"/>
        <v>0</v>
      </c>
      <c r="AA73" s="1052"/>
      <c r="AB73" s="1052"/>
      <c r="AC73" s="1052"/>
      <c r="AD73" s="1052"/>
      <c r="AE73" s="1052"/>
      <c r="AF73" s="1052"/>
      <c r="AG73" s="1052"/>
      <c r="AH73" s="1052"/>
      <c r="AI73" s="1052"/>
      <c r="AJ73" s="1052"/>
      <c r="AK73" s="1052"/>
    </row>
    <row r="74" spans="1:37" s="1837" customFormat="1" ht="36">
      <c r="A74" s="3064" t="s">
        <v>3257</v>
      </c>
      <c r="B74" s="1255">
        <f>估价对象房地状况!C19</f>
        <v>0</v>
      </c>
      <c r="C74" s="1880"/>
      <c r="D74" s="997">
        <f t="shared" si="19"/>
        <v>0</v>
      </c>
      <c r="E74" s="701"/>
      <c r="F74" s="1668"/>
      <c r="G74" s="995"/>
      <c r="H74" s="998" t="str">
        <f t="shared" si="20"/>
        <v>——</v>
      </c>
      <c r="I74" s="3062">
        <v>0.1</v>
      </c>
      <c r="J74" s="996">
        <f t="shared" si="21"/>
        <v>0</v>
      </c>
      <c r="K74" s="996">
        <f t="shared" si="22"/>
        <v>0</v>
      </c>
      <c r="L74" s="996">
        <v>0</v>
      </c>
      <c r="M74" s="996">
        <f t="shared" si="23"/>
        <v>0</v>
      </c>
      <c r="N74" s="996">
        <f t="shared" si="23"/>
        <v>0</v>
      </c>
      <c r="O74" s="1051"/>
      <c r="P74" s="1051"/>
      <c r="Q74" s="1051"/>
      <c r="AA74" s="1973"/>
      <c r="AB74" s="1052"/>
      <c r="AC74" s="1052"/>
      <c r="AD74" s="1052"/>
      <c r="AE74" s="1052"/>
      <c r="AF74" s="1052"/>
      <c r="AG74" s="1052"/>
      <c r="AH74" s="1973"/>
      <c r="AI74" s="1973"/>
      <c r="AJ74" s="1973"/>
      <c r="AK74" s="1973"/>
    </row>
    <row r="75" spans="1:37" ht="14.25">
      <c r="A75" s="1963" t="s">
        <v>2064</v>
      </c>
      <c r="B75" s="1255">
        <f>估价对象房地状况!C24</f>
        <v>0</v>
      </c>
      <c r="C75" s="1880"/>
      <c r="D75" s="997">
        <f t="shared" si="19"/>
        <v>0</v>
      </c>
      <c r="E75" s="701"/>
      <c r="F75" s="1668"/>
      <c r="G75" s="995"/>
      <c r="H75" s="998" t="str">
        <f t="shared" si="20"/>
        <v>——</v>
      </c>
      <c r="I75" s="3062">
        <v>0.05</v>
      </c>
      <c r="J75" s="996">
        <f t="shared" si="21"/>
        <v>0</v>
      </c>
      <c r="K75" s="996">
        <f t="shared" si="22"/>
        <v>0</v>
      </c>
      <c r="L75" s="996">
        <v>0</v>
      </c>
      <c r="M75" s="996">
        <f t="shared" si="23"/>
        <v>0</v>
      </c>
      <c r="N75" s="996">
        <f t="shared" si="23"/>
        <v>0</v>
      </c>
      <c r="O75" s="1051"/>
      <c r="P75" s="1051"/>
      <c r="Q75" s="1837"/>
      <c r="Z75" s="1838"/>
      <c r="AA75" s="1888"/>
      <c r="AG75" s="1053"/>
      <c r="AK75" s="1888"/>
    </row>
    <row r="76" spans="1:37" ht="24">
      <c r="A76" s="1963" t="s">
        <v>2056</v>
      </c>
      <c r="B76" s="1233">
        <f>估价对象房地状况!C21</f>
        <v>0</v>
      </c>
      <c r="C76" s="1880"/>
      <c r="D76" s="997">
        <f t="shared" si="19"/>
        <v>0</v>
      </c>
      <c r="E76" s="701"/>
      <c r="F76" s="1668"/>
      <c r="G76" s="995"/>
      <c r="H76" s="998" t="str">
        <f t="shared" si="20"/>
        <v>——</v>
      </c>
      <c r="I76" s="3062">
        <v>0.08</v>
      </c>
      <c r="J76" s="996">
        <f t="shared" si="21"/>
        <v>0</v>
      </c>
      <c r="K76" s="996">
        <f t="shared" si="22"/>
        <v>0</v>
      </c>
      <c r="L76" s="996">
        <v>0</v>
      </c>
      <c r="M76" s="996">
        <f t="shared" si="23"/>
        <v>0</v>
      </c>
      <c r="N76" s="996">
        <f t="shared" si="23"/>
        <v>0</v>
      </c>
      <c r="O76" s="1051"/>
      <c r="P76" s="1051"/>
      <c r="Z76" s="1838"/>
      <c r="AA76" s="1888"/>
      <c r="AG76" s="1053"/>
      <c r="AK76" s="1888"/>
    </row>
    <row r="77" spans="1:37" ht="24">
      <c r="A77" s="1963" t="s">
        <v>2057</v>
      </c>
      <c r="B77" s="1233">
        <f>估价对象房地状况!C22</f>
        <v>0</v>
      </c>
      <c r="C77" s="1880"/>
      <c r="D77" s="997">
        <f t="shared" si="19"/>
        <v>0</v>
      </c>
      <c r="E77" s="701"/>
      <c r="F77" s="1668"/>
      <c r="G77" s="995"/>
      <c r="H77" s="998" t="str">
        <f t="shared" si="20"/>
        <v>——</v>
      </c>
      <c r="I77" s="3062">
        <v>0.09</v>
      </c>
      <c r="J77" s="996">
        <f t="shared" si="21"/>
        <v>0</v>
      </c>
      <c r="K77" s="996">
        <f t="shared" si="22"/>
        <v>0</v>
      </c>
      <c r="L77" s="996">
        <v>0</v>
      </c>
      <c r="M77" s="996">
        <f t="shared" si="23"/>
        <v>0</v>
      </c>
      <c r="N77" s="996">
        <f t="shared" si="23"/>
        <v>0</v>
      </c>
      <c r="O77" s="1051"/>
      <c r="P77" s="1051"/>
      <c r="Z77" s="1838"/>
      <c r="AA77" s="1888"/>
      <c r="AG77" s="1053"/>
      <c r="AK77" s="1888"/>
    </row>
    <row r="78" spans="1:37" ht="24">
      <c r="A78" s="1963" t="s">
        <v>2054</v>
      </c>
      <c r="B78" s="1968" t="s">
        <v>2055</v>
      </c>
      <c r="C78" s="1880"/>
      <c r="D78" s="997">
        <f t="shared" si="19"/>
        <v>0</v>
      </c>
      <c r="E78" s="701"/>
      <c r="F78" s="1668"/>
      <c r="G78" s="995"/>
      <c r="H78" s="998" t="str">
        <f t="shared" si="20"/>
        <v>——</v>
      </c>
      <c r="I78" s="3062">
        <v>0.05</v>
      </c>
      <c r="J78" s="996">
        <f t="shared" si="21"/>
        <v>0</v>
      </c>
      <c r="K78" s="996">
        <f t="shared" si="22"/>
        <v>0</v>
      </c>
      <c r="L78" s="996">
        <v>0</v>
      </c>
      <c r="M78" s="996">
        <f t="shared" si="23"/>
        <v>0</v>
      </c>
      <c r="N78" s="996">
        <f t="shared" si="23"/>
        <v>0</v>
      </c>
      <c r="O78" s="1837"/>
      <c r="P78" s="1837"/>
      <c r="Z78" s="1838"/>
      <c r="AA78" s="1888"/>
      <c r="AG78" s="1053"/>
      <c r="AK78" s="1888"/>
    </row>
    <row r="79" spans="1:37" ht="24">
      <c r="A79" s="1963" t="s">
        <v>2058</v>
      </c>
      <c r="B79" s="1966">
        <f>估价对象房地状况!C20</f>
        <v>0</v>
      </c>
      <c r="C79" s="1880"/>
      <c r="D79" s="997">
        <f t="shared" si="19"/>
        <v>0</v>
      </c>
      <c r="E79" s="701"/>
      <c r="F79" s="1668"/>
      <c r="G79" s="995"/>
      <c r="H79" s="998" t="str">
        <f t="shared" si="20"/>
        <v>——</v>
      </c>
      <c r="I79" s="3062">
        <v>0.12</v>
      </c>
      <c r="J79" s="996">
        <f t="shared" si="21"/>
        <v>0</v>
      </c>
      <c r="K79" s="996">
        <f t="shared" si="22"/>
        <v>0</v>
      </c>
      <c r="L79" s="996">
        <v>0</v>
      </c>
      <c r="M79" s="996">
        <f t="shared" si="23"/>
        <v>0</v>
      </c>
      <c r="N79" s="996">
        <f t="shared" si="23"/>
        <v>0</v>
      </c>
      <c r="Z79" s="1838"/>
      <c r="AA79" s="1888"/>
      <c r="AG79" s="1053"/>
      <c r="AK79" s="1888"/>
    </row>
    <row r="80" spans="1:37" ht="24.75" thickBot="1">
      <c r="A80" s="1970" t="s">
        <v>2065</v>
      </c>
      <c r="B80" s="1974"/>
      <c r="C80" s="1880"/>
      <c r="D80" s="997">
        <f t="shared" si="19"/>
        <v>0</v>
      </c>
      <c r="E80" s="702"/>
      <c r="F80" s="1668"/>
      <c r="G80" s="995"/>
      <c r="H80" s="998" t="str">
        <f t="shared" si="20"/>
        <v>——</v>
      </c>
      <c r="I80" s="3063">
        <v>0.05</v>
      </c>
      <c r="J80" s="996">
        <f t="shared" si="21"/>
        <v>0</v>
      </c>
      <c r="K80" s="996">
        <f t="shared" si="22"/>
        <v>0</v>
      </c>
      <c r="L80" s="996">
        <v>0</v>
      </c>
      <c r="M80" s="996">
        <f t="shared" si="23"/>
        <v>0</v>
      </c>
      <c r="N80" s="996">
        <f t="shared" si="23"/>
        <v>0</v>
      </c>
      <c r="Z80" s="1838"/>
      <c r="AA80" s="1888"/>
      <c r="AG80" s="1053"/>
      <c r="AK80" s="1888"/>
    </row>
    <row r="81" spans="1:37" ht="15">
      <c r="A81" s="1960" t="s">
        <v>2066</v>
      </c>
      <c r="B81" s="1961">
        <f>1+E83</f>
        <v>1</v>
      </c>
      <c r="C81" s="695"/>
      <c r="D81" s="695"/>
      <c r="E81" s="696"/>
      <c r="F81" s="1962"/>
      <c r="G81" s="3"/>
      <c r="H81" s="3"/>
      <c r="I81" s="3"/>
      <c r="J81" s="4"/>
      <c r="K81" s="4"/>
      <c r="L81" s="4"/>
      <c r="M81" s="4"/>
      <c r="N81" s="4"/>
      <c r="Z81" s="1838"/>
      <c r="AA81" s="1888"/>
      <c r="AG81" s="1053"/>
      <c r="AK81" s="1888"/>
    </row>
    <row r="82" spans="1:37" ht="24.75">
      <c r="A82" s="1963" t="s">
        <v>2041</v>
      </c>
      <c r="B82" s="1255"/>
      <c r="C82" s="1255" t="s">
        <v>2043</v>
      </c>
      <c r="D82" s="1255" t="s">
        <v>2044</v>
      </c>
      <c r="E82" s="697" t="s">
        <v>2045</v>
      </c>
      <c r="F82" s="1964" t="s">
        <v>2060</v>
      </c>
      <c r="G82" s="1255" t="s">
        <v>310</v>
      </c>
      <c r="H82" s="1965" t="s">
        <v>2047</v>
      </c>
      <c r="I82" s="1255" t="s">
        <v>2048</v>
      </c>
      <c r="J82" s="529" t="s">
        <v>1718</v>
      </c>
      <c r="K82" s="529" t="s">
        <v>1719</v>
      </c>
      <c r="L82" s="529" t="s">
        <v>1720</v>
      </c>
      <c r="M82" s="529" t="s">
        <v>1721</v>
      </c>
      <c r="N82" s="529" t="s">
        <v>1722</v>
      </c>
      <c r="Z82" s="1838"/>
      <c r="AA82" s="1888"/>
      <c r="AG82" s="1053"/>
      <c r="AK82" s="1888"/>
    </row>
    <row r="83" spans="1:37" ht="24">
      <c r="A83" s="1963" t="s">
        <v>2067</v>
      </c>
      <c r="B83" s="1255">
        <f>估价对象房地状况!G15</f>
        <v>0</v>
      </c>
      <c r="C83" s="1880"/>
      <c r="D83" s="997">
        <f t="shared" ref="D83:D90" si="24">SUMIF($J$82:$N$82,C83,J83:N83)</f>
        <v>0</v>
      </c>
      <c r="E83" s="698">
        <f>ROUND(SUM(D83:D90),4)</f>
        <v>0</v>
      </c>
      <c r="F83" s="1668" t="str">
        <f>IF(E2="工业",SUMIF(L1:L12,G2,N1:N12),"——")</f>
        <v>——</v>
      </c>
      <c r="G83" s="995"/>
      <c r="H83" s="998" t="str">
        <f t="shared" ref="H83:H90" si="25">IFERROR(ROUNDDOWN($F$83*I83/2,4),"——")</f>
        <v>——</v>
      </c>
      <c r="I83" s="3062">
        <v>0.26</v>
      </c>
      <c r="J83" s="996">
        <f t="shared" ref="J83:J90" si="26">K83+$G83</f>
        <v>0</v>
      </c>
      <c r="K83" s="996">
        <f t="shared" ref="K83:K90" si="27">$L83+$G83</f>
        <v>0</v>
      </c>
      <c r="L83" s="996">
        <v>0</v>
      </c>
      <c r="M83" s="996">
        <f t="shared" ref="M83:N90" si="28">L83-$G83</f>
        <v>0</v>
      </c>
      <c r="N83" s="996">
        <f t="shared" si="28"/>
        <v>0</v>
      </c>
      <c r="Z83" s="1838"/>
      <c r="AA83" s="1888"/>
      <c r="AG83" s="1053"/>
      <c r="AK83" s="1888"/>
    </row>
    <row r="84" spans="1:37" ht="14.25">
      <c r="A84" s="1963" t="s">
        <v>2050</v>
      </c>
      <c r="B84" s="1255">
        <f>估价对象房地状况!G16</f>
        <v>0</v>
      </c>
      <c r="C84" s="1880"/>
      <c r="D84" s="997">
        <f t="shared" si="24"/>
        <v>0</v>
      </c>
      <c r="E84" s="701"/>
      <c r="F84" s="1668"/>
      <c r="G84" s="995"/>
      <c r="H84" s="998" t="str">
        <f t="shared" si="25"/>
        <v>——</v>
      </c>
      <c r="I84" s="3062">
        <v>0.3</v>
      </c>
      <c r="J84" s="996">
        <f t="shared" si="26"/>
        <v>0</v>
      </c>
      <c r="K84" s="996">
        <f t="shared" si="27"/>
        <v>0</v>
      </c>
      <c r="L84" s="996">
        <v>0</v>
      </c>
      <c r="M84" s="996">
        <f t="shared" si="28"/>
        <v>0</v>
      </c>
      <c r="N84" s="996">
        <f t="shared" si="28"/>
        <v>0</v>
      </c>
      <c r="Z84" s="1838"/>
      <c r="AA84" s="1888"/>
      <c r="AG84" s="1053"/>
      <c r="AK84" s="1888"/>
    </row>
    <row r="85" spans="1:37" ht="36">
      <c r="A85" s="3064" t="s">
        <v>3257</v>
      </c>
      <c r="B85" s="1255">
        <f>估价对象房地状况!G17</f>
        <v>0</v>
      </c>
      <c r="C85" s="1880"/>
      <c r="D85" s="997">
        <f t="shared" si="24"/>
        <v>0</v>
      </c>
      <c r="E85" s="701"/>
      <c r="F85" s="1668"/>
      <c r="G85" s="995"/>
      <c r="H85" s="998" t="str">
        <f t="shared" si="25"/>
        <v>——</v>
      </c>
      <c r="I85" s="3062">
        <v>0.1</v>
      </c>
      <c r="J85" s="996">
        <f t="shared" si="26"/>
        <v>0</v>
      </c>
      <c r="K85" s="996">
        <f t="shared" si="27"/>
        <v>0</v>
      </c>
      <c r="L85" s="996">
        <v>0</v>
      </c>
      <c r="M85" s="996">
        <f t="shared" si="28"/>
        <v>0</v>
      </c>
      <c r="N85" s="996">
        <f t="shared" si="28"/>
        <v>0</v>
      </c>
      <c r="Z85" s="1838"/>
      <c r="AA85" s="1888"/>
      <c r="AG85" s="1053"/>
      <c r="AK85" s="1888"/>
    </row>
    <row r="86" spans="1:37" ht="14.25">
      <c r="A86" s="1963" t="s">
        <v>2064</v>
      </c>
      <c r="B86" s="1255">
        <f>估价对象房地状况!G22</f>
        <v>0</v>
      </c>
      <c r="C86" s="1880"/>
      <c r="D86" s="997">
        <f t="shared" si="24"/>
        <v>0</v>
      </c>
      <c r="E86" s="701"/>
      <c r="F86" s="1668"/>
      <c r="G86" s="995"/>
      <c r="H86" s="998" t="str">
        <f t="shared" si="25"/>
        <v>——</v>
      </c>
      <c r="I86" s="3062">
        <v>0.05</v>
      </c>
      <c r="J86" s="996">
        <f t="shared" si="26"/>
        <v>0</v>
      </c>
      <c r="K86" s="996">
        <f t="shared" si="27"/>
        <v>0</v>
      </c>
      <c r="L86" s="996">
        <v>0</v>
      </c>
      <c r="M86" s="996">
        <f t="shared" si="28"/>
        <v>0</v>
      </c>
      <c r="N86" s="996">
        <f t="shared" si="28"/>
        <v>0</v>
      </c>
      <c r="Z86" s="1838"/>
      <c r="AA86" s="1888"/>
      <c r="AG86" s="1053"/>
      <c r="AK86" s="1888"/>
    </row>
    <row r="87" spans="1:37" ht="24">
      <c r="A87" s="1963" t="s">
        <v>2056</v>
      </c>
      <c r="B87" s="1233">
        <f>估价对象房地状况!G19</f>
        <v>0</v>
      </c>
      <c r="C87" s="1880"/>
      <c r="D87" s="997">
        <f t="shared" si="24"/>
        <v>0</v>
      </c>
      <c r="E87" s="701"/>
      <c r="F87" s="1668"/>
      <c r="G87" s="995"/>
      <c r="H87" s="998" t="str">
        <f t="shared" si="25"/>
        <v>——</v>
      </c>
      <c r="I87" s="3062">
        <v>0.06</v>
      </c>
      <c r="J87" s="996">
        <f t="shared" si="26"/>
        <v>0</v>
      </c>
      <c r="K87" s="996">
        <f t="shared" si="27"/>
        <v>0</v>
      </c>
      <c r="L87" s="996">
        <v>0</v>
      </c>
      <c r="M87" s="996">
        <f t="shared" si="28"/>
        <v>0</v>
      </c>
      <c r="N87" s="996">
        <f t="shared" si="28"/>
        <v>0</v>
      </c>
    </row>
    <row r="88" spans="1:37" ht="24">
      <c r="A88" s="1963" t="s">
        <v>2057</v>
      </c>
      <c r="B88" s="1233">
        <f>估价对象房地状况!G20</f>
        <v>0</v>
      </c>
      <c r="C88" s="1880"/>
      <c r="D88" s="997">
        <f t="shared" si="24"/>
        <v>0</v>
      </c>
      <c r="E88" s="701"/>
      <c r="F88" s="1668"/>
      <c r="G88" s="995"/>
      <c r="H88" s="998" t="str">
        <f t="shared" si="25"/>
        <v>——</v>
      </c>
      <c r="I88" s="3062">
        <v>0.12</v>
      </c>
      <c r="J88" s="996">
        <f t="shared" si="26"/>
        <v>0</v>
      </c>
      <c r="K88" s="996">
        <f t="shared" si="27"/>
        <v>0</v>
      </c>
      <c r="L88" s="996">
        <v>0</v>
      </c>
      <c r="M88" s="996">
        <f t="shared" si="28"/>
        <v>0</v>
      </c>
      <c r="N88" s="996">
        <f t="shared" si="28"/>
        <v>0</v>
      </c>
    </row>
    <row r="89" spans="1:37" ht="24">
      <c r="A89" s="1963" t="s">
        <v>2054</v>
      </c>
      <c r="B89" s="1968" t="s">
        <v>2068</v>
      </c>
      <c r="C89" s="1880"/>
      <c r="D89" s="997">
        <f t="shared" si="24"/>
        <v>0</v>
      </c>
      <c r="E89" s="701"/>
      <c r="F89" s="1668"/>
      <c r="G89" s="995"/>
      <c r="H89" s="998" t="str">
        <f t="shared" si="25"/>
        <v>——</v>
      </c>
      <c r="I89" s="3062">
        <v>0.06</v>
      </c>
      <c r="J89" s="996">
        <f t="shared" si="26"/>
        <v>0</v>
      </c>
      <c r="K89" s="996">
        <f t="shared" si="27"/>
        <v>0</v>
      </c>
      <c r="L89" s="996">
        <v>0</v>
      </c>
      <c r="M89" s="996">
        <f t="shared" si="28"/>
        <v>0</v>
      </c>
      <c r="N89" s="996">
        <f t="shared" si="28"/>
        <v>0</v>
      </c>
    </row>
    <row r="90" spans="1:37" ht="15" thickBot="1">
      <c r="A90" s="1970" t="s">
        <v>2069</v>
      </c>
      <c r="B90" s="1975">
        <f>估价对象房地状况!G18</f>
        <v>0</v>
      </c>
      <c r="C90" s="1880"/>
      <c r="D90" s="997">
        <f t="shared" si="24"/>
        <v>0</v>
      </c>
      <c r="E90" s="702"/>
      <c r="F90" s="1668"/>
      <c r="G90" s="995"/>
      <c r="H90" s="998" t="str">
        <f t="shared" si="25"/>
        <v>——</v>
      </c>
      <c r="I90" s="3063">
        <v>0.05</v>
      </c>
      <c r="J90" s="996">
        <f t="shared" si="26"/>
        <v>0</v>
      </c>
      <c r="K90" s="996">
        <f t="shared" si="27"/>
        <v>0</v>
      </c>
      <c r="L90" s="996">
        <v>0</v>
      </c>
      <c r="M90" s="996">
        <f t="shared" si="28"/>
        <v>0</v>
      </c>
      <c r="N90" s="996">
        <f t="shared" si="28"/>
        <v>0</v>
      </c>
    </row>
    <row r="91" spans="1:37" ht="15">
      <c r="A91" s="3072" t="s">
        <v>2601</v>
      </c>
      <c r="B91" s="3073">
        <f>1+E93</f>
        <v>1</v>
      </c>
      <c r="C91" s="3066"/>
      <c r="D91" s="3067"/>
      <c r="E91" s="1668"/>
      <c r="F91" s="1668"/>
      <c r="G91" s="3068"/>
      <c r="H91" s="3069"/>
      <c r="I91" s="3070"/>
      <c r="J91" s="3071"/>
      <c r="K91" s="3071"/>
      <c r="L91" s="3071"/>
      <c r="M91" s="3071"/>
      <c r="N91" s="3071"/>
    </row>
    <row r="92" spans="1:37" ht="24.75">
      <c r="A92" s="3074" t="s">
        <v>2041</v>
      </c>
      <c r="B92" s="2303"/>
      <c r="C92" s="2303" t="s">
        <v>2043</v>
      </c>
      <c r="D92" s="2303" t="s">
        <v>2044</v>
      </c>
      <c r="E92" s="3046" t="s">
        <v>2045</v>
      </c>
      <c r="F92" s="3076" t="s">
        <v>3271</v>
      </c>
      <c r="G92" s="2303" t="s">
        <v>1986</v>
      </c>
      <c r="H92" s="3083" t="s">
        <v>3275</v>
      </c>
      <c r="I92" s="2303" t="s">
        <v>2048</v>
      </c>
      <c r="J92" s="2143" t="s">
        <v>1718</v>
      </c>
      <c r="K92" s="2143" t="s">
        <v>1719</v>
      </c>
      <c r="L92" s="2143" t="s">
        <v>1720</v>
      </c>
      <c r="M92" s="2143" t="s">
        <v>1721</v>
      </c>
      <c r="N92" s="2143" t="s">
        <v>1722</v>
      </c>
    </row>
    <row r="93" spans="1:37" ht="24">
      <c r="A93" s="3064" t="s">
        <v>3260</v>
      </c>
      <c r="B93" s="1216"/>
      <c r="C93" s="1880"/>
      <c r="D93" s="2303">
        <f>SUMIF($J$92:$N$92,C93,J93:N93)</f>
        <v>0</v>
      </c>
      <c r="E93" s="3077">
        <f>ROUND(SUM(D93:D101),4)</f>
        <v>0</v>
      </c>
      <c r="F93" s="1668" t="str">
        <f>IF(E2="公共服务",SUMIF(L1:L12,G2,N1:N12),"——")</f>
        <v>——</v>
      </c>
      <c r="G93" s="3068"/>
      <c r="H93" s="3113" t="str">
        <f>IFERROR(ROUNDDOWN($F$93*I93/2,4),"——")</f>
        <v>——</v>
      </c>
      <c r="I93" s="3062">
        <v>0.25</v>
      </c>
      <c r="J93" s="1905">
        <f t="shared" ref="J93:J101" si="29">K93+$G93</f>
        <v>0</v>
      </c>
      <c r="K93" s="1905">
        <f t="shared" ref="K93:K101" si="30">$L93+$G93</f>
        <v>0</v>
      </c>
      <c r="L93" s="1905">
        <v>0</v>
      </c>
      <c r="M93" s="1905">
        <f t="shared" ref="M93:N101" si="31">L93-$G93</f>
        <v>0</v>
      </c>
      <c r="N93" s="1905">
        <f t="shared" si="31"/>
        <v>0</v>
      </c>
    </row>
    <row r="94" spans="1:37" ht="14.25">
      <c r="A94" s="3074" t="s">
        <v>2050</v>
      </c>
      <c r="B94" s="3065">
        <f>估价对象房地状况!C18</f>
        <v>0</v>
      </c>
      <c r="C94" s="1880"/>
      <c r="D94" s="2303">
        <f t="shared" ref="D94:D101" si="32">SUMIF($J$60:$N$60,C94,J94:N94)</f>
        <v>0</v>
      </c>
      <c r="E94" s="3078"/>
      <c r="F94" s="1668"/>
      <c r="G94" s="3068"/>
      <c r="H94" s="3113" t="str">
        <f>IFERROR(ROUNDDOWN($F$93*I94/2,4),"——")</f>
        <v>——</v>
      </c>
      <c r="I94" s="3062">
        <v>0.26</v>
      </c>
      <c r="J94" s="1905">
        <f t="shared" si="29"/>
        <v>0</v>
      </c>
      <c r="K94" s="1905">
        <f t="shared" si="30"/>
        <v>0</v>
      </c>
      <c r="L94" s="1905">
        <v>0</v>
      </c>
      <c r="M94" s="1905">
        <f t="shared" si="31"/>
        <v>0</v>
      </c>
      <c r="N94" s="1905">
        <f t="shared" si="31"/>
        <v>0</v>
      </c>
    </row>
    <row r="95" spans="1:37" ht="36">
      <c r="A95" s="3064" t="s">
        <v>3257</v>
      </c>
      <c r="B95" s="3065">
        <f>估价对象房地状况!C19</f>
        <v>0</v>
      </c>
      <c r="C95" s="1880"/>
      <c r="D95" s="2303">
        <f t="shared" si="32"/>
        <v>0</v>
      </c>
      <c r="E95" s="3078"/>
      <c r="F95" s="1668"/>
      <c r="G95" s="3068"/>
      <c r="H95" s="3113" t="str">
        <f t="shared" ref="H95:H101" si="33">IFERROR(ROUNDDOWN($F$93*I95/2,4),"——")</f>
        <v>——</v>
      </c>
      <c r="I95" s="3062">
        <v>0.11</v>
      </c>
      <c r="J95" s="1905">
        <f t="shared" si="29"/>
        <v>0</v>
      </c>
      <c r="K95" s="1905">
        <f t="shared" si="30"/>
        <v>0</v>
      </c>
      <c r="L95" s="1905">
        <v>0</v>
      </c>
      <c r="M95" s="1905">
        <f t="shared" si="31"/>
        <v>0</v>
      </c>
      <c r="N95" s="1905">
        <f t="shared" si="31"/>
        <v>0</v>
      </c>
    </row>
    <row r="96" spans="1:37" ht="36.75">
      <c r="A96" s="3074" t="s">
        <v>2051</v>
      </c>
      <c r="B96" s="3080" t="s">
        <v>3273</v>
      </c>
      <c r="C96" s="1880"/>
      <c r="D96" s="2303">
        <f t="shared" si="32"/>
        <v>0</v>
      </c>
      <c r="E96" s="3078"/>
      <c r="F96" s="1668"/>
      <c r="G96" s="3068"/>
      <c r="H96" s="3113" t="str">
        <f t="shared" si="33"/>
        <v>——</v>
      </c>
      <c r="I96" s="3062">
        <v>0.05</v>
      </c>
      <c r="J96" s="1905">
        <f t="shared" si="29"/>
        <v>0</v>
      </c>
      <c r="K96" s="1905">
        <f t="shared" si="30"/>
        <v>0</v>
      </c>
      <c r="L96" s="1905">
        <v>0</v>
      </c>
      <c r="M96" s="1905">
        <f t="shared" si="31"/>
        <v>0</v>
      </c>
      <c r="N96" s="1905">
        <f t="shared" si="31"/>
        <v>0</v>
      </c>
    </row>
    <row r="97" spans="1:14" ht="24">
      <c r="A97" s="3074" t="s">
        <v>2053</v>
      </c>
      <c r="B97" s="3065">
        <f>估价对象房地状况!C24</f>
        <v>0</v>
      </c>
      <c r="C97" s="1880"/>
      <c r="D97" s="2303">
        <f t="shared" si="32"/>
        <v>0</v>
      </c>
      <c r="E97" s="3078"/>
      <c r="F97" s="1668"/>
      <c r="G97" s="3068"/>
      <c r="H97" s="3113" t="str">
        <f t="shared" si="33"/>
        <v>——</v>
      </c>
      <c r="I97" s="3062">
        <v>0.05</v>
      </c>
      <c r="J97" s="1905">
        <f t="shared" si="29"/>
        <v>0</v>
      </c>
      <c r="K97" s="1905">
        <f t="shared" si="30"/>
        <v>0</v>
      </c>
      <c r="L97" s="1905">
        <v>0</v>
      </c>
      <c r="M97" s="1905">
        <f t="shared" si="31"/>
        <v>0</v>
      </c>
      <c r="N97" s="1905">
        <f t="shared" si="31"/>
        <v>0</v>
      </c>
    </row>
    <row r="98" spans="1:14" ht="24">
      <c r="A98" s="3074" t="s">
        <v>2054</v>
      </c>
      <c r="B98" s="3081" t="s">
        <v>3274</v>
      </c>
      <c r="C98" s="1880"/>
      <c r="D98" s="2303">
        <f t="shared" si="32"/>
        <v>0</v>
      </c>
      <c r="E98" s="3078"/>
      <c r="F98" s="1668"/>
      <c r="G98" s="3068"/>
      <c r="H98" s="3113" t="str">
        <f t="shared" si="33"/>
        <v>——</v>
      </c>
      <c r="I98" s="3062">
        <v>0.06</v>
      </c>
      <c r="J98" s="1905">
        <f t="shared" si="29"/>
        <v>0</v>
      </c>
      <c r="K98" s="1905">
        <f t="shared" si="30"/>
        <v>0</v>
      </c>
      <c r="L98" s="1905">
        <v>0</v>
      </c>
      <c r="M98" s="1905">
        <f t="shared" si="31"/>
        <v>0</v>
      </c>
      <c r="N98" s="1905">
        <f t="shared" si="31"/>
        <v>0</v>
      </c>
    </row>
    <row r="99" spans="1:14" ht="24">
      <c r="A99" s="3074" t="s">
        <v>2056</v>
      </c>
      <c r="B99" s="3065">
        <f>估价对象房地状况!C21</f>
        <v>0</v>
      </c>
      <c r="C99" s="1880"/>
      <c r="D99" s="2303">
        <f t="shared" si="32"/>
        <v>0</v>
      </c>
      <c r="E99" s="3078"/>
      <c r="F99" s="1668"/>
      <c r="G99" s="3068"/>
      <c r="H99" s="3113" t="str">
        <f t="shared" si="33"/>
        <v>——</v>
      </c>
      <c r="I99" s="3062">
        <v>0.06</v>
      </c>
      <c r="J99" s="1905">
        <f t="shared" si="29"/>
        <v>0</v>
      </c>
      <c r="K99" s="1905">
        <f t="shared" si="30"/>
        <v>0</v>
      </c>
      <c r="L99" s="1905">
        <v>0</v>
      </c>
      <c r="M99" s="1905">
        <f t="shared" si="31"/>
        <v>0</v>
      </c>
      <c r="N99" s="1905">
        <f t="shared" si="31"/>
        <v>0</v>
      </c>
    </row>
    <row r="100" spans="1:14" ht="24">
      <c r="A100" s="3074" t="s">
        <v>2057</v>
      </c>
      <c r="B100" s="3065">
        <f>估价对象房地状况!C22</f>
        <v>0</v>
      </c>
      <c r="C100" s="1880"/>
      <c r="D100" s="2303">
        <f t="shared" si="32"/>
        <v>0</v>
      </c>
      <c r="E100" s="3078"/>
      <c r="F100" s="1668"/>
      <c r="G100" s="3068"/>
      <c r="H100" s="3113" t="str">
        <f t="shared" si="33"/>
        <v>——</v>
      </c>
      <c r="I100" s="3062">
        <v>0.09</v>
      </c>
      <c r="J100" s="1905">
        <f t="shared" si="29"/>
        <v>0</v>
      </c>
      <c r="K100" s="1905">
        <f t="shared" si="30"/>
        <v>0</v>
      </c>
      <c r="L100" s="1905">
        <v>0</v>
      </c>
      <c r="M100" s="1905">
        <f t="shared" si="31"/>
        <v>0</v>
      </c>
      <c r="N100" s="1905">
        <f t="shared" si="31"/>
        <v>0</v>
      </c>
    </row>
    <row r="101" spans="1:14" ht="24.75" thickBot="1">
      <c r="A101" s="3075" t="s">
        <v>2058</v>
      </c>
      <c r="B101" s="3082">
        <f>估价对象房地状况!C20</f>
        <v>0</v>
      </c>
      <c r="C101" s="1880"/>
      <c r="D101" s="2303">
        <f t="shared" si="32"/>
        <v>0</v>
      </c>
      <c r="E101" s="3079"/>
      <c r="F101" s="1668"/>
      <c r="G101" s="3068"/>
      <c r="H101" s="3113" t="str">
        <f t="shared" si="33"/>
        <v>——</v>
      </c>
      <c r="I101" s="3063">
        <v>7.0000000000000007E-2</v>
      </c>
      <c r="J101" s="1905">
        <f t="shared" si="29"/>
        <v>0</v>
      </c>
      <c r="K101" s="1905">
        <f t="shared" si="30"/>
        <v>0</v>
      </c>
      <c r="L101" s="1905">
        <v>0</v>
      </c>
      <c r="M101" s="1905">
        <f t="shared" si="31"/>
        <v>0</v>
      </c>
      <c r="N101" s="1905">
        <f t="shared" si="31"/>
        <v>0</v>
      </c>
    </row>
    <row r="103" spans="1:14">
      <c r="A103" s="3401" t="s">
        <v>3282</v>
      </c>
      <c r="B103" s="3401"/>
      <c r="C103" s="3401"/>
      <c r="D103" s="3401"/>
      <c r="E103" s="3401"/>
      <c r="F103" s="3401"/>
      <c r="G103" s="3401"/>
      <c r="H103" s="3401"/>
      <c r="I103" s="3401"/>
      <c r="J103" s="3401"/>
      <c r="K103" s="1660"/>
      <c r="L103" s="1660"/>
      <c r="M103" s="1660"/>
      <c r="N103" s="1660"/>
    </row>
    <row r="104" spans="1:14">
      <c r="A104" s="3402" t="s">
        <v>3283</v>
      </c>
      <c r="B104" s="3402" t="s">
        <v>3284</v>
      </c>
      <c r="C104" s="3084" t="s">
        <v>3285</v>
      </c>
      <c r="D104" s="3085"/>
      <c r="E104" s="3085"/>
      <c r="F104" s="3085"/>
      <c r="G104" s="3085"/>
      <c r="H104" s="3085"/>
      <c r="I104" s="3085"/>
      <c r="J104" s="3086"/>
      <c r="K104" s="3087"/>
      <c r="L104" s="3087"/>
      <c r="M104" s="3087"/>
      <c r="N104" s="3087"/>
    </row>
    <row r="105" spans="1:14">
      <c r="A105" s="3402"/>
      <c r="B105" s="3402"/>
      <c r="C105" s="3088" t="s">
        <v>1958</v>
      </c>
      <c r="D105" s="3088" t="s">
        <v>1959</v>
      </c>
      <c r="E105" s="3088" t="s">
        <v>1960</v>
      </c>
      <c r="F105" s="3088" t="s">
        <v>1961</v>
      </c>
      <c r="G105" s="3088" t="s">
        <v>1962</v>
      </c>
      <c r="H105" s="3088" t="s">
        <v>1963</v>
      </c>
      <c r="I105" s="3088" t="s">
        <v>1964</v>
      </c>
      <c r="J105" s="3088" t="s">
        <v>1965</v>
      </c>
      <c r="K105" s="3088" t="s">
        <v>1966</v>
      </c>
      <c r="L105" s="3088" t="s">
        <v>1967</v>
      </c>
      <c r="M105" s="3088" t="s">
        <v>1968</v>
      </c>
      <c r="N105" s="3088" t="s">
        <v>1969</v>
      </c>
    </row>
    <row r="106" spans="1:14">
      <c r="A106" s="3388" t="s">
        <v>3298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8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8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8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8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89"/>
      <c r="B111" s="3088" t="s">
        <v>3256</v>
      </c>
      <c r="C111" s="3089">
        <f>$I$3</f>
        <v>0</v>
      </c>
      <c r="D111" s="3089">
        <f t="shared" ref="D111:M111" si="34">$I$3</f>
        <v>0</v>
      </c>
      <c r="E111" s="3089">
        <f t="shared" si="34"/>
        <v>0</v>
      </c>
      <c r="F111" s="3089">
        <f t="shared" si="34"/>
        <v>0</v>
      </c>
      <c r="G111" s="3089">
        <f t="shared" si="34"/>
        <v>0</v>
      </c>
      <c r="H111" s="3089">
        <f t="shared" si="34"/>
        <v>0</v>
      </c>
      <c r="I111" s="3089">
        <f t="shared" si="34"/>
        <v>0</v>
      </c>
      <c r="J111" s="3089">
        <f t="shared" si="34"/>
        <v>0</v>
      </c>
      <c r="K111" s="3089">
        <f t="shared" si="34"/>
        <v>0</v>
      </c>
      <c r="L111" s="3089">
        <f t="shared" si="34"/>
        <v>0</v>
      </c>
      <c r="M111" s="3089">
        <f t="shared" si="34"/>
        <v>0</v>
      </c>
      <c r="N111" s="3089">
        <f>$I$3</f>
        <v>0</v>
      </c>
    </row>
    <row r="112" spans="1:14">
      <c r="A112" s="3390"/>
      <c r="B112" s="3088">
        <v>6</v>
      </c>
      <c r="C112" s="3083">
        <f>(-0.5556*(C111^2)-0.2719*C111+8944)*(10^(-4))</f>
        <v>0.89440000000000008</v>
      </c>
      <c r="D112" s="3083">
        <f>(-0.5556*(D111^2)-0.2719*D111+8944)*(10^(-4))</f>
        <v>0.89440000000000008</v>
      </c>
      <c r="E112" s="3083">
        <f>(-0.7912*(E111^2)-11.3794*E111+8482)*(10^(-4))</f>
        <v>0.84820000000000007</v>
      </c>
      <c r="F112" s="3083">
        <f t="shared" ref="F112:I112" si="35">(-0.7912*(F111^2)-11.3794*F111+8482)*(10^(-4))</f>
        <v>0.84820000000000007</v>
      </c>
      <c r="G112" s="3083">
        <f t="shared" si="35"/>
        <v>0.84820000000000007</v>
      </c>
      <c r="H112" s="3083">
        <f t="shared" si="35"/>
        <v>0.84820000000000007</v>
      </c>
      <c r="I112" s="3083">
        <f t="shared" si="35"/>
        <v>0.84820000000000007</v>
      </c>
      <c r="J112" s="3083">
        <f>(-0.989*(J111^2)-63.78*J111+7771)*(10^(-4))</f>
        <v>0.77710000000000001</v>
      </c>
      <c r="K112" s="3083">
        <f t="shared" ref="K112:N112" si="36">(-0.989*(K111^2)-63.78*K111+7771)*(10^(-4))</f>
        <v>0.77710000000000001</v>
      </c>
      <c r="L112" s="3083">
        <f t="shared" si="36"/>
        <v>0.77710000000000001</v>
      </c>
      <c r="M112" s="3083">
        <f t="shared" si="36"/>
        <v>0.77710000000000001</v>
      </c>
      <c r="N112" s="3083">
        <f t="shared" si="36"/>
        <v>0.77710000000000001</v>
      </c>
    </row>
    <row r="113" spans="1:14">
      <c r="A113" s="3391" t="s">
        <v>3299</v>
      </c>
      <c r="B113" s="3391"/>
      <c r="C113" s="3391"/>
      <c r="D113" s="3391"/>
      <c r="E113" s="3391"/>
      <c r="F113" s="3391"/>
      <c r="G113" s="3391"/>
      <c r="H113" s="3391"/>
      <c r="I113" s="3391"/>
      <c r="J113" s="3391"/>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3300</v>
      </c>
      <c r="B116" s="3108">
        <f>G3</f>
        <v>6.2</v>
      </c>
      <c r="C116" s="3093" t="s">
        <v>3301</v>
      </c>
      <c r="D116" s="3094">
        <f>SUMPRODUCT((A118:A122=F116)*(B117:M117=H116)*B118:M122)</f>
        <v>0.85350000000000004</v>
      </c>
      <c r="E116" s="161" t="s">
        <v>1933</v>
      </c>
      <c r="F116" s="3095" t="str">
        <f>E2</f>
        <v>办公</v>
      </c>
      <c r="G116" s="161" t="s">
        <v>1934</v>
      </c>
      <c r="H116" s="3095" t="str">
        <f>G2</f>
        <v>七级</v>
      </c>
      <c r="I116" s="161"/>
      <c r="J116" s="3096"/>
      <c r="K116" s="3096"/>
      <c r="L116" s="3096"/>
      <c r="M116" s="3096"/>
      <c r="N116" s="3091"/>
    </row>
    <row r="117" spans="1:14">
      <c r="A117" s="3097"/>
      <c r="B117" s="3098" t="s">
        <v>3304</v>
      </c>
      <c r="C117" s="3098" t="s">
        <v>3305</v>
      </c>
      <c r="D117" s="3098" t="s">
        <v>3306</v>
      </c>
      <c r="E117" s="3099" t="s">
        <v>3307</v>
      </c>
      <c r="F117" s="3099" t="s">
        <v>3308</v>
      </c>
      <c r="G117" s="3099" t="s">
        <v>3309</v>
      </c>
      <c r="H117" s="3100" t="s">
        <v>3310</v>
      </c>
      <c r="I117" s="3100" t="s">
        <v>3311</v>
      </c>
      <c r="J117" s="3101" t="s">
        <v>3312</v>
      </c>
      <c r="K117" s="3101" t="s">
        <v>3313</v>
      </c>
      <c r="L117" s="3101" t="s">
        <v>3314</v>
      </c>
      <c r="M117" s="3102" t="s">
        <v>3315</v>
      </c>
      <c r="N117" s="3091"/>
    </row>
    <row r="118" spans="1:14">
      <c r="A118" s="3051" t="s">
        <v>1987</v>
      </c>
      <c r="B118" s="3083">
        <f>ROUND(0.9968-0.011*B116,4)</f>
        <v>0.92859999999999998</v>
      </c>
      <c r="C118" s="3083">
        <f>B118</f>
        <v>0.92859999999999998</v>
      </c>
      <c r="D118" s="3083">
        <f>ROUND(0.949-0.014*B116,4)</f>
        <v>0.86219999999999997</v>
      </c>
      <c r="E118" s="3083">
        <f>D118</f>
        <v>0.86219999999999997</v>
      </c>
      <c r="F118" s="3083">
        <f>E118</f>
        <v>0.86219999999999997</v>
      </c>
      <c r="G118" s="3083">
        <f>F118</f>
        <v>0.86219999999999997</v>
      </c>
      <c r="H118" s="3083">
        <f>G118</f>
        <v>0.86219999999999997</v>
      </c>
      <c r="I118" s="3083">
        <f>ROUND(0.8486-0.018*B116,4)</f>
        <v>0.73699999999999999</v>
      </c>
      <c r="J118" s="3083">
        <f t="shared" ref="J118:M122" si="37">I118</f>
        <v>0.73699999999999999</v>
      </c>
      <c r="K118" s="3083">
        <f t="shared" si="37"/>
        <v>0.73699999999999999</v>
      </c>
      <c r="L118" s="3083">
        <f t="shared" si="37"/>
        <v>0.73699999999999999</v>
      </c>
      <c r="M118" s="3103">
        <f t="shared" si="37"/>
        <v>0.73699999999999999</v>
      </c>
      <c r="N118" s="3091"/>
    </row>
    <row r="119" spans="1:14">
      <c r="A119" s="3051" t="s">
        <v>1988</v>
      </c>
      <c r="B119" s="3083">
        <f>ROUND(0.993-0.0112*B116,4)</f>
        <v>0.92359999999999998</v>
      </c>
      <c r="C119" s="3083">
        <f>B119</f>
        <v>0.92359999999999998</v>
      </c>
      <c r="D119" s="3083">
        <f>ROUND(0.9415-0.0142*B116,4)</f>
        <v>0.85350000000000004</v>
      </c>
      <c r="E119" s="3083">
        <f t="shared" ref="E119:H120" si="38">D119</f>
        <v>0.85350000000000004</v>
      </c>
      <c r="F119" s="3083">
        <f t="shared" si="38"/>
        <v>0.85350000000000004</v>
      </c>
      <c r="G119" s="3083">
        <f t="shared" si="38"/>
        <v>0.85350000000000004</v>
      </c>
      <c r="H119" s="3083">
        <f t="shared" si="38"/>
        <v>0.85350000000000004</v>
      </c>
      <c r="I119" s="3083">
        <f>ROUND(0.838-0.0182*B116,4)</f>
        <v>0.72519999999999996</v>
      </c>
      <c r="J119" s="3083">
        <f t="shared" si="37"/>
        <v>0.72519999999999996</v>
      </c>
      <c r="K119" s="3083">
        <f t="shared" si="37"/>
        <v>0.72519999999999996</v>
      </c>
      <c r="L119" s="3083">
        <f t="shared" si="37"/>
        <v>0.72519999999999996</v>
      </c>
      <c r="M119" s="3103">
        <f t="shared" si="37"/>
        <v>0.72519999999999996</v>
      </c>
      <c r="N119" s="3091"/>
    </row>
    <row r="120" spans="1:14">
      <c r="A120" s="3051" t="s">
        <v>1989</v>
      </c>
      <c r="B120" s="3083">
        <f>ROUND(0.9448-0.0115*B116,4)</f>
        <v>0.87350000000000005</v>
      </c>
      <c r="C120" s="3083">
        <f>B120</f>
        <v>0.87350000000000005</v>
      </c>
      <c r="D120" s="3083">
        <f>ROUND(0.937-0.0145*B116,4)</f>
        <v>0.84709999999999996</v>
      </c>
      <c r="E120" s="3083">
        <f t="shared" si="38"/>
        <v>0.84709999999999996</v>
      </c>
      <c r="F120" s="3083">
        <f t="shared" si="38"/>
        <v>0.84709999999999996</v>
      </c>
      <c r="G120" s="3083">
        <f t="shared" si="38"/>
        <v>0.84709999999999996</v>
      </c>
      <c r="H120" s="3083">
        <f t="shared" si="38"/>
        <v>0.84709999999999996</v>
      </c>
      <c r="I120" s="3083">
        <f>ROUND(0.7965-0.0185*B116,4)</f>
        <v>0.68179999999999996</v>
      </c>
      <c r="J120" s="3083">
        <f t="shared" si="37"/>
        <v>0.68179999999999996</v>
      </c>
      <c r="K120" s="3083">
        <f t="shared" si="37"/>
        <v>0.68179999999999996</v>
      </c>
      <c r="L120" s="3083">
        <f t="shared" si="37"/>
        <v>0.68179999999999996</v>
      </c>
      <c r="M120" s="3103">
        <f t="shared" si="37"/>
        <v>0.68179999999999996</v>
      </c>
      <c r="N120" s="3091"/>
    </row>
    <row r="121" spans="1:14" ht="13.5" thickBot="1">
      <c r="A121" s="3104" t="s">
        <v>1990</v>
      </c>
      <c r="B121" s="3105">
        <f>ROUND(0.7836-0.012*B116,4)</f>
        <v>0.70920000000000005</v>
      </c>
      <c r="C121" s="3105">
        <f>B121</f>
        <v>0.70920000000000005</v>
      </c>
      <c r="D121" s="3105">
        <f>ROUND(0.753-0.015*B116,4)</f>
        <v>0.66</v>
      </c>
      <c r="E121" s="3105">
        <f>D121</f>
        <v>0.66</v>
      </c>
      <c r="F121" s="3105">
        <f>E121</f>
        <v>0.66</v>
      </c>
      <c r="G121" s="3105">
        <f>ROUND(0.6612-0.018*B116,4)</f>
        <v>0.54959999999999998</v>
      </c>
      <c r="H121" s="3105">
        <f>G121</f>
        <v>0.54959999999999998</v>
      </c>
      <c r="I121" s="3105">
        <f>ROUND(0.5905-0.019*B116,4)</f>
        <v>0.47270000000000001</v>
      </c>
      <c r="J121" s="3105">
        <f t="shared" si="37"/>
        <v>0.47270000000000001</v>
      </c>
      <c r="K121" s="3105">
        <f t="shared" si="37"/>
        <v>0.47270000000000001</v>
      </c>
      <c r="L121" s="3105">
        <f t="shared" si="37"/>
        <v>0.47270000000000001</v>
      </c>
      <c r="M121" s="3106">
        <f t="shared" si="37"/>
        <v>0.47270000000000001</v>
      </c>
      <c r="N121" s="3091"/>
    </row>
    <row r="122" spans="1:14">
      <c r="A122" s="3107" t="s">
        <v>2601</v>
      </c>
      <c r="B122" s="3083">
        <f>ROUND(0.9404-0.0106*B116,4)</f>
        <v>0.87470000000000003</v>
      </c>
      <c r="C122" s="3083">
        <f>B122</f>
        <v>0.87470000000000003</v>
      </c>
      <c r="D122" s="3083">
        <f>ROUND(0.8955-0.0135*B116,4)</f>
        <v>0.81179999999999997</v>
      </c>
      <c r="E122" s="3083">
        <f t="shared" ref="E122:H122" si="39">D122</f>
        <v>0.81179999999999997</v>
      </c>
      <c r="F122" s="3083">
        <f t="shared" si="39"/>
        <v>0.81179999999999997</v>
      </c>
      <c r="G122" s="3083">
        <f t="shared" si="39"/>
        <v>0.81179999999999997</v>
      </c>
      <c r="H122" s="3083">
        <f t="shared" si="39"/>
        <v>0.81179999999999997</v>
      </c>
      <c r="I122" s="3083">
        <f>ROUND(0.7632-0.0166*B116,4)</f>
        <v>0.6603</v>
      </c>
      <c r="J122" s="3083">
        <f t="shared" si="37"/>
        <v>0.6603</v>
      </c>
      <c r="K122" s="3083">
        <f t="shared" si="37"/>
        <v>0.6603</v>
      </c>
      <c r="L122" s="3083">
        <f t="shared" si="37"/>
        <v>0.6603</v>
      </c>
      <c r="M122" s="3103">
        <f t="shared" si="37"/>
        <v>0.6603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6" type="noConversion"/>
  <conditionalFormatting sqref="F50">
    <cfRule type="cellIs" dxfId="89" priority="6" stopIfTrue="1" operator="notEqual">
      <formula>"——"</formula>
    </cfRule>
  </conditionalFormatting>
  <conditionalFormatting sqref="F61">
    <cfRule type="cellIs" dxfId="88" priority="5" stopIfTrue="1" operator="notEqual">
      <formula>"——"</formula>
    </cfRule>
  </conditionalFormatting>
  <conditionalFormatting sqref="F72">
    <cfRule type="cellIs" dxfId="87" priority="4" stopIfTrue="1" operator="notEqual">
      <formula>"——"</formula>
    </cfRule>
  </conditionalFormatting>
  <conditionalFormatting sqref="F83">
    <cfRule type="cellIs" dxfId="86" priority="3" stopIfTrue="1" operator="notEqual">
      <formula>"——"</formula>
    </cfRule>
  </conditionalFormatting>
  <conditionalFormatting sqref="H50:H58 H61:H69 H72:H80 H83:H91">
    <cfRule type="cellIs" dxfId="85" priority="2" operator="notEqual">
      <formula>"——"</formula>
    </cfRule>
  </conditionalFormatting>
  <conditionalFormatting sqref="H93:H101">
    <cfRule type="cellIs" dxfId="84" priority="1" operator="notEqual">
      <formula>"——"</formula>
    </cfRule>
  </conditionalFormatting>
  <dataValidations count="12">
    <dataValidation type="list" allowBlank="1" showInputMessage="1" showErrorMessage="1" sqref="J23" xr:uid="{00000000-0002-0000-2800-000000000000}">
      <formula1>"不用分区数据,中心城区,中心城区以外"</formula1>
    </dataValidation>
    <dataValidation type="list" allowBlank="1" showInputMessage="1" showErrorMessage="1" sqref="H20:O20" xr:uid="{00000000-0002-0000-2800-000001000000}">
      <formula1>七通一平</formula1>
    </dataValidation>
    <dataValidation type="list" allowBlank="1" showInputMessage="1" showErrorMessage="1" sqref="H23" xr:uid="{00000000-0002-0000-2800-000002000000}">
      <formula1>"地价指数,季度增幅（自定义）,按公示增长率计算"</formula1>
    </dataValidation>
    <dataValidation type="list" allowBlank="1" showInputMessage="1" showErrorMessage="1" sqref="C61:C69 C72:C80 C50:C58 C83:C91 C93:C101" xr:uid="{00000000-0002-0000-2800-000003000000}">
      <formula1>五等判定</formula1>
    </dataValidation>
    <dataValidation type="list" allowBlank="1" showInputMessage="1" showErrorMessage="1" sqref="E3" xr:uid="{00000000-0002-0000-2800-000004000000}">
      <formula1>二级分类</formula1>
    </dataValidation>
    <dataValidation type="list" allowBlank="1" showInputMessage="1" showErrorMessage="1" sqref="C8" xr:uid="{00000000-0002-0000-2800-000005000000}">
      <formula1>商业街名称</formula1>
    </dataValidation>
    <dataValidation type="list" allowBlank="1" showInputMessage="1" showErrorMessage="1" sqref="F3" xr:uid="{00000000-0002-0000-2800-000006000000}">
      <formula1>"宗地容积率,估价对象容积率,自定义容积率"</formula1>
    </dataValidation>
    <dataValidation type="list" allowBlank="1" showInputMessage="1" showErrorMessage="1" sqref="E2" xr:uid="{00000000-0002-0000-2800-000007000000}">
      <formula1>"商业,办公,住宅,工业,公共服务"</formula1>
    </dataValidation>
    <dataValidation type="list" allowBlank="1" showInputMessage="1" showErrorMessage="1" sqref="F21" xr:uid="{00000000-0002-0000-2800-000008000000}">
      <formula1>"与级别开发程度一致,与级别开发程度不一致"</formula1>
    </dataValidation>
    <dataValidation type="list" allowBlank="1" showInputMessage="1" showErrorMessage="1" sqref="B25" xr:uid="{00000000-0002-0000-2800-000009000000}">
      <formula1>"容积率修正,楼层修正"</formula1>
    </dataValidation>
    <dataValidation type="list" allowBlank="1" showInputMessage="1" showErrorMessage="1" sqref="C15:D15" xr:uid="{00000000-0002-0000-2800-00000A000000}">
      <formula1>"有,无"</formula1>
    </dataValidation>
    <dataValidation type="list" allowBlank="1" showInputMessage="1" showErrorMessage="1" sqref="E15" xr:uid="{00000000-0002-0000-28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39997558519241921"/>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5" customWidth="1"/>
    <col min="12" max="12" width="16.375" style="249" customWidth="1"/>
    <col min="13" max="13" width="13" style="249"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9"/>
  </cols>
  <sheetData>
    <row r="1" spans="1:37" s="284" customFormat="1" ht="21">
      <c r="A1" s="1276" t="s">
        <v>874</v>
      </c>
      <c r="B1" s="661"/>
      <c r="C1" s="1280" t="s">
        <v>4192</v>
      </c>
      <c r="D1" s="1264" t="s">
        <v>43</v>
      </c>
      <c r="E1" s="1265" t="s">
        <v>675</v>
      </c>
      <c r="F1" s="994">
        <f ca="1">J53</f>
        <v>41.47</v>
      </c>
      <c r="G1" s="1279">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6" t="s">
        <v>801</v>
      </c>
      <c r="B2" s="1287">
        <f ca="1">C40+J29+L46</f>
        <v>852</v>
      </c>
      <c r="C2" s="1282" t="s">
        <v>802</v>
      </c>
      <c r="D2" s="1282"/>
      <c r="E2" s="1288"/>
      <c r="F2" s="1289"/>
      <c r="G2" s="2472"/>
      <c r="H2" s="2462"/>
      <c r="I2" s="2462"/>
      <c r="J2" s="2462"/>
      <c r="K2" s="2463"/>
      <c r="L2" s="2462"/>
      <c r="M2" s="2462"/>
    </row>
    <row r="3" spans="1:37" ht="18" customHeight="1" thickBot="1">
      <c r="A3" s="1290" t="s">
        <v>803</v>
      </c>
      <c r="B3" s="1291">
        <f ca="1">IF(ISERROR(B2*10000/F43),0,ROUND(B2*10000/F43,0))</f>
        <v>11287</v>
      </c>
      <c r="C3" s="1282" t="s">
        <v>804</v>
      </c>
      <c r="D3" s="1282"/>
      <c r="E3" s="1288"/>
      <c r="F3" s="1289"/>
      <c r="G3" s="2472"/>
      <c r="H3" s="647" t="s">
        <v>873</v>
      </c>
      <c r="I3" s="1283"/>
      <c r="J3" s="1283"/>
      <c r="K3" s="1284"/>
      <c r="L3" s="1283"/>
      <c r="M3" s="1283"/>
    </row>
    <row r="4" spans="1:37" ht="18" customHeight="1">
      <c r="A4" s="286" t="s">
        <v>684</v>
      </c>
      <c r="B4" s="287" t="s">
        <v>685</v>
      </c>
      <c r="C4" s="287" t="s">
        <v>686</v>
      </c>
      <c r="D4" s="287" t="s">
        <v>687</v>
      </c>
      <c r="E4" s="288" t="s">
        <v>688</v>
      </c>
      <c r="F4" s="289"/>
      <c r="G4" s="1285"/>
      <c r="H4" s="286" t="s">
        <v>684</v>
      </c>
      <c r="I4" s="287" t="s">
        <v>685</v>
      </c>
      <c r="J4" s="287" t="s">
        <v>686</v>
      </c>
      <c r="K4" s="287" t="s">
        <v>687</v>
      </c>
      <c r="L4" s="288" t="s">
        <v>688</v>
      </c>
      <c r="M4" s="289"/>
    </row>
    <row r="5" spans="1:37" ht="18" customHeight="1">
      <c r="A5" s="290">
        <v>1</v>
      </c>
      <c r="B5" s="291" t="s">
        <v>689</v>
      </c>
      <c r="C5" s="1002">
        <f ca="1">C6+C10+C12</f>
        <v>50</v>
      </c>
      <c r="D5" s="1266" t="s">
        <v>690</v>
      </c>
      <c r="E5" s="1003"/>
      <c r="F5" s="1004"/>
      <c r="G5" s="1285"/>
      <c r="H5" s="290">
        <v>1</v>
      </c>
      <c r="I5" s="291" t="s">
        <v>689</v>
      </c>
      <c r="J5" s="1002">
        <f ca="1">J6+J10+J12</f>
        <v>0</v>
      </c>
      <c r="K5" s="1266" t="s">
        <v>690</v>
      </c>
      <c r="L5" s="1003"/>
      <c r="M5" s="1004"/>
    </row>
    <row r="6" spans="1:37" ht="18" customHeight="1">
      <c r="A6" s="1001" t="s">
        <v>398</v>
      </c>
      <c r="B6" s="3409" t="s">
        <v>691</v>
      </c>
      <c r="C6" s="1006">
        <f ca="1">ROUND(F6*F8*F7*(1-F9)/10000,0)</f>
        <v>50</v>
      </c>
      <c r="D6" s="146" t="s">
        <v>2105</v>
      </c>
      <c r="E6" s="293" t="s">
        <v>693</v>
      </c>
      <c r="F6" s="294">
        <f ca="1">INDIRECT("'数据-取费表'!u"&amp;$G$1)</f>
        <v>2</v>
      </c>
      <c r="G6" s="1285"/>
      <c r="H6" s="1001" t="s">
        <v>398</v>
      </c>
      <c r="I6" s="3409" t="s">
        <v>691</v>
      </c>
      <c r="J6" s="292">
        <f ca="1">ROUND(M6*M8*M7*(1-M9)/10000,0)</f>
        <v>0</v>
      </c>
      <c r="K6" s="146" t="s">
        <v>2104</v>
      </c>
      <c r="L6" s="293" t="s">
        <v>693</v>
      </c>
      <c r="M6" s="294">
        <f ca="1">INDIRECT("'数据-取费表'!z"&amp;$G$1)</f>
        <v>0</v>
      </c>
    </row>
    <row r="7" spans="1:37" ht="18" customHeight="1">
      <c r="A7" s="1005"/>
      <c r="B7" s="3410"/>
      <c r="C7" s="1007"/>
      <c r="D7" s="298"/>
      <c r="E7" s="1008" t="s">
        <v>694</v>
      </c>
      <c r="F7" s="294">
        <f ca="1">IF(INDIRECT("'数据-取费表'!ah"&amp;$G$1)="",INDIRECT("'数据-取费表'!k"&amp;$G$1),INDIRECT("'数据-取费表'!ah"&amp;$G$1))</f>
        <v>754.84</v>
      </c>
      <c r="G7" s="1285"/>
      <c r="H7" s="295"/>
      <c r="I7" s="3410"/>
      <c r="J7" s="297"/>
      <c r="K7" s="298"/>
      <c r="L7" s="293" t="s">
        <v>694</v>
      </c>
      <c r="M7" s="294">
        <f ca="1">F7</f>
        <v>754.84</v>
      </c>
    </row>
    <row r="8" spans="1:37" ht="18" customHeight="1">
      <c r="A8" s="295"/>
      <c r="B8" s="3410"/>
      <c r="C8" s="297"/>
      <c r="D8" s="298"/>
      <c r="E8" s="293" t="s">
        <v>695</v>
      </c>
      <c r="F8" s="294">
        <f ca="1">INDIRECT("'数据-取费表'!ai"&amp;$G$1)</f>
        <v>365</v>
      </c>
      <c r="G8" s="1285"/>
      <c r="H8" s="295"/>
      <c r="I8" s="3410"/>
      <c r="J8" s="297"/>
      <c r="K8" s="298"/>
      <c r="L8" s="293" t="s">
        <v>695</v>
      </c>
      <c r="M8" s="294">
        <f ca="1">INDIRECT("'数据-取费表'!ai"&amp;$G$1)</f>
        <v>365</v>
      </c>
    </row>
    <row r="9" spans="1:37" ht="18" customHeight="1">
      <c r="A9" s="295"/>
      <c r="B9" s="3411"/>
      <c r="C9" s="297"/>
      <c r="D9" s="298"/>
      <c r="E9" s="293" t="s">
        <v>696</v>
      </c>
      <c r="F9" s="303">
        <f ca="1">INDIRECT("'数据-取费表'!w"&amp;$G$1)</f>
        <v>0.1</v>
      </c>
      <c r="G9" s="1285"/>
      <c r="H9" s="295"/>
      <c r="I9" s="3411"/>
      <c r="J9" s="297"/>
      <c r="K9" s="298"/>
      <c r="L9" s="304" t="s">
        <v>696</v>
      </c>
      <c r="M9" s="305">
        <f ca="1">INDIRECT("'数据-取费表'!ab"&amp;$G$1)</f>
        <v>0</v>
      </c>
    </row>
    <row r="10" spans="1:37" ht="18" customHeight="1">
      <c r="A10" s="1001" t="s">
        <v>402</v>
      </c>
      <c r="B10" s="1267" t="s">
        <v>697</v>
      </c>
      <c r="C10" s="307">
        <f ca="1">ROUND(IF(F10="押一",C6/12*F11,IF(F10="押二",C6/12*2*F11,IF(F10="押三",C6/12*3*F11,C11*F11))),0)</f>
        <v>0</v>
      </c>
      <c r="D10" s="149" t="s">
        <v>2112</v>
      </c>
      <c r="E10" s="304" t="s">
        <v>698</v>
      </c>
      <c r="F10" s="1048" t="s">
        <v>4183</v>
      </c>
      <c r="G10" s="1285"/>
      <c r="H10" s="1001" t="s">
        <v>402</v>
      </c>
      <c r="I10" s="1267" t="s">
        <v>697</v>
      </c>
      <c r="J10" s="292">
        <f ca="1">ROUND(IF(M10="押一",J6/12*M11,IF(M10="押二",J6/12*2*M11,IF(M10="押三",J6/12*3*M11,J11*M11))),0)</f>
        <v>0</v>
      </c>
      <c r="K10" s="149" t="s">
        <v>2112</v>
      </c>
      <c r="L10" s="304" t="s">
        <v>698</v>
      </c>
      <c r="M10" s="1048"/>
    </row>
    <row r="11" spans="1:37" ht="18" customHeight="1">
      <c r="A11" s="299"/>
      <c r="B11" s="1268" t="s">
        <v>676</v>
      </c>
      <c r="C11" s="901"/>
      <c r="D11" s="1269"/>
      <c r="E11" s="304" t="s">
        <v>699</v>
      </c>
      <c r="F11" s="305">
        <f ca="1">'数据-取费表'!B39</f>
        <v>1.4999999999999999E-2</v>
      </c>
      <c r="G11" s="1285"/>
      <c r="H11" s="1009"/>
      <c r="I11" s="1268" t="s">
        <v>676</v>
      </c>
      <c r="J11" s="901"/>
      <c r="K11" s="644"/>
      <c r="L11" s="304" t="s">
        <v>699</v>
      </c>
      <c r="M11" s="805">
        <f ca="1">'数据-取费表'!B39</f>
        <v>1.4999999999999999E-2</v>
      </c>
    </row>
    <row r="12" spans="1:37" ht="18" customHeight="1" thickBot="1">
      <c r="A12" s="1015" t="s">
        <v>437</v>
      </c>
      <c r="B12" s="1270" t="s">
        <v>700</v>
      </c>
      <c r="C12" s="1016"/>
      <c r="D12" s="1017"/>
      <c r="E12" s="1022"/>
      <c r="F12" s="1018"/>
      <c r="G12" s="1285"/>
      <c r="H12" s="1015" t="s">
        <v>437</v>
      </c>
      <c r="I12" s="1270" t="s">
        <v>700</v>
      </c>
      <c r="J12" s="1016"/>
      <c r="K12" s="1030"/>
      <c r="L12" s="1022"/>
      <c r="M12" s="1031"/>
    </row>
    <row r="13" spans="1:37" ht="18" customHeight="1" thickTop="1">
      <c r="A13" s="1011">
        <v>2</v>
      </c>
      <c r="B13" s="1012" t="s">
        <v>701</v>
      </c>
      <c r="C13" s="301">
        <f ca="1">ROUND(C29*F13,0)</f>
        <v>651</v>
      </c>
      <c r="D13" s="1013" t="s">
        <v>702</v>
      </c>
      <c r="E13" s="1013" t="s">
        <v>703</v>
      </c>
      <c r="F13" s="1014">
        <f ca="1">INDIRECT("'数据-取费表'!y"&amp;$G$1)</f>
        <v>0.97</v>
      </c>
      <c r="G13" s="1285"/>
      <c r="H13" s="1011">
        <v>2</v>
      </c>
      <c r="I13" s="1012" t="s">
        <v>701</v>
      </c>
      <c r="J13" s="1000">
        <f ca="1">ROUND(J14*J15,0)</f>
        <v>0</v>
      </c>
      <c r="K13" s="1019" t="s">
        <v>702</v>
      </c>
      <c r="L13" s="1292"/>
      <c r="M13" s="1293"/>
    </row>
    <row r="14" spans="1:37" ht="18" customHeight="1">
      <c r="A14" s="924" t="s">
        <v>397</v>
      </c>
      <c r="B14" s="293" t="s">
        <v>704</v>
      </c>
      <c r="C14" s="309">
        <f ca="1">INDIRECT("'数据-取费表'!m"&amp;$G$1)+INDIRECT("'数据-取费表'!t"&amp;$G$1)</f>
        <v>415</v>
      </c>
      <c r="D14" s="1250" t="s">
        <v>705</v>
      </c>
      <c r="E14" s="1248"/>
      <c r="F14" s="310"/>
      <c r="G14" s="1285"/>
      <c r="H14" s="924" t="s">
        <v>398</v>
      </c>
      <c r="I14" s="293" t="s">
        <v>706</v>
      </c>
      <c r="J14" s="21">
        <f ca="1">C29</f>
        <v>671</v>
      </c>
      <c r="K14" s="12"/>
      <c r="L14" s="755"/>
      <c r="M14" s="756"/>
    </row>
    <row r="15" spans="1:37" s="1297" customFormat="1" ht="18" customHeight="1" thickBot="1">
      <c r="A15" s="924" t="s">
        <v>399</v>
      </c>
      <c r="B15" s="293" t="s">
        <v>707</v>
      </c>
      <c r="C15" s="21">
        <f ca="1">ROUND(C14*F15,0)</f>
        <v>42</v>
      </c>
      <c r="D15" s="311" t="s">
        <v>708</v>
      </c>
      <c r="E15" s="311" t="s">
        <v>709</v>
      </c>
      <c r="F15" s="312">
        <f>'数据-取费表'!B33</f>
        <v>0.1</v>
      </c>
      <c r="G15" s="1296"/>
      <c r="H15" s="1021" t="s">
        <v>402</v>
      </c>
      <c r="I15" s="1022" t="s">
        <v>703</v>
      </c>
      <c r="J15" s="1031">
        <f ca="1">INDIRECT("'数据-取费表'!ad"&amp;$G$1)</f>
        <v>0</v>
      </c>
      <c r="K15" s="1032"/>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4" t="s">
        <v>677</v>
      </c>
      <c r="B16" s="293" t="s">
        <v>710</v>
      </c>
      <c r="C16" s="21">
        <f ca="1">ROUND(INDIRECT("'数据-取费表'!m"&amp;$G$1)*F16,0)</f>
        <v>0</v>
      </c>
      <c r="D16" s="293" t="s">
        <v>708</v>
      </c>
      <c r="E16" s="293" t="s">
        <v>709</v>
      </c>
      <c r="F16" s="313">
        <f ca="1">IF(INDIRECT("'数据-取费表'!c"&amp;$G$1)="住宅",'数据-取费表'!B34,0)</f>
        <v>0</v>
      </c>
      <c r="G16" s="1285"/>
      <c r="H16" s="1011" t="s">
        <v>393</v>
      </c>
      <c r="I16" s="1012" t="s">
        <v>711</v>
      </c>
      <c r="J16" s="301">
        <f ca="1">ROUND(J17+J22+J23+J24,0)</f>
        <v>1</v>
      </c>
      <c r="K16" s="1019" t="s">
        <v>712</v>
      </c>
      <c r="L16" s="1020"/>
      <c r="M16" s="1004"/>
    </row>
    <row r="17" spans="1:37" s="1297" customFormat="1" ht="18" customHeight="1">
      <c r="A17" s="924" t="s">
        <v>678</v>
      </c>
      <c r="B17" s="293" t="s">
        <v>713</v>
      </c>
      <c r="C17" s="21">
        <f ca="1">ROUND(F17*(F43+INDIRECT("'数据-取费表'!S"&amp;$G$1))/10000,0)</f>
        <v>15</v>
      </c>
      <c r="D17" s="293" t="s">
        <v>714</v>
      </c>
      <c r="E17" s="293" t="s">
        <v>715</v>
      </c>
      <c r="F17" s="23">
        <f>'数据-取费表'!B35</f>
        <v>200</v>
      </c>
      <c r="G17" s="1296"/>
      <c r="H17" s="924" t="s">
        <v>398</v>
      </c>
      <c r="I17" s="293" t="s">
        <v>716</v>
      </c>
      <c r="J17" s="2133">
        <f ca="1">ROUND(IF(AND(项目基本情况!B11="自然人",项目基本情况!B10="北京市"),J6*M17/(1+'数据-取费表'!C42),J18+J19+J20),2)</f>
        <v>0.01</v>
      </c>
      <c r="K17" s="1250" t="s">
        <v>717</v>
      </c>
      <c r="L17" s="1249" t="s">
        <v>718</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4" t="s">
        <v>679</v>
      </c>
      <c r="B18" s="293" t="s">
        <v>719</v>
      </c>
      <c r="C18" s="21">
        <f ca="1">ROUND(C14*F18,0)</f>
        <v>10</v>
      </c>
      <c r="D18" s="293" t="s">
        <v>708</v>
      </c>
      <c r="E18" s="293" t="s">
        <v>709</v>
      </c>
      <c r="F18" s="313">
        <f>'数据-取费表'!B36</f>
        <v>2.5000000000000001E-2</v>
      </c>
      <c r="G18" s="1296"/>
      <c r="H18" s="924" t="s">
        <v>397</v>
      </c>
      <c r="I18" s="293" t="s">
        <v>720</v>
      </c>
      <c r="J18" s="21">
        <f ca="1">ROUND(J6*M18/(1+'数据-取费表'!C42),2)</f>
        <v>0</v>
      </c>
      <c r="K18" s="1249" t="s">
        <v>721</v>
      </c>
      <c r="L18" s="293" t="s">
        <v>709</v>
      </c>
      <c r="M18" s="313">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4" t="s">
        <v>398</v>
      </c>
      <c r="B19" s="293" t="s">
        <v>722</v>
      </c>
      <c r="C19" s="21">
        <f ca="1">SUM(C14:C18)</f>
        <v>482</v>
      </c>
      <c r="D19" s="122" t="s">
        <v>723</v>
      </c>
      <c r="E19" s="1262"/>
      <c r="F19" s="23"/>
      <c r="G19" s="1285"/>
      <c r="H19" s="924" t="s">
        <v>399</v>
      </c>
      <c r="I19" s="293" t="s">
        <v>724</v>
      </c>
      <c r="J19" s="21">
        <f ca="1">IF(K19="按租金收入计税",ROUND(J6*M19/(1+'数据-取费表'!C42),2),ROUND(C29*M19*0.7,2))</f>
        <v>0</v>
      </c>
      <c r="K19" s="1271" t="s">
        <v>3324</v>
      </c>
      <c r="L19" s="293" t="s">
        <v>709</v>
      </c>
      <c r="M19" s="313">
        <f>IF(K19="按租金收入计税",'数据-取费表'!B51,'数据-取费表'!B50)</f>
        <v>0.12</v>
      </c>
    </row>
    <row r="20" spans="1:37" s="1297" customFormat="1" ht="18" customHeight="1">
      <c r="A20" s="924" t="s">
        <v>402</v>
      </c>
      <c r="B20" s="293" t="s">
        <v>725</v>
      </c>
      <c r="C20" s="21">
        <f ca="1">ROUND(C19*F20,0)</f>
        <v>12</v>
      </c>
      <c r="D20" s="314" t="s">
        <v>726</v>
      </c>
      <c r="E20" s="293" t="s">
        <v>709</v>
      </c>
      <c r="F20" s="313">
        <f>'数据-取费表'!B37</f>
        <v>2.5000000000000001E-2</v>
      </c>
      <c r="G20" s="1296"/>
      <c r="H20" s="924" t="s">
        <v>677</v>
      </c>
      <c r="I20" s="146" t="s">
        <v>727</v>
      </c>
      <c r="J20" s="22">
        <f ca="1">ROUND(M20*M21/10000,2)</f>
        <v>0.01</v>
      </c>
      <c r="K20" s="315" t="s">
        <v>728</v>
      </c>
      <c r="L20" s="293" t="s">
        <v>729</v>
      </c>
      <c r="M20" s="316">
        <f>'数据-取费表'!B52</f>
        <v>1.5</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4" t="s">
        <v>437</v>
      </c>
      <c r="B21" s="293" t="s">
        <v>730</v>
      </c>
      <c r="C21" s="21" t="s">
        <v>0</v>
      </c>
      <c r="D21" s="314" t="s">
        <v>731</v>
      </c>
      <c r="E21" s="293" t="s">
        <v>732</v>
      </c>
      <c r="F21" s="313">
        <f>'数据-取费表'!B38</f>
        <v>2.5000000000000001E-2</v>
      </c>
      <c r="G21" s="1296"/>
      <c r="H21" s="317"/>
      <c r="I21" s="302"/>
      <c r="J21" s="26"/>
      <c r="K21" s="318"/>
      <c r="L21" s="293" t="s">
        <v>733</v>
      </c>
      <c r="M21" s="294">
        <f ca="1">INDIRECT("'数据-取费表'!r"&amp;$G$1)</f>
        <v>93.1</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4" t="s">
        <v>680</v>
      </c>
      <c r="B22" s="293" t="s">
        <v>734</v>
      </c>
      <c r="C22" s="21"/>
      <c r="D22" s="122" t="str">
        <f>IF(F23&lt;=1,"单利计息。","复利计息。")&amp;"建造成本、管理费用、销售费用产生的利息。"</f>
        <v>复利计息。建造成本、管理费用、销售费用产生的利息。</v>
      </c>
      <c r="E22" s="1262"/>
      <c r="F22" s="23"/>
      <c r="G22" s="1285"/>
      <c r="H22" s="924" t="s">
        <v>402</v>
      </c>
      <c r="I22" s="293" t="s">
        <v>735</v>
      </c>
      <c r="J22" s="21">
        <f ca="1">ROUND(J14*M22,2)</f>
        <v>1.34</v>
      </c>
      <c r="K22" s="1249" t="s">
        <v>736</v>
      </c>
      <c r="L22" s="293" t="s">
        <v>709</v>
      </c>
      <c r="M22" s="319">
        <f ca="1">INDIRECT("'数据-取费表'!Ak"&amp;$G$1)</f>
        <v>2E-3</v>
      </c>
    </row>
    <row r="23" spans="1:37" s="1297" customFormat="1" ht="18" customHeight="1">
      <c r="A23" s="924" t="s">
        <v>397</v>
      </c>
      <c r="B23" s="293" t="s">
        <v>737</v>
      </c>
      <c r="C23" s="21">
        <f ca="1">IF('数据-取费表'!B22&lt;=1,ROUND(C19*F24*F23/2,0)+ROUND(C20*F24*F23/2,0),ROUND(C19*(POWER((1+F24),F23/2)-1),0)+ROUND(C20*(POWER((1+F24),F23/2)-1),0))</f>
        <v>22</v>
      </c>
      <c r="D23" s="137" t="str">
        <f>IF(F23&lt;=1,"(建造成本+管理费用)×利率×(建设周期÷2)","(建造成本+管理费用)×((1+利率)^(建设周期÷2)-1)")</f>
        <v>(建造成本+管理费用)×((1+利率)^(建设周期÷2)-1)</v>
      </c>
      <c r="E23" s="293" t="s">
        <v>738</v>
      </c>
      <c r="F23" s="316">
        <f>'数据-取费表'!B20</f>
        <v>2.5</v>
      </c>
      <c r="G23" s="1296"/>
      <c r="H23" s="924" t="s">
        <v>437</v>
      </c>
      <c r="I23" s="293" t="s">
        <v>739</v>
      </c>
      <c r="J23" s="21">
        <f ca="1">ROUND(J13*M23,2)</f>
        <v>0</v>
      </c>
      <c r="K23" s="1249" t="s">
        <v>740</v>
      </c>
      <c r="L23" s="293" t="s">
        <v>709</v>
      </c>
      <c r="M23" s="320">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4" t="s">
        <v>399</v>
      </c>
      <c r="B24" s="293" t="s">
        <v>743</v>
      </c>
      <c r="C24" s="21">
        <f ca="1">ROUND(IF('数据-取费表'!B22&lt;=1,F21*F24*F23/2,F21*(POWER((1+F24),F23/2)-1)),4)</f>
        <v>1.1000000000000001E-3</v>
      </c>
      <c r="D24" s="137" t="str">
        <f>IF(F23&lt;=1,"销售费用×利率×(建设周期÷2)","销售费用×((1+利率)^(建设周期÷2)-1)")</f>
        <v>销售费用×((1+利率)^(建设周期÷2)-1)</v>
      </c>
      <c r="E24" s="293" t="s">
        <v>744</v>
      </c>
      <c r="F24" s="321">
        <f ca="1">'数据-取费表'!B40</f>
        <v>3.4500000000000003E-2</v>
      </c>
      <c r="G24" s="1296"/>
      <c r="H24" s="1021" t="s">
        <v>680</v>
      </c>
      <c r="I24" s="1022" t="s">
        <v>725</v>
      </c>
      <c r="J24" s="1023">
        <f ca="1">ROUND(J5*M24,2)</f>
        <v>0</v>
      </c>
      <c r="K24" s="1024" t="s">
        <v>745</v>
      </c>
      <c r="L24" s="1022" t="s">
        <v>709</v>
      </c>
      <c r="M24" s="1018">
        <f ca="1">INDIRECT("'数据-取费表'!Am"&amp;$G$1)</f>
        <v>0.01</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4" t="s">
        <v>746</v>
      </c>
      <c r="B25" s="293" t="s">
        <v>747</v>
      </c>
      <c r="C25" s="21"/>
      <c r="D25" s="122" t="s">
        <v>748</v>
      </c>
      <c r="E25" s="1262"/>
      <c r="F25" s="23"/>
      <c r="G25" s="1285"/>
      <c r="H25" s="1011" t="s">
        <v>394</v>
      </c>
      <c r="I25" s="1026" t="s">
        <v>749</v>
      </c>
      <c r="J25" s="301">
        <f ca="1">J5-J16</f>
        <v>-1</v>
      </c>
      <c r="K25" s="1027" t="s">
        <v>750</v>
      </c>
      <c r="L25" s="1028"/>
      <c r="M25" s="1029"/>
    </row>
    <row r="26" spans="1:37">
      <c r="A26" s="924" t="s">
        <v>397</v>
      </c>
      <c r="B26" s="293" t="s">
        <v>751</v>
      </c>
      <c r="C26" s="21">
        <f ca="1">ROUND((C19+C20)*F26,0)</f>
        <v>99</v>
      </c>
      <c r="D26" s="314" t="s">
        <v>752</v>
      </c>
      <c r="E26" s="304" t="s">
        <v>753</v>
      </c>
      <c r="F26" s="303">
        <f ca="1">INDIRECT("'数据-取费表'!q"&amp;$G$1)</f>
        <v>0.2</v>
      </c>
      <c r="G26" s="1285"/>
      <c r="H26" s="290" t="s">
        <v>395</v>
      </c>
      <c r="I26" s="291" t="s">
        <v>754</v>
      </c>
      <c r="J26" s="292">
        <f ca="1">IF(J5&lt;&gt;0,ROUND(J25*(1-((1+M28)/(1+M26))^M27)/(M26-M28),0),0)</f>
        <v>0</v>
      </c>
      <c r="K26" s="315" t="s">
        <v>755</v>
      </c>
      <c r="L26" s="293" t="s">
        <v>756</v>
      </c>
      <c r="M26" s="303">
        <f ca="1">INDIRECT("'数据-取费表'!I"&amp;$G$1)</f>
        <v>5.5E-2</v>
      </c>
    </row>
    <row r="27" spans="1:37" ht="18" customHeight="1">
      <c r="A27" s="924" t="s">
        <v>399</v>
      </c>
      <c r="B27" s="293" t="s">
        <v>757</v>
      </c>
      <c r="C27" s="21">
        <f ca="1">ROUND(F21*F26,4)</f>
        <v>5.0000000000000001E-3</v>
      </c>
      <c r="D27" s="314" t="s">
        <v>758</v>
      </c>
      <c r="E27" s="311"/>
      <c r="F27" s="312"/>
      <c r="G27" s="1285"/>
      <c r="H27" s="295"/>
      <c r="I27" s="296"/>
      <c r="J27" s="297"/>
      <c r="K27" s="322" t="s">
        <v>759</v>
      </c>
      <c r="L27" s="293" t="s">
        <v>760</v>
      </c>
      <c r="M27" s="323">
        <f ca="1">INDIRECT("'数据-取费表'!ag"&amp;$G$1)</f>
        <v>0</v>
      </c>
    </row>
    <row r="28" spans="1:37" s="1297" customFormat="1" ht="18" customHeight="1">
      <c r="A28" s="924" t="s">
        <v>400</v>
      </c>
      <c r="B28" s="293" t="s">
        <v>761</v>
      </c>
      <c r="C28" s="21">
        <f>ROUND(F28/(1+'数据-取费表'!C42),4)</f>
        <v>5.2400000000000002E-2</v>
      </c>
      <c r="D28" s="314" t="s">
        <v>762</v>
      </c>
      <c r="E28" s="293" t="s">
        <v>709</v>
      </c>
      <c r="F28" s="313">
        <f>'数据-取费表'!B41</f>
        <v>5.5000000000000007E-2</v>
      </c>
      <c r="G28" s="1296"/>
      <c r="H28" s="299"/>
      <c r="I28" s="300"/>
      <c r="J28" s="301"/>
      <c r="K28" s="318"/>
      <c r="L28" s="293" t="s">
        <v>763</v>
      </c>
      <c r="M28" s="303">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1" t="s">
        <v>401</v>
      </c>
      <c r="B29" s="1022" t="s">
        <v>764</v>
      </c>
      <c r="C29" s="1023">
        <f ca="1">ROUND((C19+C20+C23+C26)/(1-F21-C24-C27-C28),0)</f>
        <v>671</v>
      </c>
      <c r="D29" s="1024"/>
      <c r="E29" s="1022"/>
      <c r="F29" s="1025"/>
      <c r="G29" s="1296"/>
      <c r="H29" s="324" t="s">
        <v>396</v>
      </c>
      <c r="I29" s="325" t="s">
        <v>765</v>
      </c>
      <c r="J29" s="326">
        <f ca="1">ROUND(J26/(1+F40)^F41,0)</f>
        <v>0</v>
      </c>
      <c r="K29" s="327" t="s">
        <v>766</v>
      </c>
      <c r="L29" s="328"/>
      <c r="M29" s="329">
        <f ca="1">INDIRECT("'数据-取费表'!k"&amp;$G$1)</f>
        <v>754.84</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1" t="s">
        <v>393</v>
      </c>
      <c r="B30" s="1012" t="s">
        <v>711</v>
      </c>
      <c r="C30" s="301">
        <f ca="1">ROUND(C31+C36+C37+C38,0)</f>
        <v>11</v>
      </c>
      <c r="D30" s="1019" t="s">
        <v>712</v>
      </c>
      <c r="E30" s="1020"/>
      <c r="F30" s="1004"/>
      <c r="G30" s="1285"/>
      <c r="H30" s="2464"/>
      <c r="I30" s="1298"/>
      <c r="J30" s="1299"/>
      <c r="K30" s="120"/>
      <c r="L30" s="2465"/>
      <c r="M30" s="2466"/>
    </row>
    <row r="31" spans="1:37" ht="18" customHeight="1">
      <c r="A31" s="924" t="s">
        <v>398</v>
      </c>
      <c r="B31" s="293" t="s">
        <v>716</v>
      </c>
      <c r="C31" s="2133">
        <f ca="1">ROUND(IF(AND(项目基本情况!B11="自然人",项目基本情况!B10="北京市"),C6*F31/(1+'数据-取费表'!C42),C32+C33+C34),2)</f>
        <v>8.34</v>
      </c>
      <c r="D31" s="1250" t="s">
        <v>717</v>
      </c>
      <c r="E31" s="1249" t="s">
        <v>767</v>
      </c>
      <c r="F31" s="2132" t="str">
        <f>IF(项目基本情况!B11="企业","——",IF(M47="住宅",IF(F6*F7*F8/12/(1+'数据-取费表'!F30)&gt;100000,4%,2.5%),IF(F6*F7*F8/12/(1+'数据-取费表'!F30)&gt;100000,12%,7%)))</f>
        <v>——</v>
      </c>
      <c r="G31" s="1285"/>
      <c r="H31" s="2563" t="s">
        <v>2295</v>
      </c>
      <c r="I31" s="1298"/>
      <c r="J31" s="1299"/>
      <c r="K31" s="120"/>
      <c r="L31" s="2465"/>
      <c r="M31" s="2466"/>
    </row>
    <row r="32" spans="1:37" ht="18" customHeight="1">
      <c r="A32" s="924" t="s">
        <v>397</v>
      </c>
      <c r="B32" s="293" t="s">
        <v>720</v>
      </c>
      <c r="C32" s="21">
        <f ca="1">IF(项目基本情况!B11="自然人","——",ROUND(C6*F32/(1+'数据-取费表'!C42),2))</f>
        <v>2.62</v>
      </c>
      <c r="D32" s="1249" t="s">
        <v>721</v>
      </c>
      <c r="E32" s="293" t="s">
        <v>709</v>
      </c>
      <c r="F32" s="321">
        <f>'数据-取费表'!B41</f>
        <v>5.5000000000000007E-2</v>
      </c>
      <c r="G32" s="1285"/>
      <c r="H32" s="2464"/>
      <c r="I32" s="1298"/>
      <c r="J32" s="1299"/>
      <c r="K32" s="120"/>
      <c r="L32" s="2465"/>
      <c r="M32" s="2466"/>
    </row>
    <row r="33" spans="1:18" ht="18" customHeight="1">
      <c r="A33" s="924" t="s">
        <v>399</v>
      </c>
      <c r="B33" s="293" t="s">
        <v>724</v>
      </c>
      <c r="C33" s="21">
        <f ca="1">IF(项目基本情况!B11="自然人","——",IF(D33="按租金收入计税",ROUND(C6*F33/(1+'数据-取费表'!C42),2),IF(D33="按房产原值计税",ROUND(C29*F33*0.7,2),INDIRECT("'数据-取费表'!Aj"&amp;$G$1))))</f>
        <v>5.71</v>
      </c>
      <c r="D33" s="1271" t="s">
        <v>3324</v>
      </c>
      <c r="E33" s="293" t="s">
        <v>709</v>
      </c>
      <c r="F33" s="313">
        <f>IF(D33="按票据","——",IF(D33="按租金收入计税",'数据-取费表'!B51,'数据-取费表'!B50))</f>
        <v>0.12</v>
      </c>
      <c r="G33" s="1285"/>
      <c r="H33" s="2467"/>
      <c r="I33" s="1298"/>
      <c r="J33" s="1299"/>
      <c r="K33" s="2468"/>
      <c r="L33" s="2467"/>
      <c r="M33" s="2467"/>
    </row>
    <row r="34" spans="1:18" ht="18" customHeight="1">
      <c r="A34" s="1001" t="s">
        <v>677</v>
      </c>
      <c r="B34" s="146" t="s">
        <v>727</v>
      </c>
      <c r="C34" s="22">
        <f ca="1">IF(项目基本情况!B11="自然人","——",ROUND(F34*F35/10000,2))</f>
        <v>0.01</v>
      </c>
      <c r="D34" s="315" t="s">
        <v>728</v>
      </c>
      <c r="E34" s="293" t="s">
        <v>729</v>
      </c>
      <c r="F34" s="316">
        <f>'数据-取费表'!B52</f>
        <v>1.5</v>
      </c>
      <c r="G34" s="1285"/>
      <c r="H34" s="2464"/>
      <c r="I34" s="1298"/>
      <c r="J34" s="1299"/>
      <c r="K34" s="2469"/>
      <c r="L34" s="2470"/>
      <c r="M34" s="2470"/>
    </row>
    <row r="35" spans="1:18" ht="18" customHeight="1">
      <c r="A35" s="1035"/>
      <c r="B35" s="1033"/>
      <c r="C35" s="26"/>
      <c r="D35" s="318"/>
      <c r="E35" s="293" t="s">
        <v>733</v>
      </c>
      <c r="F35" s="294">
        <f ca="1">INDIRECT("'数据-取费表'!r"&amp;$G$1)</f>
        <v>93.1</v>
      </c>
      <c r="G35" s="1285"/>
      <c r="H35" s="2464"/>
      <c r="I35" s="1298"/>
      <c r="J35" s="1299"/>
      <c r="K35" s="2468"/>
      <c r="L35" s="2467"/>
      <c r="M35" s="2467"/>
    </row>
    <row r="36" spans="1:18" ht="18" customHeight="1">
      <c r="A36" s="1034" t="s">
        <v>402</v>
      </c>
      <c r="B36" s="293" t="s">
        <v>735</v>
      </c>
      <c r="C36" s="21">
        <f ca="1">ROUND(C29*F36,2)</f>
        <v>1.34</v>
      </c>
      <c r="D36" s="1249" t="s">
        <v>768</v>
      </c>
      <c r="E36" s="293" t="s">
        <v>709</v>
      </c>
      <c r="F36" s="319">
        <f ca="1">INDIRECT("'数据-取费表'!Ak"&amp;$G$1)</f>
        <v>2E-3</v>
      </c>
      <c r="G36" s="1285"/>
      <c r="H36" s="2467"/>
      <c r="I36" s="1298"/>
      <c r="J36" s="1299"/>
      <c r="K36" s="2324"/>
      <c r="L36" s="2467"/>
      <c r="M36" s="2467"/>
    </row>
    <row r="37" spans="1:18" ht="18" customHeight="1">
      <c r="A37" s="924" t="s">
        <v>437</v>
      </c>
      <c r="B37" s="293" t="s">
        <v>739</v>
      </c>
      <c r="C37" s="21">
        <f ca="1">ROUND(C13*F37,2)</f>
        <v>0.65</v>
      </c>
      <c r="D37" s="1249" t="s">
        <v>740</v>
      </c>
      <c r="E37" s="293" t="s">
        <v>709</v>
      </c>
      <c r="F37" s="320">
        <f ca="1">INDIRECT("'数据-取费表'!Al"&amp;$G$1)</f>
        <v>1E-3</v>
      </c>
      <c r="G37" s="1285"/>
      <c r="H37" s="2467"/>
      <c r="I37" s="1298"/>
      <c r="J37" s="1299"/>
      <c r="K37" s="2324"/>
      <c r="L37" s="2467"/>
      <c r="M37" s="2467"/>
    </row>
    <row r="38" spans="1:18" ht="18" customHeight="1" thickBot="1">
      <c r="A38" s="1021" t="s">
        <v>680</v>
      </c>
      <c r="B38" s="1022" t="s">
        <v>725</v>
      </c>
      <c r="C38" s="1023">
        <f ca="1">ROUND(C5*F38,2)</f>
        <v>0.5</v>
      </c>
      <c r="D38" s="1024" t="s">
        <v>745</v>
      </c>
      <c r="E38" s="1022" t="s">
        <v>709</v>
      </c>
      <c r="F38" s="1018">
        <f ca="1">INDIRECT("'数据-取费表'!Am"&amp;$G$1)</f>
        <v>0.01</v>
      </c>
      <c r="G38" s="1285"/>
      <c r="H38" s="2467"/>
      <c r="I38" s="1298"/>
      <c r="J38" s="1299"/>
      <c r="K38" s="2465"/>
      <c r="L38" s="2467"/>
      <c r="M38" s="2467"/>
    </row>
    <row r="39" spans="1:18" ht="24.6" customHeight="1" thickTop="1">
      <c r="A39" s="1011" t="s">
        <v>394</v>
      </c>
      <c r="B39" s="1026" t="s">
        <v>749</v>
      </c>
      <c r="C39" s="301">
        <f ca="1">C5-C30</f>
        <v>39</v>
      </c>
      <c r="D39" s="1027" t="s">
        <v>750</v>
      </c>
      <c r="E39" s="1028"/>
      <c r="F39" s="1029"/>
      <c r="G39" s="1285"/>
      <c r="H39" s="2467"/>
      <c r="I39" s="1298"/>
      <c r="J39" s="1299"/>
      <c r="K39" s="2465"/>
      <c r="L39" s="2467"/>
      <c r="M39" s="2467"/>
    </row>
    <row r="40" spans="1:18" ht="18" customHeight="1">
      <c r="A40" s="290" t="s">
        <v>395</v>
      </c>
      <c r="B40" s="291" t="s">
        <v>771</v>
      </c>
      <c r="C40" s="292">
        <f ca="1">ROUND(C39*(1-((1+F42)/(1+F40))^F41)/(F40-F42),0)</f>
        <v>839</v>
      </c>
      <c r="D40" s="315" t="s">
        <v>755</v>
      </c>
      <c r="E40" s="293" t="s">
        <v>756</v>
      </c>
      <c r="F40" s="303">
        <f ca="1">INDIRECT("'数据-取费表'!I"&amp;$G$1)</f>
        <v>5.5E-2</v>
      </c>
      <c r="G40" s="1285"/>
      <c r="H40" s="1359"/>
      <c r="I40" s="1298"/>
      <c r="J40" s="1299"/>
      <c r="K40" s="2465"/>
      <c r="L40" s="1359"/>
      <c r="M40" s="1359"/>
    </row>
    <row r="41" spans="1:18" ht="18" customHeight="1">
      <c r="A41" s="295"/>
      <c r="B41" s="296"/>
      <c r="C41" s="297"/>
      <c r="D41" s="322" t="s">
        <v>772</v>
      </c>
      <c r="E41" s="293" t="s">
        <v>760</v>
      </c>
      <c r="F41" s="323">
        <f ca="1">IF(INDIRECT("'数据-取费表'!af"&amp;$G$1)=0,INDIRECT("'数据-取费表'!ae"&amp;$G$1),INDIRECT("'数据-取费表'!af"&amp;$G$1))</f>
        <v>41.47</v>
      </c>
      <c r="G41" s="1285"/>
      <c r="H41" s="120"/>
      <c r="I41" s="1298"/>
      <c r="J41" s="1299"/>
      <c r="K41" s="2324"/>
      <c r="L41" s="120"/>
      <c r="M41" s="120"/>
    </row>
    <row r="42" spans="1:18" ht="18" customHeight="1">
      <c r="A42" s="299"/>
      <c r="B42" s="300"/>
      <c r="C42" s="301"/>
      <c r="D42" s="318"/>
      <c r="E42" s="293" t="s">
        <v>763</v>
      </c>
      <c r="F42" s="303">
        <f ca="1">INDIRECT("'数据-取费表'!v"&amp;$G$1)</f>
        <v>0.02</v>
      </c>
      <c r="G42" s="1285"/>
      <c r="H42" s="120"/>
      <c r="I42" s="1298"/>
      <c r="J42" s="1299"/>
      <c r="K42" s="2324"/>
      <c r="L42" s="120"/>
      <c r="M42" s="120"/>
    </row>
    <row r="43" spans="1:18" ht="18" customHeight="1" thickBot="1">
      <c r="A43" s="324" t="s">
        <v>396</v>
      </c>
      <c r="B43" s="325" t="s">
        <v>773</v>
      </c>
      <c r="C43" s="326">
        <f ca="1">ROUND(C40*10000/F43,0)</f>
        <v>11115</v>
      </c>
      <c r="D43" s="327" t="s">
        <v>774</v>
      </c>
      <c r="E43" s="328" t="s">
        <v>775</v>
      </c>
      <c r="F43" s="329">
        <f ca="1">INDIRECT("'数据-取费表'!k"&amp;$G$1)</f>
        <v>754.84</v>
      </c>
      <c r="G43" s="1285"/>
      <c r="H43" s="120"/>
      <c r="I43" s="120"/>
      <c r="J43" s="120"/>
      <c r="K43" s="2324"/>
      <c r="L43" s="120"/>
      <c r="M43" s="120"/>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3"/>
      <c r="O45" s="2471" t="s">
        <v>805</v>
      </c>
      <c r="P45" s="1359"/>
      <c r="Q45" s="1359"/>
      <c r="R45" s="1359"/>
    </row>
    <row r="46" spans="1:18" s="1285" customFormat="1" ht="13.5" thickBot="1">
      <c r="A46" s="1304" t="s">
        <v>806</v>
      </c>
      <c r="C46" s="1305">
        <f ca="1">C68-C40</f>
        <v>-871</v>
      </c>
      <c r="D46" s="1306" t="str">
        <f>C2</f>
        <v>万元</v>
      </c>
      <c r="E46" s="1300"/>
      <c r="F46" s="1300"/>
      <c r="I46" s="1307" t="s">
        <v>807</v>
      </c>
      <c r="J46" s="1308"/>
      <c r="K46" s="1309"/>
      <c r="L46" s="1310">
        <f ca="1">IF(M47="住宅",0,IF(L48&gt;J51,L60,J60))</f>
        <v>13</v>
      </c>
      <c r="O46" s="1311" t="s">
        <v>808</v>
      </c>
      <c r="P46" s="1312" t="s">
        <v>809</v>
      </c>
      <c r="Q46" s="1313" t="s">
        <v>810</v>
      </c>
      <c r="R46" s="1313" t="s">
        <v>811</v>
      </c>
    </row>
    <row r="47" spans="1:18" s="1285" customFormat="1" ht="13.5" thickBot="1">
      <c r="A47" s="888" t="s">
        <v>684</v>
      </c>
      <c r="B47" s="920" t="s">
        <v>685</v>
      </c>
      <c r="C47" s="1049" t="s">
        <v>686</v>
      </c>
      <c r="D47" s="920" t="s">
        <v>687</v>
      </c>
      <c r="E47" s="990" t="s">
        <v>688</v>
      </c>
      <c r="F47" s="991"/>
      <c r="G47" s="679"/>
      <c r="I47" s="1314" t="s">
        <v>812</v>
      </c>
      <c r="J47" s="1315" t="s">
        <v>4184</v>
      </c>
      <c r="K47" s="1316" t="s">
        <v>813</v>
      </c>
      <c r="L47" s="1317">
        <f ca="1">INDIRECT("'数据-取费表'!d"&amp;$G$1)</f>
        <v>50</v>
      </c>
      <c r="M47" s="1281" t="str">
        <f>IF(ISNUMBER(FIND("住宅",C1)),"住宅","非住宅")</f>
        <v>非住宅</v>
      </c>
      <c r="O47" s="1318" t="s">
        <v>403</v>
      </c>
      <c r="P47" s="1319" t="s">
        <v>814</v>
      </c>
      <c r="Q47" s="1320">
        <f ca="1">C40+J29</f>
        <v>839</v>
      </c>
      <c r="R47" s="1320" t="s">
        <v>815</v>
      </c>
    </row>
    <row r="48" spans="1:18" s="1285" customFormat="1" ht="28.5" thickBot="1">
      <c r="A48" s="1042" t="s">
        <v>438</v>
      </c>
      <c r="B48" s="291" t="s">
        <v>689</v>
      </c>
      <c r="C48" s="1261">
        <f ca="1">C49+C53+C55</f>
        <v>0</v>
      </c>
      <c r="D48" s="1044"/>
      <c r="E48" s="1045"/>
      <c r="F48" s="904"/>
      <c r="G48" s="679"/>
      <c r="H48" s="680"/>
      <c r="I48" s="1321" t="s">
        <v>816</v>
      </c>
      <c r="J48" s="1322" t="s">
        <v>4185</v>
      </c>
      <c r="K48" s="1323" t="s">
        <v>817</v>
      </c>
      <c r="L48" s="1324">
        <f ca="1">INDIRECT("'数据-取费表'!f"&amp;$G$1)</f>
        <v>41.47</v>
      </c>
      <c r="O48" s="1318" t="s">
        <v>404</v>
      </c>
      <c r="P48" s="1319" t="s">
        <v>818</v>
      </c>
      <c r="Q48" s="1320">
        <f ca="1">J60</f>
        <v>13</v>
      </c>
      <c r="R48" s="1320" t="s">
        <v>819</v>
      </c>
    </row>
    <row r="49" spans="1:18" s="1285" customFormat="1" ht="13.5" thickBot="1">
      <c r="A49" s="917" t="s">
        <v>439</v>
      </c>
      <c r="B49" s="1272" t="s">
        <v>776</v>
      </c>
      <c r="C49" s="1046">
        <f ca="1">ROUND(F49*F51*F50*(1-F52)/10000,0)</f>
        <v>0</v>
      </c>
      <c r="D49" s="987" t="s">
        <v>2104</v>
      </c>
      <c r="E49" s="1273" t="s">
        <v>777</v>
      </c>
      <c r="F49" s="992"/>
      <c r="H49" s="680"/>
      <c r="I49" s="1321" t="s">
        <v>820</v>
      </c>
      <c r="J49" s="1325">
        <v>2021</v>
      </c>
      <c r="K49" s="1323" t="s">
        <v>821</v>
      </c>
      <c r="L49" s="1326"/>
      <c r="O49" s="1327" t="s">
        <v>405</v>
      </c>
      <c r="P49" s="1319" t="s">
        <v>822</v>
      </c>
      <c r="Q49" s="1320">
        <f ca="1">C29</f>
        <v>671</v>
      </c>
      <c r="R49" s="1320" t="s">
        <v>815</v>
      </c>
    </row>
    <row r="50" spans="1:18" s="1285" customFormat="1" ht="13.5" thickBot="1">
      <c r="A50" s="918"/>
      <c r="B50" s="921"/>
      <c r="C50" s="1050"/>
      <c r="D50" s="895"/>
      <c r="E50" s="988" t="s">
        <v>694</v>
      </c>
      <c r="F50" s="989">
        <f ca="1">F7</f>
        <v>754.84</v>
      </c>
      <c r="H50" s="680"/>
      <c r="I50" s="1321" t="s">
        <v>823</v>
      </c>
      <c r="J50" s="1328">
        <f>SUMPRODUCT((I63:I65=J47)*(J62:L62=J48)*(J63:L65))</f>
        <v>60</v>
      </c>
      <c r="K50" s="1323" t="s">
        <v>824</v>
      </c>
      <c r="L50" s="1326"/>
      <c r="M50" s="1329"/>
      <c r="O50" s="1327" t="s">
        <v>406</v>
      </c>
      <c r="P50" s="1319" t="s">
        <v>825</v>
      </c>
      <c r="Q50" s="1330">
        <f ca="1">J58</f>
        <v>0.4</v>
      </c>
      <c r="R50" s="1320"/>
    </row>
    <row r="51" spans="1:18" s="1285" customFormat="1" ht="13.5" thickBot="1">
      <c r="A51" s="919"/>
      <c r="B51" s="921"/>
      <c r="C51" s="922"/>
      <c r="D51" s="895"/>
      <c r="E51" s="923" t="s">
        <v>695</v>
      </c>
      <c r="F51" s="294">
        <f ca="1">F8</f>
        <v>365</v>
      </c>
      <c r="I51" s="1331" t="s">
        <v>826</v>
      </c>
      <c r="J51" s="1324">
        <f>IF(J49="",J50,J49+J50-YEAR('数据-取费表'!B2))</f>
        <v>57</v>
      </c>
      <c r="K51" s="1332" t="s">
        <v>827</v>
      </c>
      <c r="L51" s="1333">
        <f ca="1">ROUND(-PV(INDIRECT("'数据-取费表'!h"&amp;$G$1),J51,(C39-C13*C76),0),0)</f>
        <v>-123</v>
      </c>
      <c r="M51" s="1334"/>
      <c r="O51" s="1327" t="s">
        <v>407</v>
      </c>
      <c r="P51" s="1319" t="s">
        <v>828</v>
      </c>
      <c r="Q51" s="1330">
        <f>J52</f>
        <v>7.4999999999999997E-2</v>
      </c>
      <c r="R51" s="1320"/>
    </row>
    <row r="52" spans="1:18" s="1285" customFormat="1" ht="13.5" thickBot="1">
      <c r="A52" s="919"/>
      <c r="B52" s="921"/>
      <c r="C52" s="922"/>
      <c r="D52" s="895"/>
      <c r="E52" s="923" t="s">
        <v>696</v>
      </c>
      <c r="F52" s="986"/>
      <c r="I52" s="1335" t="s">
        <v>829</v>
      </c>
      <c r="J52" s="1336">
        <v>7.4999999999999997E-2</v>
      </c>
      <c r="K52" s="1335" t="s">
        <v>830</v>
      </c>
      <c r="L52" s="1336"/>
      <c r="O52" s="1327" t="s">
        <v>408</v>
      </c>
      <c r="P52" s="1319" t="s">
        <v>831</v>
      </c>
      <c r="Q52" s="1320">
        <f ca="1">J53</f>
        <v>41.47</v>
      </c>
      <c r="R52" s="1320" t="s">
        <v>832</v>
      </c>
    </row>
    <row r="53" spans="1:18" s="1285" customFormat="1" ht="24.75" thickBot="1">
      <c r="A53" s="1074" t="s">
        <v>440</v>
      </c>
      <c r="B53" s="1274" t="s">
        <v>697</v>
      </c>
      <c r="C53" s="307">
        <f ca="1">ROUND(IF(F53="押一",C49/12*F11,IF(F53="押二",C49/12*2*F11,IF(F53="押三",C49/12*3*F11,C54*F11))),0)</f>
        <v>0</v>
      </c>
      <c r="D53" s="149" t="s">
        <v>2112</v>
      </c>
      <c r="E53" s="304" t="s">
        <v>698</v>
      </c>
      <c r="F53" s="1048"/>
      <c r="I53" s="1337" t="s">
        <v>833</v>
      </c>
      <c r="J53" s="1999">
        <f ca="1">IF(M47="住宅",IF(D1="——",MAX(J51,L48),MAX(J51,L48-'数据-取费表'!B24)),IF(D1="——",MIN(J51,L48),MIN(J51,L48-'数据-取费表'!B24)))</f>
        <v>41.47</v>
      </c>
      <c r="K53" s="3407" t="s">
        <v>834</v>
      </c>
      <c r="L53" s="3408"/>
      <c r="O53" s="1318" t="s">
        <v>409</v>
      </c>
      <c r="P53" s="1319" t="s">
        <v>835</v>
      </c>
      <c r="Q53" s="1320">
        <f ca="1">Q47+Q48</f>
        <v>852</v>
      </c>
      <c r="R53" s="1320" t="s">
        <v>410</v>
      </c>
    </row>
    <row r="54" spans="1:18" s="1285" customFormat="1" ht="13.5" thickBot="1">
      <c r="A54" s="1075"/>
      <c r="B54" s="1268" t="s">
        <v>676</v>
      </c>
      <c r="C54" s="901"/>
      <c r="D54" s="149"/>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836</v>
      </c>
      <c r="P54" s="1282"/>
      <c r="Q54" s="1282"/>
      <c r="R54" s="1282"/>
    </row>
    <row r="55" spans="1:18" s="1285" customFormat="1" ht="13.5" thickBot="1">
      <c r="A55" s="1015" t="s">
        <v>437</v>
      </c>
      <c r="B55" s="1270" t="s">
        <v>700</v>
      </c>
      <c r="C55" s="1016"/>
      <c r="D55" s="149"/>
      <c r="E55" s="1275"/>
      <c r="F55" s="1338"/>
      <c r="I55" s="1341" t="s">
        <v>837</v>
      </c>
      <c r="J55" s="1342">
        <f ca="1">ROUND(IF(J47="钢混",J57/J50,1-(1-2%)*(J50-J57)/J50),3)</f>
        <v>0.25900000000000001</v>
      </c>
      <c r="K55" s="1343" t="s">
        <v>838</v>
      </c>
      <c r="L55" s="1344"/>
      <c r="O55" s="1311" t="s">
        <v>808</v>
      </c>
      <c r="P55" s="1312" t="s">
        <v>809</v>
      </c>
      <c r="Q55" s="1313" t="s">
        <v>810</v>
      </c>
      <c r="R55" s="1313" t="s">
        <v>811</v>
      </c>
    </row>
    <row r="56" spans="1:18" s="1285" customFormat="1" ht="25.5" thickTop="1" thickBot="1">
      <c r="A56" s="899">
        <v>2</v>
      </c>
      <c r="B56" s="900" t="s">
        <v>701</v>
      </c>
      <c r="C56" s="223">
        <f ca="1">C13</f>
        <v>651</v>
      </c>
      <c r="D56" s="1345"/>
      <c r="E56" s="1346"/>
      <c r="F56" s="1338"/>
      <c r="I56" s="1347" t="s">
        <v>839</v>
      </c>
      <c r="J56" s="1348" t="s">
        <v>4156</v>
      </c>
      <c r="K56" s="1321" t="s">
        <v>840</v>
      </c>
      <c r="L56" s="1324" t="str">
        <f ca="1">IF(L48&lt;J51,"——",L48-J53)</f>
        <v>——</v>
      </c>
      <c r="O56" s="1318" t="s">
        <v>403</v>
      </c>
      <c r="P56" s="1319" t="s">
        <v>814</v>
      </c>
      <c r="Q56" s="1320">
        <f ca="1">C40+J29</f>
        <v>839</v>
      </c>
      <c r="R56" s="1320" t="s">
        <v>815</v>
      </c>
    </row>
    <row r="57" spans="1:18" s="1285" customFormat="1" ht="24.75" thickBot="1">
      <c r="A57" s="1349"/>
      <c r="B57" s="892" t="s">
        <v>764</v>
      </c>
      <c r="C57" s="229">
        <f ca="1">C29</f>
        <v>671</v>
      </c>
      <c r="D57" s="1350"/>
      <c r="E57" s="1351"/>
      <c r="F57" s="1352"/>
      <c r="I57" s="1353" t="s">
        <v>841</v>
      </c>
      <c r="J57" s="1354">
        <f ca="1">IF(OR(M47="住宅",J51&lt;L48,J56="是"),"——",J51-L48)</f>
        <v>15.530000000000001</v>
      </c>
      <c r="K57" s="1321" t="s">
        <v>842</v>
      </c>
      <c r="L57" s="1324" t="str">
        <f ca="1">IF(L48&lt;J51,"——",IF(L55="比较法",L49,IF(L55="基准地价",L50,L51)))</f>
        <v>——</v>
      </c>
      <c r="O57" s="1318" t="s">
        <v>404</v>
      </c>
      <c r="P57" s="1319" t="s">
        <v>843</v>
      </c>
      <c r="Q57" s="1320">
        <f ca="1">L60</f>
        <v>0</v>
      </c>
      <c r="R57" s="1320" t="s">
        <v>844</v>
      </c>
    </row>
    <row r="58" spans="1:18" s="1285" customFormat="1" ht="24.75" thickBot="1">
      <c r="A58" s="306" t="s">
        <v>393</v>
      </c>
      <c r="B58" s="900" t="s">
        <v>711</v>
      </c>
      <c r="C58" s="307">
        <f ca="1">ROUND(C59+C64+C65+C66,0)</f>
        <v>2</v>
      </c>
      <c r="D58" s="902" t="s">
        <v>712</v>
      </c>
      <c r="E58" s="903"/>
      <c r="F58" s="904"/>
      <c r="I58" s="1353" t="s">
        <v>845</v>
      </c>
      <c r="J58" s="1355">
        <f ca="1">IF(J55&lt;0.4,0.4,J55)</f>
        <v>0.4</v>
      </c>
      <c r="K58" s="1332" t="s">
        <v>846</v>
      </c>
      <c r="L58" s="1324" t="e">
        <f ca="1">ROUND(POWER(1+L52,L47-L48)*(POWER(1+L52,L48)-1)/(POWER(1+L52,L47)-1),4)</f>
        <v>#DIV/0!</v>
      </c>
      <c r="O58" s="1327" t="s">
        <v>405</v>
      </c>
      <c r="P58" s="1319" t="s">
        <v>847</v>
      </c>
      <c r="Q58" s="1320">
        <f>IF(L55="比较法",L49,IF(L55="基准地价",L50,0))</f>
        <v>0</v>
      </c>
      <c r="R58" s="1320" t="s">
        <v>815</v>
      </c>
    </row>
    <row r="59" spans="1:18" s="1285" customFormat="1" ht="24.75" thickBot="1">
      <c r="A59" s="924" t="s">
        <v>398</v>
      </c>
      <c r="B59" s="892" t="s">
        <v>716</v>
      </c>
      <c r="C59" s="2133">
        <f ca="1">ROUND(IF(AND(项目基本情况!B11="自然人",项目基本情况!B10="北京市"),C49*F59/(1+'数据-取费表'!C42),C60+C61+C62),0)</f>
        <v>0</v>
      </c>
      <c r="D59" s="905" t="s">
        <v>717</v>
      </c>
      <c r="E59" s="906" t="s">
        <v>718</v>
      </c>
      <c r="F59" s="2132" t="str">
        <f>IF(项目基本情况!B11="企业","——",IF('数据-取费表'!B10="住宅",IF(F49*F50*F51/12/(1+'数据-取费表'!F30)&gt;100000,4%,2.5%),IF(F49*F50*F51/12/(1+'数据-取费表'!F30)&gt;100000,12%,7%)))</f>
        <v>——</v>
      </c>
      <c r="I59" s="1353" t="s">
        <v>848</v>
      </c>
      <c r="J59" s="1354">
        <f ca="1">IF(OR(M47="住宅",J51&lt;L48,J56="是"),"——",ROUND(C29*J58,0))</f>
        <v>268</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849</v>
      </c>
      <c r="Q59" s="1330">
        <f>L52</f>
        <v>0</v>
      </c>
      <c r="R59" s="1320"/>
    </row>
    <row r="60" spans="1:18" s="1285" customFormat="1" ht="16.5" thickBot="1">
      <c r="A60" s="924" t="s">
        <v>397</v>
      </c>
      <c r="B60" s="892" t="s">
        <v>720</v>
      </c>
      <c r="C60" s="21">
        <f ca="1">IF(项目基本情况!B11="自然人","——",ROUND(C48*F60/(1+'数据-取费表'!C42),2))</f>
        <v>0</v>
      </c>
      <c r="D60" s="906" t="s">
        <v>721</v>
      </c>
      <c r="E60" s="892" t="s">
        <v>709</v>
      </c>
      <c r="F60" s="321">
        <f t="shared" ref="F60:F66" si="0">F32</f>
        <v>5.5000000000000007E-2</v>
      </c>
      <c r="I60" s="1356" t="s">
        <v>850</v>
      </c>
      <c r="J60" s="1357">
        <f ca="1">IF(OR(M47="住宅",J51&lt;L48,J56="是"),"0",ROUND(J59/(1+J52)^J53,0))</f>
        <v>13</v>
      </c>
      <c r="K60" s="1358" t="s">
        <v>851</v>
      </c>
      <c r="L60" s="1357">
        <f ca="1">IF(OR(M47="住宅",L48&lt;J51),0,ROUND(L57*(L58/L59-1),0))</f>
        <v>0</v>
      </c>
      <c r="O60" s="1327" t="s">
        <v>407</v>
      </c>
      <c r="P60" s="1319" t="s">
        <v>852</v>
      </c>
      <c r="Q60" s="1320" t="e">
        <f ca="1">L58</f>
        <v>#DIV/0!</v>
      </c>
      <c r="R60" s="1320" t="s">
        <v>853</v>
      </c>
    </row>
    <row r="61" spans="1:18" s="1285" customFormat="1" ht="13.5" thickBot="1">
      <c r="A61" s="924" t="s">
        <v>778</v>
      </c>
      <c r="B61" s="892" t="s">
        <v>724</v>
      </c>
      <c r="C61" s="21">
        <f ca="1">IF(项目基本情况!B11="自然人","——",IF(D61="按租金收入计税",ROUND(C49*F61/(1+'数据-取费表'!C42),2),IF(D61="按房产原值计税",ROUND(C57*F61*0.7,2),INDIRECT("'数据-取费表'!Aj"&amp;$G$1))))</f>
        <v>0</v>
      </c>
      <c r="D61" s="1271" t="s">
        <v>3324</v>
      </c>
      <c r="E61" s="892" t="s">
        <v>709</v>
      </c>
      <c r="F61" s="313">
        <f t="shared" si="0"/>
        <v>0.12</v>
      </c>
      <c r="I61" s="1359"/>
      <c r="J61" s="1359"/>
      <c r="K61" s="1359"/>
      <c r="L61" s="1359"/>
      <c r="O61" s="1327" t="s">
        <v>408</v>
      </c>
      <c r="P61" s="1319" t="str">
        <f>K59</f>
        <v>建筑物剩余耐用年限下的土地年期修正系数Kn</v>
      </c>
      <c r="Q61" s="1320" t="e">
        <f ca="1">L59</f>
        <v>#DIV/0!</v>
      </c>
      <c r="R61" s="1320" t="s">
        <v>854</v>
      </c>
    </row>
    <row r="62" spans="1:18" s="1285" customFormat="1" ht="13.5" thickBot="1">
      <c r="A62" s="924" t="s">
        <v>781</v>
      </c>
      <c r="B62" s="891" t="s">
        <v>727</v>
      </c>
      <c r="C62" s="22">
        <f ca="1">IF(项目基本情况!B11="自然人","——",ROUND(F62*F63/10000,2))</f>
        <v>0.01</v>
      </c>
      <c r="D62" s="907" t="s">
        <v>728</v>
      </c>
      <c r="E62" s="892" t="s">
        <v>729</v>
      </c>
      <c r="F62" s="316">
        <f t="shared" si="0"/>
        <v>1.5</v>
      </c>
      <c r="I62" s="1360" t="s">
        <v>855</v>
      </c>
      <c r="J62" s="608" t="s">
        <v>856</v>
      </c>
      <c r="K62" s="608" t="s">
        <v>857</v>
      </c>
      <c r="L62" s="608" t="s">
        <v>858</v>
      </c>
      <c r="M62" s="1361" t="s">
        <v>859</v>
      </c>
      <c r="O62" s="1318" t="s">
        <v>409</v>
      </c>
      <c r="P62" s="1319" t="s">
        <v>835</v>
      </c>
      <c r="Q62" s="1320">
        <f ca="1">Q56+Q57</f>
        <v>839</v>
      </c>
      <c r="R62" s="1320" t="s">
        <v>410</v>
      </c>
    </row>
    <row r="63" spans="1:18" s="1285" customFormat="1" ht="13.5" thickBot="1">
      <c r="A63" s="317"/>
      <c r="B63" s="898"/>
      <c r="C63" s="26"/>
      <c r="D63" s="908"/>
      <c r="E63" s="892" t="s">
        <v>733</v>
      </c>
      <c r="F63" s="294">
        <f t="shared" ca="1" si="0"/>
        <v>93.1</v>
      </c>
      <c r="I63" s="1360" t="s">
        <v>861</v>
      </c>
      <c r="J63" s="608">
        <v>70</v>
      </c>
      <c r="K63" s="608">
        <v>50</v>
      </c>
      <c r="L63" s="608">
        <v>80</v>
      </c>
      <c r="M63" s="1362">
        <v>0.02</v>
      </c>
      <c r="O63" s="1303" t="s">
        <v>862</v>
      </c>
      <c r="P63" s="1282"/>
      <c r="Q63" s="1282"/>
      <c r="R63" s="1282"/>
    </row>
    <row r="64" spans="1:18" s="1285" customFormat="1" ht="13.5" thickBot="1">
      <c r="A64" s="924" t="s">
        <v>402</v>
      </c>
      <c r="B64" s="892" t="s">
        <v>735</v>
      </c>
      <c r="C64" s="21">
        <f ca="1">ROUND(C57*F64,2)</f>
        <v>1.34</v>
      </c>
      <c r="D64" s="906" t="s">
        <v>768</v>
      </c>
      <c r="E64" s="892" t="s">
        <v>709</v>
      </c>
      <c r="F64" s="319">
        <f t="shared" ca="1" si="0"/>
        <v>2E-3</v>
      </c>
      <c r="I64" s="1360" t="s">
        <v>863</v>
      </c>
      <c r="J64" s="608">
        <v>50</v>
      </c>
      <c r="K64" s="608">
        <v>35</v>
      </c>
      <c r="L64" s="608">
        <v>60</v>
      </c>
      <c r="M64" s="1361">
        <v>0</v>
      </c>
      <c r="O64" s="1311" t="s">
        <v>808</v>
      </c>
      <c r="P64" s="1312" t="s">
        <v>809</v>
      </c>
      <c r="Q64" s="1313" t="s">
        <v>810</v>
      </c>
      <c r="R64" s="1313" t="s">
        <v>811</v>
      </c>
    </row>
    <row r="65" spans="1:18" s="1285" customFormat="1" ht="13.5" thickBot="1">
      <c r="A65" s="924" t="s">
        <v>789</v>
      </c>
      <c r="B65" s="892" t="s">
        <v>739</v>
      </c>
      <c r="C65" s="21">
        <f ca="1">ROUND(C56*F65,2)</f>
        <v>0.65</v>
      </c>
      <c r="D65" s="906" t="s">
        <v>740</v>
      </c>
      <c r="E65" s="892" t="s">
        <v>709</v>
      </c>
      <c r="F65" s="320">
        <f t="shared" ca="1" si="0"/>
        <v>1E-3</v>
      </c>
      <c r="I65" s="1360" t="s">
        <v>864</v>
      </c>
      <c r="J65" s="608">
        <v>40</v>
      </c>
      <c r="K65" s="608">
        <v>30</v>
      </c>
      <c r="L65" s="608">
        <v>50</v>
      </c>
      <c r="M65" s="1362">
        <v>0.02</v>
      </c>
      <c r="O65" s="1318" t="s">
        <v>403</v>
      </c>
      <c r="P65" s="1319" t="s">
        <v>814</v>
      </c>
      <c r="Q65" s="1320">
        <f ca="1">C40+J29</f>
        <v>839</v>
      </c>
      <c r="R65" s="1320" t="s">
        <v>815</v>
      </c>
    </row>
    <row r="66" spans="1:18" s="1285" customFormat="1" ht="16.5" thickBot="1">
      <c r="A66" s="924" t="s">
        <v>790</v>
      </c>
      <c r="B66" s="892" t="s">
        <v>725</v>
      </c>
      <c r="C66" s="21">
        <f ca="1">ROUND(C48*F66,2)</f>
        <v>0</v>
      </c>
      <c r="D66" s="906" t="s">
        <v>745</v>
      </c>
      <c r="E66" s="892" t="s">
        <v>709</v>
      </c>
      <c r="F66" s="303">
        <f t="shared" ca="1" si="0"/>
        <v>0.01</v>
      </c>
      <c r="O66" s="1318" t="s">
        <v>404</v>
      </c>
      <c r="P66" s="1319" t="s">
        <v>843</v>
      </c>
      <c r="Q66" s="1320">
        <f ca="1">L60</f>
        <v>0</v>
      </c>
      <c r="R66" s="1320" t="s">
        <v>866</v>
      </c>
    </row>
    <row r="67" spans="1:18" s="1285" customFormat="1" ht="16.5" thickBot="1">
      <c r="A67" s="899" t="s">
        <v>394</v>
      </c>
      <c r="B67" s="909" t="s">
        <v>749</v>
      </c>
      <c r="C67" s="307">
        <f ca="1">C48-C58</f>
        <v>-2</v>
      </c>
      <c r="D67" s="905" t="s">
        <v>750</v>
      </c>
      <c r="E67" s="910"/>
      <c r="F67" s="911"/>
      <c r="O67" s="1327" t="s">
        <v>405</v>
      </c>
      <c r="P67" s="1319" t="s">
        <v>847</v>
      </c>
      <c r="Q67" s="1363">
        <f ca="1">L51</f>
        <v>-123</v>
      </c>
      <c r="R67" s="1320" t="s">
        <v>867</v>
      </c>
    </row>
    <row r="68" spans="1:18" s="1285" customFormat="1" ht="16.5" thickBot="1">
      <c r="A68" s="889" t="s">
        <v>395</v>
      </c>
      <c r="B68" s="890" t="s">
        <v>771</v>
      </c>
      <c r="C68" s="292">
        <f ca="1">ROUND(C67*(1-((1+F70)/(1+F68))^F69)/(F68-F70),0)</f>
        <v>-32</v>
      </c>
      <c r="D68" s="907" t="s">
        <v>755</v>
      </c>
      <c r="E68" s="892" t="s">
        <v>756</v>
      </c>
      <c r="F68" s="303">
        <f ca="1">F40</f>
        <v>5.5E-2</v>
      </c>
      <c r="O68" s="1327" t="s">
        <v>406</v>
      </c>
      <c r="P68" s="1364" t="s">
        <v>868</v>
      </c>
      <c r="Q68" s="1320">
        <f ca="1">ROUND(Q69-Q70*Q71,0)</f>
        <v>-7</v>
      </c>
      <c r="R68" s="1320" t="s">
        <v>414</v>
      </c>
    </row>
    <row r="69" spans="1:18" s="1285" customFormat="1" ht="13.5" thickBot="1">
      <c r="A69" s="893"/>
      <c r="B69" s="894"/>
      <c r="C69" s="297"/>
      <c r="D69" s="912" t="s">
        <v>759</v>
      </c>
      <c r="E69" s="892" t="s">
        <v>760</v>
      </c>
      <c r="F69" s="323">
        <f ca="1">F41</f>
        <v>41.47</v>
      </c>
      <c r="O69" s="1327" t="s">
        <v>411</v>
      </c>
      <c r="P69" s="1364" t="s">
        <v>869</v>
      </c>
      <c r="Q69" s="1320">
        <f ca="1">C39</f>
        <v>39</v>
      </c>
      <c r="R69" s="1320" t="s">
        <v>815</v>
      </c>
    </row>
    <row r="70" spans="1:18" s="1285" customFormat="1" ht="13.5" thickBot="1">
      <c r="A70" s="896"/>
      <c r="B70" s="897"/>
      <c r="C70" s="301"/>
      <c r="D70" s="908"/>
      <c r="E70" s="892" t="s">
        <v>763</v>
      </c>
      <c r="F70" s="986"/>
      <c r="O70" s="1327" t="s">
        <v>412</v>
      </c>
      <c r="P70" s="1364" t="s">
        <v>870</v>
      </c>
      <c r="Q70" s="1320">
        <f ca="1">C13</f>
        <v>651</v>
      </c>
      <c r="R70" s="1320" t="s">
        <v>815</v>
      </c>
    </row>
    <row r="71" spans="1:18" s="1285" customFormat="1" ht="13.5" thickBot="1">
      <c r="A71" s="913" t="s">
        <v>396</v>
      </c>
      <c r="B71" s="914" t="s">
        <v>773</v>
      </c>
      <c r="C71" s="326">
        <f ca="1">ROUND(C68*10000/F71,0)</f>
        <v>-424</v>
      </c>
      <c r="D71" s="915" t="s">
        <v>774</v>
      </c>
      <c r="E71" s="916" t="s">
        <v>775</v>
      </c>
      <c r="F71" s="329">
        <f ca="1">F43</f>
        <v>754.84</v>
      </c>
      <c r="O71" s="1327" t="s">
        <v>413</v>
      </c>
      <c r="P71" s="1364" t="s">
        <v>871</v>
      </c>
      <c r="Q71" s="1330">
        <f ca="1">C76</f>
        <v>7.0000000000000007E-2</v>
      </c>
      <c r="R71" s="1320"/>
    </row>
    <row r="72" spans="1:18" s="1285" customFormat="1" ht="13.5" thickBot="1">
      <c r="B72" s="683"/>
      <c r="C72" s="683"/>
      <c r="O72" s="1327" t="s">
        <v>407</v>
      </c>
      <c r="P72" s="1319" t="s">
        <v>849</v>
      </c>
      <c r="Q72" s="1330">
        <f>L52</f>
        <v>0</v>
      </c>
      <c r="R72" s="1320"/>
    </row>
    <row r="73" spans="1:18" ht="16.5" thickBot="1">
      <c r="A73" s="1285"/>
      <c r="B73" s="683"/>
      <c r="C73" s="683"/>
      <c r="D73" s="1285"/>
      <c r="E73" s="1285"/>
      <c r="F73" s="1285"/>
      <c r="O73" s="1327" t="s">
        <v>408</v>
      </c>
      <c r="P73" s="1319" t="s">
        <v>852</v>
      </c>
      <c r="Q73" s="1320" t="e">
        <f ca="1">L58</f>
        <v>#DIV/0!</v>
      </c>
      <c r="R73" s="1320" t="s">
        <v>853</v>
      </c>
    </row>
    <row r="74" spans="1:18" ht="13.5" thickBot="1">
      <c r="A74" s="1285"/>
      <c r="B74" s="264" t="s">
        <v>872</v>
      </c>
      <c r="C74" s="1366"/>
      <c r="D74" s="1285"/>
      <c r="E74" s="1285"/>
      <c r="F74" s="1285"/>
      <c r="O74" s="1327" t="s">
        <v>415</v>
      </c>
      <c r="P74" s="1319" t="str">
        <f>K59</f>
        <v>建筑物剩余耐用年限下的土地年期修正系数Kn</v>
      </c>
      <c r="Q74" s="1320" t="e">
        <f ca="1">L59</f>
        <v>#DIV/0!</v>
      </c>
      <c r="R74" s="1320" t="s">
        <v>854</v>
      </c>
    </row>
    <row r="75" spans="1:18" ht="13.5" thickBot="1">
      <c r="A75" s="1285"/>
      <c r="B75" s="330" t="s">
        <v>792</v>
      </c>
      <c r="C75" s="331">
        <f ca="1">ROUND(C13*C76,0)</f>
        <v>46</v>
      </c>
      <c r="D75" s="1285"/>
      <c r="E75" s="1285"/>
      <c r="F75" s="1285"/>
      <c r="K75" s="1302"/>
      <c r="L75" s="1285"/>
      <c r="O75" s="1318" t="s">
        <v>409</v>
      </c>
      <c r="P75" s="1319" t="s">
        <v>835</v>
      </c>
      <c r="Q75" s="1320">
        <f ca="1">Q65+Q66</f>
        <v>839</v>
      </c>
      <c r="R75" s="1320" t="s">
        <v>410</v>
      </c>
    </row>
    <row r="76" spans="1:18">
      <c r="B76" s="332" t="s">
        <v>793</v>
      </c>
      <c r="C76" s="333">
        <f ca="1">INDIRECT("'数据-取费表'!j"&amp;$G$1)</f>
        <v>7.0000000000000007E-2</v>
      </c>
      <c r="I76" s="1285"/>
      <c r="J76" s="1285"/>
      <c r="K76" s="1302"/>
      <c r="L76" s="1285"/>
    </row>
    <row r="77" spans="1:18">
      <c r="B77" s="334" t="s">
        <v>794</v>
      </c>
      <c r="C77" s="335"/>
      <c r="I77" s="1285"/>
      <c r="J77" s="1285"/>
      <c r="K77" s="1302"/>
      <c r="L77" s="1285"/>
    </row>
    <row r="78" spans="1:18">
      <c r="B78" s="261" t="s">
        <v>795</v>
      </c>
      <c r="C78" s="336"/>
    </row>
    <row r="79" spans="1:18">
      <c r="B79" s="330" t="s">
        <v>796</v>
      </c>
      <c r="C79" s="265">
        <f ca="1">1-C80</f>
        <v>-0.17900000000000005</v>
      </c>
    </row>
    <row r="80" spans="1:18">
      <c r="B80" s="330" t="s">
        <v>797</v>
      </c>
      <c r="C80" s="265">
        <f ca="1">ROUND(C75/C39,3)</f>
        <v>1.179</v>
      </c>
    </row>
    <row r="81" spans="2:3">
      <c r="B81" s="261" t="s">
        <v>798</v>
      </c>
      <c r="C81" s="229"/>
    </row>
    <row r="82" spans="2:3">
      <c r="B82" s="264" t="s">
        <v>799</v>
      </c>
      <c r="C82" s="266">
        <f ca="1">1-C83</f>
        <v>0.22399999999999998</v>
      </c>
    </row>
    <row r="83" spans="2:3">
      <c r="B83" s="264" t="s">
        <v>800</v>
      </c>
      <c r="C83" s="265">
        <f ca="1">ROUND(C13/C40,3)</f>
        <v>0.77600000000000002</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83" priority="3">
      <formula>$F$10="自定义"</formula>
    </cfRule>
  </conditionalFormatting>
  <conditionalFormatting sqref="C54">
    <cfRule type="expression" dxfId="82" priority="1">
      <formula>$F$53="自定义"</formula>
    </cfRule>
  </conditionalFormatting>
  <conditionalFormatting sqref="I55 I60">
    <cfRule type="expression" dxfId="81" priority="5">
      <formula>$J$51&gt;$L$48</formula>
    </cfRule>
  </conditionalFormatting>
  <conditionalFormatting sqref="J11">
    <cfRule type="expression" dxfId="80" priority="2">
      <formula>$M$10="自定义"</formula>
    </cfRule>
  </conditionalFormatting>
  <conditionalFormatting sqref="K55 K60">
    <cfRule type="expression" dxfId="79" priority="4">
      <formula>$L$48&gt;$J$51</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估价范围判定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00000"/>
  </sheetPr>
  <dimension ref="A1:AS795"/>
  <sheetViews>
    <sheetView zoomScale="90" zoomScaleNormal="90" workbookViewId="0">
      <pane ySplit="24" topLeftCell="A768" activePane="bottomLeft" state="frozen"/>
      <selection activeCell="Q77" sqref="Q77"/>
      <selection pane="bottomLeft" activeCell="V771" sqref="V771"/>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10.375" style="24" bestFit="1" customWidth="1"/>
    <col min="19" max="19" width="9" style="121"/>
    <col min="20" max="45" width="9" style="682"/>
    <col min="46" max="16384" width="9" style="121"/>
  </cols>
  <sheetData>
    <row r="1" spans="1:45" ht="14.25" customHeight="1" thickBot="1">
      <c r="A1" s="137"/>
      <c r="B1" s="925" t="s">
        <v>2080</v>
      </c>
      <c r="C1" s="3483" t="s">
        <v>2081</v>
      </c>
      <c r="D1" s="3484"/>
      <c r="E1" s="3484"/>
      <c r="F1" s="3484"/>
      <c r="G1" s="3484"/>
      <c r="H1" s="3484"/>
      <c r="I1" s="3484"/>
      <c r="J1" s="3484"/>
      <c r="K1" s="3484"/>
      <c r="L1" s="3484"/>
      <c r="M1" s="3484"/>
      <c r="N1" s="3484"/>
      <c r="O1" s="3484"/>
      <c r="P1" s="3484"/>
      <c r="Q1" s="3484"/>
      <c r="R1" s="3484"/>
      <c r="S1" s="3485"/>
      <c r="T1" s="925" t="s">
        <v>1986</v>
      </c>
    </row>
    <row r="2" spans="1:45" s="623" customFormat="1" ht="25.5">
      <c r="A2" s="926"/>
      <c r="B2" s="620" t="s">
        <v>1062</v>
      </c>
      <c r="C2" s="14" t="str">
        <f t="shared" ref="C2:R2" si="0">C3&amp;"(含)"&amp;"-"&amp;D3</f>
        <v>0(含)-35</v>
      </c>
      <c r="D2" s="621" t="str">
        <f t="shared" si="0"/>
        <v>35(含)-70</v>
      </c>
      <c r="E2" s="621" t="str">
        <f t="shared" si="0"/>
        <v>70(含)-105</v>
      </c>
      <c r="F2" s="621" t="str">
        <f t="shared" si="0"/>
        <v>105(含)-140</v>
      </c>
      <c r="G2" s="621" t="str">
        <f t="shared" si="0"/>
        <v>140(含)-</v>
      </c>
      <c r="H2" s="621" t="str">
        <f t="shared" si="0"/>
        <v>(含)-</v>
      </c>
      <c r="I2" s="621" t="str">
        <f t="shared" si="0"/>
        <v>(含)-</v>
      </c>
      <c r="J2" s="621" t="str">
        <f t="shared" si="0"/>
        <v>(含)-</v>
      </c>
      <c r="K2" s="621" t="str">
        <f t="shared" si="0"/>
        <v>(含)-</v>
      </c>
      <c r="L2" s="621" t="str">
        <f t="shared" si="0"/>
        <v>(含)-</v>
      </c>
      <c r="M2" s="621" t="str">
        <f t="shared" si="0"/>
        <v>(含)-</v>
      </c>
      <c r="N2" s="621" t="str">
        <f t="shared" si="0"/>
        <v>(含)-</v>
      </c>
      <c r="O2" s="621" t="str">
        <f t="shared" si="0"/>
        <v>(含)-</v>
      </c>
      <c r="P2" s="621" t="str">
        <f t="shared" si="0"/>
        <v>(含)-</v>
      </c>
      <c r="Q2" s="621" t="str">
        <f t="shared" si="0"/>
        <v>(含)-</v>
      </c>
      <c r="R2" s="621" t="str">
        <f t="shared" si="0"/>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v>0</v>
      </c>
      <c r="D3" s="625">
        <v>35</v>
      </c>
      <c r="E3" s="625">
        <f>D3+35</f>
        <v>70</v>
      </c>
      <c r="F3" s="625">
        <f t="shared" ref="F3:G3" si="1">E3+35</f>
        <v>105</v>
      </c>
      <c r="G3" s="625">
        <f t="shared" si="1"/>
        <v>140</v>
      </c>
      <c r="H3" s="625"/>
      <c r="I3" s="625"/>
      <c r="J3" s="625"/>
      <c r="K3" s="625"/>
      <c r="L3" s="625"/>
      <c r="M3" s="625"/>
      <c r="N3" s="625"/>
      <c r="O3" s="625"/>
      <c r="P3" s="1215"/>
      <c r="Q3" s="1215"/>
      <c r="R3" s="1215"/>
      <c r="S3" s="1217"/>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931">
        <v>100</v>
      </c>
      <c r="D4" s="931">
        <f>C4+30</f>
        <v>130</v>
      </c>
      <c r="E4" s="931">
        <f t="shared" ref="E4:G4" si="2">D4+30</f>
        <v>160</v>
      </c>
      <c r="F4" s="931">
        <f t="shared" si="2"/>
        <v>190</v>
      </c>
      <c r="G4" s="931">
        <f t="shared" si="2"/>
        <v>220</v>
      </c>
      <c r="H4" s="931"/>
      <c r="I4" s="931"/>
      <c r="J4" s="931"/>
      <c r="K4" s="931"/>
      <c r="L4" s="931"/>
      <c r="M4" s="931"/>
      <c r="N4" s="931"/>
      <c r="O4" s="931"/>
      <c r="P4" s="1218"/>
      <c r="Q4" s="1218"/>
      <c r="R4" s="1218"/>
      <c r="S4" s="1219"/>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2" t="s">
        <v>2084</v>
      </c>
      <c r="C5" s="936"/>
      <c r="D5" s="937"/>
      <c r="E5" s="937"/>
      <c r="F5" s="1220"/>
      <c r="G5" s="1220"/>
      <c r="H5" s="1220"/>
      <c r="I5" s="1220"/>
      <c r="J5" s="1220"/>
      <c r="K5" s="1220"/>
      <c r="L5" s="1221"/>
      <c r="M5" s="1222"/>
      <c r="N5" s="1222"/>
      <c r="O5" s="1220"/>
      <c r="P5" s="1220"/>
      <c r="Q5" s="1220"/>
      <c r="R5" s="1220"/>
      <c r="S5" s="1223"/>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3">D6-$T5</f>
        <v>100</v>
      </c>
      <c r="F6" s="1224">
        <f t="shared" si="3"/>
        <v>100</v>
      </c>
      <c r="G6" s="1224">
        <f t="shared" si="3"/>
        <v>100</v>
      </c>
      <c r="H6" s="1224">
        <f t="shared" si="3"/>
        <v>100</v>
      </c>
      <c r="I6" s="1224">
        <f t="shared" si="3"/>
        <v>100</v>
      </c>
      <c r="J6" s="1224">
        <f t="shared" si="3"/>
        <v>100</v>
      </c>
      <c r="K6" s="1224">
        <f t="shared" si="3"/>
        <v>100</v>
      </c>
      <c r="L6" s="1224">
        <f t="shared" si="3"/>
        <v>100</v>
      </c>
      <c r="M6" s="1224">
        <f t="shared" si="3"/>
        <v>100</v>
      </c>
      <c r="N6" s="1224">
        <f t="shared" si="3"/>
        <v>100</v>
      </c>
      <c r="O6" s="1224">
        <f t="shared" si="3"/>
        <v>100</v>
      </c>
      <c r="P6" s="1224">
        <f t="shared" si="3"/>
        <v>100</v>
      </c>
      <c r="Q6" s="1224">
        <f t="shared" si="3"/>
        <v>100</v>
      </c>
      <c r="R6" s="1224">
        <f t="shared" si="3"/>
        <v>100</v>
      </c>
      <c r="S6" s="1224">
        <f t="shared" si="3"/>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3" t="s">
        <v>2085</v>
      </c>
      <c r="C7" s="847"/>
      <c r="D7" s="841"/>
      <c r="E7" s="841"/>
      <c r="F7" s="1225"/>
      <c r="G7" s="1225"/>
      <c r="H7" s="1225"/>
      <c r="I7" s="1225"/>
      <c r="J7" s="1225"/>
      <c r="K7" s="1225"/>
      <c r="L7" s="1225"/>
      <c r="M7" s="1226"/>
      <c r="N7" s="1227"/>
      <c r="O7" s="1228"/>
      <c r="P7" s="1228"/>
      <c r="Q7" s="1229"/>
      <c r="R7" s="1230"/>
      <c r="S7" s="1231"/>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4">D8-$T7</f>
        <v>100</v>
      </c>
      <c r="F8" s="1224">
        <f t="shared" si="4"/>
        <v>100</v>
      </c>
      <c r="G8" s="1224">
        <f t="shared" si="4"/>
        <v>100</v>
      </c>
      <c r="H8" s="1224">
        <f t="shared" si="4"/>
        <v>100</v>
      </c>
      <c r="I8" s="1224">
        <f t="shared" si="4"/>
        <v>100</v>
      </c>
      <c r="J8" s="1224">
        <f t="shared" si="4"/>
        <v>100</v>
      </c>
      <c r="K8" s="1224">
        <f t="shared" si="4"/>
        <v>100</v>
      </c>
      <c r="L8" s="1224">
        <f t="shared" si="4"/>
        <v>100</v>
      </c>
      <c r="M8" s="1224">
        <f t="shared" si="4"/>
        <v>100</v>
      </c>
      <c r="N8" s="1224">
        <f t="shared" si="4"/>
        <v>100</v>
      </c>
      <c r="O8" s="1224">
        <f t="shared" si="4"/>
        <v>100</v>
      </c>
      <c r="P8" s="1224">
        <f t="shared" si="4"/>
        <v>100</v>
      </c>
      <c r="Q8" s="1224">
        <f t="shared" si="4"/>
        <v>100</v>
      </c>
      <c r="R8" s="1224">
        <f t="shared" si="4"/>
        <v>100</v>
      </c>
      <c r="S8" s="1224">
        <f t="shared" si="4"/>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3" t="s">
        <v>2086</v>
      </c>
      <c r="C9" s="847"/>
      <c r="D9" s="841"/>
      <c r="E9" s="841"/>
      <c r="F9" s="1225"/>
      <c r="G9" s="1225"/>
      <c r="H9" s="1225"/>
      <c r="I9" s="1225"/>
      <c r="J9" s="1225"/>
      <c r="K9" s="1225"/>
      <c r="L9" s="1232"/>
      <c r="M9" s="1226"/>
      <c r="N9" s="1227"/>
      <c r="O9" s="1228"/>
      <c r="P9" s="1228"/>
      <c r="Q9" s="1229"/>
      <c r="R9" s="1230"/>
      <c r="S9" s="1231"/>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5">D10-$T9</f>
        <v>100</v>
      </c>
      <c r="F10" s="1233">
        <f t="shared" si="5"/>
        <v>100</v>
      </c>
      <c r="G10" s="1233">
        <f t="shared" si="5"/>
        <v>100</v>
      </c>
      <c r="H10" s="1233">
        <f t="shared" si="5"/>
        <v>100</v>
      </c>
      <c r="I10" s="1233">
        <f t="shared" si="5"/>
        <v>100</v>
      </c>
      <c r="J10" s="1233">
        <f t="shared" si="5"/>
        <v>100</v>
      </c>
      <c r="K10" s="1233">
        <f t="shared" si="5"/>
        <v>100</v>
      </c>
      <c r="L10" s="1233">
        <f t="shared" si="5"/>
        <v>100</v>
      </c>
      <c r="M10" s="1233">
        <f t="shared" si="5"/>
        <v>100</v>
      </c>
      <c r="N10" s="1233">
        <f t="shared" si="5"/>
        <v>100</v>
      </c>
      <c r="O10" s="1233">
        <f t="shared" si="5"/>
        <v>100</v>
      </c>
      <c r="P10" s="1233">
        <f t="shared" si="5"/>
        <v>100</v>
      </c>
      <c r="Q10" s="1233">
        <f t="shared" si="5"/>
        <v>100</v>
      </c>
      <c r="R10" s="1233">
        <f t="shared" si="5"/>
        <v>100</v>
      </c>
      <c r="S10" s="1233">
        <f t="shared" si="5"/>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2" t="s">
        <v>2087</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6">D12-$T11</f>
        <v>100</v>
      </c>
      <c r="F12" s="845">
        <f t="shared" si="6"/>
        <v>100</v>
      </c>
      <c r="G12" s="845">
        <f t="shared" si="6"/>
        <v>100</v>
      </c>
      <c r="H12" s="845">
        <f t="shared" si="6"/>
        <v>100</v>
      </c>
      <c r="I12" s="845">
        <f t="shared" si="6"/>
        <v>100</v>
      </c>
      <c r="J12" s="845">
        <f t="shared" si="6"/>
        <v>100</v>
      </c>
      <c r="K12" s="845">
        <f t="shared" si="6"/>
        <v>100</v>
      </c>
      <c r="L12" s="845">
        <f t="shared" si="6"/>
        <v>100</v>
      </c>
      <c r="M12" s="845">
        <f t="shared" si="6"/>
        <v>100</v>
      </c>
      <c r="N12" s="845">
        <f t="shared" si="6"/>
        <v>100</v>
      </c>
      <c r="O12" s="845">
        <f t="shared" si="6"/>
        <v>100</v>
      </c>
      <c r="P12" s="845">
        <f t="shared" si="6"/>
        <v>100</v>
      </c>
      <c r="Q12" s="845">
        <f t="shared" si="6"/>
        <v>100</v>
      </c>
      <c r="R12" s="845">
        <f>Q12-$T11</f>
        <v>100</v>
      </c>
      <c r="S12" s="845">
        <f t="shared" si="6"/>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2" t="s">
        <v>2088</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1242" t="s">
        <v>2089</v>
      </c>
      <c r="C15" s="936"/>
      <c r="D15" s="937"/>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ht="24">
      <c r="A17" s="1979" t="s">
        <v>2090</v>
      </c>
      <c r="B17" s="1980" t="s">
        <v>2091</v>
      </c>
      <c r="C17" s="3165" t="s">
        <v>4858</v>
      </c>
      <c r="D17" s="3165" t="s">
        <v>4860</v>
      </c>
      <c r="E17" s="3166" t="s">
        <v>4861</v>
      </c>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3"/>
      <c r="AS17" s="683"/>
    </row>
    <row r="18" spans="1:45" s="623" customFormat="1" ht="13.5" thickBot="1">
      <c r="A18" s="957"/>
      <c r="B18" s="958"/>
      <c r="C18" s="959">
        <v>100</v>
      </c>
      <c r="D18" s="960">
        <v>95</v>
      </c>
      <c r="E18" s="960">
        <v>90</v>
      </c>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3"/>
      <c r="AS18" s="683"/>
    </row>
    <row r="19" spans="1:45">
      <c r="A19" s="120"/>
      <c r="B19" s="150"/>
      <c r="C19" s="150"/>
      <c r="D19" s="1981" t="s">
        <v>2092</v>
      </c>
      <c r="E19" s="1246"/>
      <c r="F19" s="1246"/>
      <c r="G19" s="1246"/>
      <c r="H19" s="991"/>
      <c r="I19" s="150"/>
      <c r="J19" s="150"/>
      <c r="K19" s="150"/>
      <c r="L19" s="150"/>
      <c r="M19" s="150"/>
      <c r="N19" s="150"/>
      <c r="O19" s="150"/>
      <c r="P19" s="150"/>
      <c r="Q19" s="150"/>
      <c r="R19" s="150"/>
      <c r="S19" s="120"/>
    </row>
    <row r="20" spans="1:45" ht="16.5" thickBot="1">
      <c r="A20" s="630" t="s">
        <v>2093</v>
      </c>
      <c r="B20" s="285">
        <f ca="1">IF(D20="——",S22,S22-F20)</f>
        <v>3315</v>
      </c>
      <c r="C20" s="150"/>
      <c r="D20" s="1982" t="s">
        <v>43</v>
      </c>
      <c r="E20" s="1247"/>
      <c r="F20" s="925" t="e">
        <f ca="1">SUMIF(INDIRECT("'"&amp;H20&amp;"'"&amp;"!A:A"),"承租人权益价值",INDIRECT("'"&amp;H20&amp;"'"&amp;"!c:c"))</f>
        <v>#REF!</v>
      </c>
      <c r="G20" s="925" t="s">
        <v>2094</v>
      </c>
      <c r="H20" s="1983"/>
      <c r="I20" s="150"/>
      <c r="J20" s="150"/>
      <c r="K20" s="150"/>
      <c r="L20" s="150"/>
      <c r="M20" s="150"/>
      <c r="N20" s="150"/>
      <c r="O20" s="150"/>
      <c r="P20" s="150"/>
      <c r="Q20" s="150"/>
      <c r="R20" s="150"/>
      <c r="S20" s="120"/>
    </row>
    <row r="21" spans="1:45" ht="15.75">
      <c r="A21" s="630" t="s">
        <v>2095</v>
      </c>
      <c r="B21" s="285">
        <f ca="1">ROUND(B20*10000/B22,0)</f>
        <v>833</v>
      </c>
      <c r="C21" s="150"/>
      <c r="D21" s="150"/>
      <c r="E21" s="150"/>
      <c r="F21" s="150"/>
      <c r="G21" s="150"/>
      <c r="H21" s="150"/>
      <c r="I21" s="150"/>
      <c r="J21" s="150"/>
      <c r="K21" s="150"/>
      <c r="L21" s="150"/>
      <c r="M21" s="150"/>
      <c r="N21" s="150"/>
      <c r="O21" s="150"/>
      <c r="P21" s="150"/>
      <c r="Q21" s="150"/>
      <c r="R21" s="150"/>
      <c r="S21" s="120"/>
      <c r="T21" s="3171"/>
      <c r="W21" s="3171" t="s">
        <v>4854</v>
      </c>
      <c r="X21" s="3171" t="s">
        <v>4855</v>
      </c>
      <c r="Y21" s="3171" t="s">
        <v>4856</v>
      </c>
    </row>
    <row r="22" spans="1:45">
      <c r="A22" s="307" t="s">
        <v>2096</v>
      </c>
      <c r="B22" s="21">
        <f>SUM(B24:B10000)</f>
        <v>39819.020000000091</v>
      </c>
      <c r="C22" s="3480" t="s">
        <v>27</v>
      </c>
      <c r="D22" s="3481"/>
      <c r="E22" s="3481"/>
      <c r="F22" s="3481"/>
      <c r="G22" s="3481"/>
      <c r="H22" s="3481"/>
      <c r="I22" s="3481"/>
      <c r="J22" s="3481"/>
      <c r="K22" s="3481"/>
      <c r="L22" s="3481"/>
      <c r="M22" s="3481"/>
      <c r="N22" s="3481"/>
      <c r="O22" s="3481"/>
      <c r="P22" s="3481"/>
      <c r="Q22" s="3482"/>
      <c r="R22" s="21">
        <f ca="1">ROUND(SUM(R24:R10000),0)</f>
        <v>13199</v>
      </c>
      <c r="S22" s="21">
        <f ca="1">ROUND(R22*10000/B22,0)</f>
        <v>3315</v>
      </c>
      <c r="T22" s="3170"/>
      <c r="V22" s="3171" t="s">
        <v>4851</v>
      </c>
      <c r="W22" s="682">
        <f>W24-W23</f>
        <v>742</v>
      </c>
      <c r="X22" s="682">
        <f ca="1">'车位结果表 '!I19</f>
        <v>18.577999999999999</v>
      </c>
      <c r="Y22" s="682">
        <f ca="1">ROUND(X22*W22,0)</f>
        <v>13785</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3202" t="s">
        <v>4863</v>
      </c>
      <c r="S23" s="3202" t="s">
        <v>4864</v>
      </c>
      <c r="T23" s="686"/>
      <c r="U23" s="686"/>
      <c r="V23" s="3199" t="s">
        <v>4852</v>
      </c>
      <c r="W23" s="686">
        <v>7</v>
      </c>
      <c r="X23" s="686">
        <f ca="1">X22*1.3</f>
        <v>24.151399999999999</v>
      </c>
      <c r="Y23" s="682">
        <f ca="1">ROUND(X23*W23,0)</f>
        <v>169</v>
      </c>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'5号楼'!B4</f>
        <v>B2001</v>
      </c>
      <c r="B24" s="631">
        <f>'5号楼'!C4</f>
        <v>52.93</v>
      </c>
      <c r="C24" s="2564">
        <v>1</v>
      </c>
      <c r="D24" s="2565"/>
      <c r="E24" s="2564">
        <v>1</v>
      </c>
      <c r="F24" s="2565"/>
      <c r="G24" s="2564">
        <v>1</v>
      </c>
      <c r="H24" s="2565"/>
      <c r="I24" s="2564">
        <v>1</v>
      </c>
      <c r="J24" s="2565"/>
      <c r="K24" s="2564">
        <v>1</v>
      </c>
      <c r="L24" s="2565"/>
      <c r="M24" s="2564">
        <v>1</v>
      </c>
      <c r="N24" s="2565"/>
      <c r="O24" s="2564">
        <v>1</v>
      </c>
      <c r="P24" s="2565" t="s">
        <v>4857</v>
      </c>
      <c r="Q24" s="2564">
        <v>1</v>
      </c>
      <c r="R24" s="631">
        <f ca="1">'车位结果表 '!I19</f>
        <v>18.577999999999999</v>
      </c>
      <c r="S24" s="632">
        <f t="shared" ref="S24:S87" ca="1" si="7">ROUND(R24*B24/10000,0)</f>
        <v>0</v>
      </c>
      <c r="T24" s="687"/>
      <c r="U24" s="687"/>
      <c r="V24" s="3200" t="s">
        <v>4853</v>
      </c>
      <c r="W24" s="687">
        <v>749</v>
      </c>
      <c r="X24" s="687"/>
      <c r="Y24" s="687">
        <f ca="1">Y23+Y22</f>
        <v>13954</v>
      </c>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tr">
        <f>'5号楼'!B5</f>
        <v>B2002</v>
      </c>
      <c r="B25" s="631">
        <f>'5号楼'!C5</f>
        <v>52.93</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5" t="s">
        <v>4857</v>
      </c>
      <c r="Q25" s="21">
        <f>(SUMIF($17:$17,P25,$18:$18)-SUMIF($17:$17,$P$24,$18:$18)+100)/100</f>
        <v>1</v>
      </c>
      <c r="R25" s="21">
        <f ca="1">IF(B25="",0,ROUND($R$24*C25*E25*G25*I25*K25*M25*O25*Q25,4))</f>
        <v>18.577999999999999</v>
      </c>
      <c r="S25" s="307">
        <f t="shared" ca="1" si="7"/>
        <v>0</v>
      </c>
      <c r="T25" s="687"/>
    </row>
    <row r="26" spans="1:45">
      <c r="A26" s="631" t="str">
        <f>'5号楼'!B6</f>
        <v>B2003</v>
      </c>
      <c r="B26" s="631">
        <f>'5号楼'!C6</f>
        <v>52.93</v>
      </c>
      <c r="C26" s="21">
        <f t="shared" ref="C26:C89" si="8">IF(B26="",1,(LOOKUP(B26,$3:$3,$4:$4)-LOOKUP($B$24,$3:$3,$4:$4)+100)/100)</f>
        <v>1</v>
      </c>
      <c r="D26" s="633"/>
      <c r="E26" s="21">
        <f t="shared" ref="E26:E89" si="9">(SUMIF($5:$5,D26,$6:$6)-SUMIF($5:$5,$D$24,$6:$6)+100)/100</f>
        <v>1</v>
      </c>
      <c r="F26" s="633"/>
      <c r="G26" s="21">
        <f t="shared" ref="G26:G89" si="10">(SUMIF($7:$7,F26,$8:$8)-SUMIF($7:$7,$F$24,$8:$8)+100)/100</f>
        <v>1</v>
      </c>
      <c r="H26" s="633"/>
      <c r="I26" s="21">
        <f t="shared" ref="I26:I89" si="11">(SUMIF($9:$9,H26,$10:$10)-SUMIF($9:$9,$H$24,$10:$10)+100)/100</f>
        <v>1</v>
      </c>
      <c r="J26" s="633"/>
      <c r="K26" s="21">
        <f t="shared" ref="K26:K89" si="12">(SUMIF($11:$11,J26,$12:$12)-SUMIF($11:$11,$J$24,$12:$12)+100)/100</f>
        <v>1</v>
      </c>
      <c r="L26" s="633"/>
      <c r="M26" s="21">
        <f t="shared" ref="M26:M89" si="13">(SUMIF($13:$13,L26,$14:$14)-SUMIF($13:$13,$L$24,$14:$14)+100)/100</f>
        <v>1</v>
      </c>
      <c r="N26" s="633"/>
      <c r="O26" s="21">
        <f t="shared" ref="O26:O89" si="14">(SUMIF($15:$15,N26,$16:$16)-SUMIF($15:$15,$N$24,$16:$16)+100)/100</f>
        <v>1</v>
      </c>
      <c r="P26" s="2565" t="s">
        <v>4857</v>
      </c>
      <c r="Q26" s="21">
        <f t="shared" ref="Q26:Q89" si="15">(SUMIF($17:$17,P26,$18:$18)-SUMIF($17:$17,$P$24,$18:$18)+100)/100</f>
        <v>1</v>
      </c>
      <c r="R26" s="21">
        <f t="shared" ref="R26:R89" ca="1" si="16">IF(B26="",0,ROUND($R$24*C26*E26*G26*I26*K26*M26*O26*Q26,4))</f>
        <v>18.577999999999999</v>
      </c>
      <c r="S26" s="307">
        <f t="shared" ca="1" si="7"/>
        <v>0</v>
      </c>
      <c r="T26" s="687"/>
    </row>
    <row r="27" spans="1:45">
      <c r="A27" s="631" t="str">
        <f>'5号楼'!B7</f>
        <v>B2004</v>
      </c>
      <c r="B27" s="631">
        <f>'5号楼'!C7</f>
        <v>52.93</v>
      </c>
      <c r="C27" s="21">
        <f t="shared" si="8"/>
        <v>1</v>
      </c>
      <c r="D27" s="633"/>
      <c r="E27" s="21">
        <f t="shared" si="9"/>
        <v>1</v>
      </c>
      <c r="F27" s="633"/>
      <c r="G27" s="21">
        <f t="shared" si="10"/>
        <v>1</v>
      </c>
      <c r="H27" s="633"/>
      <c r="I27" s="21">
        <f t="shared" si="11"/>
        <v>1</v>
      </c>
      <c r="J27" s="633"/>
      <c r="K27" s="21">
        <f t="shared" si="12"/>
        <v>1</v>
      </c>
      <c r="L27" s="633"/>
      <c r="M27" s="21">
        <f t="shared" si="13"/>
        <v>1</v>
      </c>
      <c r="N27" s="633"/>
      <c r="O27" s="21">
        <f t="shared" si="14"/>
        <v>1</v>
      </c>
      <c r="P27" s="2565" t="s">
        <v>4857</v>
      </c>
      <c r="Q27" s="21">
        <f t="shared" si="15"/>
        <v>1</v>
      </c>
      <c r="R27" s="21">
        <f t="shared" ca="1" si="16"/>
        <v>18.577999999999999</v>
      </c>
      <c r="S27" s="307">
        <f t="shared" ca="1" si="7"/>
        <v>0</v>
      </c>
      <c r="T27" s="687"/>
    </row>
    <row r="28" spans="1:45">
      <c r="A28" s="631" t="str">
        <f>'5号楼'!B8</f>
        <v>B2005</v>
      </c>
      <c r="B28" s="631">
        <f>'5号楼'!C8</f>
        <v>52.93</v>
      </c>
      <c r="C28" s="21">
        <f t="shared" si="8"/>
        <v>1</v>
      </c>
      <c r="D28" s="633"/>
      <c r="E28" s="21">
        <f t="shared" si="9"/>
        <v>1</v>
      </c>
      <c r="F28" s="633"/>
      <c r="G28" s="21">
        <f t="shared" si="10"/>
        <v>1</v>
      </c>
      <c r="H28" s="633"/>
      <c r="I28" s="21">
        <f t="shared" si="11"/>
        <v>1</v>
      </c>
      <c r="J28" s="633"/>
      <c r="K28" s="21">
        <f t="shared" si="12"/>
        <v>1</v>
      </c>
      <c r="L28" s="633"/>
      <c r="M28" s="21">
        <f t="shared" si="13"/>
        <v>1</v>
      </c>
      <c r="N28" s="633"/>
      <c r="O28" s="21">
        <f t="shared" si="14"/>
        <v>1</v>
      </c>
      <c r="P28" s="2565" t="s">
        <v>4857</v>
      </c>
      <c r="Q28" s="21">
        <f t="shared" si="15"/>
        <v>1</v>
      </c>
      <c r="R28" s="21">
        <f t="shared" ca="1" si="16"/>
        <v>18.577999999999999</v>
      </c>
      <c r="S28" s="307">
        <f t="shared" ca="1" si="7"/>
        <v>0</v>
      </c>
      <c r="T28" s="687"/>
    </row>
    <row r="29" spans="1:45">
      <c r="A29" s="631" t="str">
        <f>'5号楼'!B9</f>
        <v>B2006</v>
      </c>
      <c r="B29" s="631">
        <f>'5号楼'!C9</f>
        <v>52.93</v>
      </c>
      <c r="C29" s="21">
        <f t="shared" si="8"/>
        <v>1</v>
      </c>
      <c r="D29" s="633"/>
      <c r="E29" s="21">
        <f t="shared" si="9"/>
        <v>1</v>
      </c>
      <c r="F29" s="633"/>
      <c r="G29" s="21">
        <f t="shared" si="10"/>
        <v>1</v>
      </c>
      <c r="H29" s="633"/>
      <c r="I29" s="21">
        <f t="shared" si="11"/>
        <v>1</v>
      </c>
      <c r="J29" s="633"/>
      <c r="K29" s="21">
        <f t="shared" si="12"/>
        <v>1</v>
      </c>
      <c r="L29" s="633"/>
      <c r="M29" s="21">
        <f t="shared" si="13"/>
        <v>1</v>
      </c>
      <c r="N29" s="633"/>
      <c r="O29" s="21">
        <f t="shared" si="14"/>
        <v>1</v>
      </c>
      <c r="P29" s="2565" t="s">
        <v>4857</v>
      </c>
      <c r="Q29" s="21">
        <f t="shared" si="15"/>
        <v>1</v>
      </c>
      <c r="R29" s="21">
        <f t="shared" ca="1" si="16"/>
        <v>18.577999999999999</v>
      </c>
      <c r="S29" s="307">
        <f t="shared" ca="1" si="7"/>
        <v>0</v>
      </c>
      <c r="T29" s="687"/>
    </row>
    <row r="30" spans="1:45">
      <c r="A30" s="631" t="str">
        <f>'5号楼'!B10</f>
        <v>B2007</v>
      </c>
      <c r="B30" s="631">
        <f>'5号楼'!C10</f>
        <v>52.93</v>
      </c>
      <c r="C30" s="21">
        <f t="shared" si="8"/>
        <v>1</v>
      </c>
      <c r="D30" s="633"/>
      <c r="E30" s="21">
        <f t="shared" si="9"/>
        <v>1</v>
      </c>
      <c r="F30" s="633"/>
      <c r="G30" s="21">
        <f t="shared" si="10"/>
        <v>1</v>
      </c>
      <c r="H30" s="633"/>
      <c r="I30" s="21">
        <f t="shared" si="11"/>
        <v>1</v>
      </c>
      <c r="J30" s="633"/>
      <c r="K30" s="21">
        <f t="shared" si="12"/>
        <v>1</v>
      </c>
      <c r="L30" s="633"/>
      <c r="M30" s="21">
        <f t="shared" si="13"/>
        <v>1</v>
      </c>
      <c r="N30" s="633"/>
      <c r="O30" s="21">
        <f t="shared" si="14"/>
        <v>1</v>
      </c>
      <c r="P30" s="2565" t="s">
        <v>4857</v>
      </c>
      <c r="Q30" s="21">
        <f t="shared" si="15"/>
        <v>1</v>
      </c>
      <c r="R30" s="21">
        <f t="shared" ca="1" si="16"/>
        <v>18.577999999999999</v>
      </c>
      <c r="S30" s="307">
        <f t="shared" ca="1" si="7"/>
        <v>0</v>
      </c>
      <c r="T30" s="687"/>
    </row>
    <row r="31" spans="1:45">
      <c r="A31" s="631" t="str">
        <f>'5号楼'!B11</f>
        <v>B2008</v>
      </c>
      <c r="B31" s="631">
        <f>'5号楼'!C11</f>
        <v>52.93</v>
      </c>
      <c r="C31" s="21">
        <f t="shared" si="8"/>
        <v>1</v>
      </c>
      <c r="D31" s="633"/>
      <c r="E31" s="21">
        <f t="shared" si="9"/>
        <v>1</v>
      </c>
      <c r="F31" s="633"/>
      <c r="G31" s="21">
        <f t="shared" si="10"/>
        <v>1</v>
      </c>
      <c r="H31" s="633"/>
      <c r="I31" s="21">
        <f t="shared" si="11"/>
        <v>1</v>
      </c>
      <c r="J31" s="633"/>
      <c r="K31" s="21">
        <f t="shared" si="12"/>
        <v>1</v>
      </c>
      <c r="L31" s="633"/>
      <c r="M31" s="21">
        <f t="shared" si="13"/>
        <v>1</v>
      </c>
      <c r="N31" s="633"/>
      <c r="O31" s="21">
        <f t="shared" si="14"/>
        <v>1</v>
      </c>
      <c r="P31" s="2565" t="s">
        <v>4857</v>
      </c>
      <c r="Q31" s="21">
        <f t="shared" si="15"/>
        <v>1</v>
      </c>
      <c r="R31" s="21">
        <f t="shared" ca="1" si="16"/>
        <v>18.577999999999999</v>
      </c>
      <c r="S31" s="307">
        <f t="shared" ca="1" si="7"/>
        <v>0</v>
      </c>
      <c r="T31" s="687"/>
    </row>
    <row r="32" spans="1:45">
      <c r="A32" s="631" t="str">
        <f>'5号楼'!B12</f>
        <v>B2009</v>
      </c>
      <c r="B32" s="631">
        <f>'5号楼'!C12</f>
        <v>52.93</v>
      </c>
      <c r="C32" s="21">
        <f t="shared" si="8"/>
        <v>1</v>
      </c>
      <c r="D32" s="633"/>
      <c r="E32" s="21">
        <f t="shared" si="9"/>
        <v>1</v>
      </c>
      <c r="F32" s="633"/>
      <c r="G32" s="21">
        <f t="shared" si="10"/>
        <v>1</v>
      </c>
      <c r="H32" s="633"/>
      <c r="I32" s="21">
        <f t="shared" si="11"/>
        <v>1</v>
      </c>
      <c r="J32" s="633"/>
      <c r="K32" s="21">
        <f t="shared" si="12"/>
        <v>1</v>
      </c>
      <c r="L32" s="633"/>
      <c r="M32" s="21">
        <f t="shared" si="13"/>
        <v>1</v>
      </c>
      <c r="N32" s="633"/>
      <c r="O32" s="21">
        <f t="shared" si="14"/>
        <v>1</v>
      </c>
      <c r="P32" s="2565" t="s">
        <v>4857</v>
      </c>
      <c r="Q32" s="21">
        <f t="shared" si="15"/>
        <v>1</v>
      </c>
      <c r="R32" s="21">
        <f t="shared" ca="1" si="16"/>
        <v>18.577999999999999</v>
      </c>
      <c r="S32" s="307">
        <f t="shared" ca="1" si="7"/>
        <v>0</v>
      </c>
      <c r="T32" s="687"/>
    </row>
    <row r="33" spans="1:20">
      <c r="A33" s="631" t="str">
        <f>'5号楼'!B13</f>
        <v>B2010</v>
      </c>
      <c r="B33" s="631">
        <f>'5号楼'!C13</f>
        <v>52.93</v>
      </c>
      <c r="C33" s="21">
        <f t="shared" si="8"/>
        <v>1</v>
      </c>
      <c r="D33" s="633"/>
      <c r="E33" s="21">
        <f t="shared" si="9"/>
        <v>1</v>
      </c>
      <c r="F33" s="633"/>
      <c r="G33" s="21">
        <f t="shared" si="10"/>
        <v>1</v>
      </c>
      <c r="H33" s="633"/>
      <c r="I33" s="21">
        <f t="shared" si="11"/>
        <v>1</v>
      </c>
      <c r="J33" s="633"/>
      <c r="K33" s="21">
        <f t="shared" si="12"/>
        <v>1</v>
      </c>
      <c r="L33" s="633"/>
      <c r="M33" s="21">
        <f t="shared" si="13"/>
        <v>1</v>
      </c>
      <c r="N33" s="633"/>
      <c r="O33" s="21">
        <f t="shared" si="14"/>
        <v>1</v>
      </c>
      <c r="P33" s="2565" t="s">
        <v>4857</v>
      </c>
      <c r="Q33" s="21">
        <f t="shared" si="15"/>
        <v>1</v>
      </c>
      <c r="R33" s="21">
        <f t="shared" ca="1" si="16"/>
        <v>18.577999999999999</v>
      </c>
      <c r="S33" s="307">
        <f t="shared" ca="1" si="7"/>
        <v>0</v>
      </c>
      <c r="T33" s="687"/>
    </row>
    <row r="34" spans="1:20">
      <c r="A34" s="631" t="str">
        <f>'5号楼'!B14</f>
        <v>B2011</v>
      </c>
      <c r="B34" s="631">
        <f>'5号楼'!C14</f>
        <v>52.93</v>
      </c>
      <c r="C34" s="21">
        <f t="shared" si="8"/>
        <v>1</v>
      </c>
      <c r="D34" s="633"/>
      <c r="E34" s="21">
        <f t="shared" si="9"/>
        <v>1</v>
      </c>
      <c r="F34" s="633"/>
      <c r="G34" s="21">
        <f t="shared" si="10"/>
        <v>1</v>
      </c>
      <c r="H34" s="633"/>
      <c r="I34" s="21">
        <f t="shared" si="11"/>
        <v>1</v>
      </c>
      <c r="J34" s="633"/>
      <c r="K34" s="21">
        <f t="shared" si="12"/>
        <v>1</v>
      </c>
      <c r="L34" s="633"/>
      <c r="M34" s="21">
        <f t="shared" si="13"/>
        <v>1</v>
      </c>
      <c r="N34" s="633"/>
      <c r="O34" s="21">
        <f t="shared" si="14"/>
        <v>1</v>
      </c>
      <c r="P34" s="2565" t="s">
        <v>4857</v>
      </c>
      <c r="Q34" s="21">
        <f t="shared" si="15"/>
        <v>1</v>
      </c>
      <c r="R34" s="21">
        <f t="shared" ca="1" si="16"/>
        <v>18.577999999999999</v>
      </c>
      <c r="S34" s="307">
        <f t="shared" ca="1" si="7"/>
        <v>0</v>
      </c>
      <c r="T34" s="687"/>
    </row>
    <row r="35" spans="1:20">
      <c r="A35" s="631" t="str">
        <f>'5号楼'!B15</f>
        <v>B2012</v>
      </c>
      <c r="B35" s="631">
        <f>'5号楼'!C15</f>
        <v>52.93</v>
      </c>
      <c r="C35" s="21">
        <f t="shared" si="8"/>
        <v>1</v>
      </c>
      <c r="D35" s="633"/>
      <c r="E35" s="21">
        <f t="shared" si="9"/>
        <v>1</v>
      </c>
      <c r="F35" s="633"/>
      <c r="G35" s="21">
        <f t="shared" si="10"/>
        <v>1</v>
      </c>
      <c r="H35" s="633"/>
      <c r="I35" s="21">
        <f t="shared" si="11"/>
        <v>1</v>
      </c>
      <c r="J35" s="633"/>
      <c r="K35" s="21">
        <f t="shared" si="12"/>
        <v>1</v>
      </c>
      <c r="L35" s="633"/>
      <c r="M35" s="21">
        <f t="shared" si="13"/>
        <v>1</v>
      </c>
      <c r="N35" s="633"/>
      <c r="O35" s="21">
        <f t="shared" si="14"/>
        <v>1</v>
      </c>
      <c r="P35" s="2565" t="s">
        <v>4857</v>
      </c>
      <c r="Q35" s="21">
        <f t="shared" si="15"/>
        <v>1</v>
      </c>
      <c r="R35" s="21">
        <f t="shared" ca="1" si="16"/>
        <v>18.577999999999999</v>
      </c>
      <c r="S35" s="307">
        <f t="shared" ca="1" si="7"/>
        <v>0</v>
      </c>
      <c r="T35" s="687"/>
    </row>
    <row r="36" spans="1:20">
      <c r="A36" s="631" t="str">
        <f>'5号楼'!B16</f>
        <v>B2013</v>
      </c>
      <c r="B36" s="631">
        <f>'5号楼'!C16</f>
        <v>52.93</v>
      </c>
      <c r="C36" s="21">
        <f t="shared" si="8"/>
        <v>1</v>
      </c>
      <c r="D36" s="633"/>
      <c r="E36" s="21">
        <f t="shared" si="9"/>
        <v>1</v>
      </c>
      <c r="F36" s="633"/>
      <c r="G36" s="21">
        <f t="shared" si="10"/>
        <v>1</v>
      </c>
      <c r="H36" s="633"/>
      <c r="I36" s="21">
        <f t="shared" si="11"/>
        <v>1</v>
      </c>
      <c r="J36" s="633"/>
      <c r="K36" s="21">
        <f t="shared" si="12"/>
        <v>1</v>
      </c>
      <c r="L36" s="633"/>
      <c r="M36" s="21">
        <f t="shared" si="13"/>
        <v>1</v>
      </c>
      <c r="N36" s="633"/>
      <c r="O36" s="21">
        <f t="shared" si="14"/>
        <v>1</v>
      </c>
      <c r="P36" s="2565" t="s">
        <v>4857</v>
      </c>
      <c r="Q36" s="21">
        <f t="shared" si="15"/>
        <v>1</v>
      </c>
      <c r="R36" s="21">
        <f t="shared" ca="1" si="16"/>
        <v>18.577999999999999</v>
      </c>
      <c r="S36" s="307">
        <f t="shared" ca="1" si="7"/>
        <v>0</v>
      </c>
      <c r="T36" s="687"/>
    </row>
    <row r="37" spans="1:20">
      <c r="A37" s="631" t="str">
        <f>'5号楼'!B17</f>
        <v>B2014</v>
      </c>
      <c r="B37" s="631">
        <f>'5号楼'!C17</f>
        <v>52.93</v>
      </c>
      <c r="C37" s="21">
        <f t="shared" si="8"/>
        <v>1</v>
      </c>
      <c r="D37" s="633"/>
      <c r="E37" s="21">
        <f t="shared" si="9"/>
        <v>1</v>
      </c>
      <c r="F37" s="633"/>
      <c r="G37" s="21">
        <f t="shared" si="10"/>
        <v>1</v>
      </c>
      <c r="H37" s="633"/>
      <c r="I37" s="21">
        <f t="shared" si="11"/>
        <v>1</v>
      </c>
      <c r="J37" s="633"/>
      <c r="K37" s="21">
        <f t="shared" si="12"/>
        <v>1</v>
      </c>
      <c r="L37" s="633"/>
      <c r="M37" s="21">
        <f t="shared" si="13"/>
        <v>1</v>
      </c>
      <c r="N37" s="633"/>
      <c r="O37" s="21">
        <f t="shared" si="14"/>
        <v>1</v>
      </c>
      <c r="P37" s="2565" t="s">
        <v>4857</v>
      </c>
      <c r="Q37" s="21">
        <f t="shared" si="15"/>
        <v>1</v>
      </c>
      <c r="R37" s="21">
        <f t="shared" ca="1" si="16"/>
        <v>18.577999999999999</v>
      </c>
      <c r="S37" s="307">
        <f t="shared" ca="1" si="7"/>
        <v>0</v>
      </c>
      <c r="T37" s="687"/>
    </row>
    <row r="38" spans="1:20">
      <c r="A38" s="631" t="str">
        <f>'5号楼'!B18</f>
        <v>B2015</v>
      </c>
      <c r="B38" s="631">
        <f>'5号楼'!C18</f>
        <v>52.93</v>
      </c>
      <c r="C38" s="21">
        <f t="shared" si="8"/>
        <v>1</v>
      </c>
      <c r="D38" s="633"/>
      <c r="E38" s="21">
        <f t="shared" si="9"/>
        <v>1</v>
      </c>
      <c r="F38" s="633"/>
      <c r="G38" s="21">
        <f t="shared" si="10"/>
        <v>1</v>
      </c>
      <c r="H38" s="633"/>
      <c r="I38" s="21">
        <f t="shared" si="11"/>
        <v>1</v>
      </c>
      <c r="J38" s="633"/>
      <c r="K38" s="21">
        <f t="shared" si="12"/>
        <v>1</v>
      </c>
      <c r="L38" s="633"/>
      <c r="M38" s="21">
        <f t="shared" si="13"/>
        <v>1</v>
      </c>
      <c r="N38" s="633"/>
      <c r="O38" s="21">
        <f t="shared" si="14"/>
        <v>1</v>
      </c>
      <c r="P38" s="2565" t="s">
        <v>4857</v>
      </c>
      <c r="Q38" s="21">
        <f t="shared" si="15"/>
        <v>1</v>
      </c>
      <c r="R38" s="21">
        <f t="shared" ca="1" si="16"/>
        <v>18.577999999999999</v>
      </c>
      <c r="S38" s="307">
        <f t="shared" ca="1" si="7"/>
        <v>0</v>
      </c>
      <c r="T38" s="687"/>
    </row>
    <row r="39" spans="1:20">
      <c r="A39" s="631" t="str">
        <f>'5号楼'!B19</f>
        <v>B2016</v>
      </c>
      <c r="B39" s="631">
        <f>'5号楼'!C19</f>
        <v>52.93</v>
      </c>
      <c r="C39" s="21">
        <f t="shared" si="8"/>
        <v>1</v>
      </c>
      <c r="D39" s="633"/>
      <c r="E39" s="21">
        <f t="shared" si="9"/>
        <v>1</v>
      </c>
      <c r="F39" s="633"/>
      <c r="G39" s="21">
        <f t="shared" si="10"/>
        <v>1</v>
      </c>
      <c r="H39" s="633"/>
      <c r="I39" s="21">
        <f t="shared" si="11"/>
        <v>1</v>
      </c>
      <c r="J39" s="633"/>
      <c r="K39" s="21">
        <f t="shared" si="12"/>
        <v>1</v>
      </c>
      <c r="L39" s="633"/>
      <c r="M39" s="21">
        <f t="shared" si="13"/>
        <v>1</v>
      </c>
      <c r="N39" s="633"/>
      <c r="O39" s="21">
        <f t="shared" si="14"/>
        <v>1</v>
      </c>
      <c r="P39" s="2565" t="s">
        <v>4857</v>
      </c>
      <c r="Q39" s="21">
        <f t="shared" si="15"/>
        <v>1</v>
      </c>
      <c r="R39" s="21">
        <f t="shared" ca="1" si="16"/>
        <v>18.577999999999999</v>
      </c>
      <c r="S39" s="307">
        <f t="shared" ca="1" si="7"/>
        <v>0</v>
      </c>
      <c r="T39" s="687"/>
    </row>
    <row r="40" spans="1:20">
      <c r="A40" s="631" t="str">
        <f>'5号楼'!B20</f>
        <v>B2017</v>
      </c>
      <c r="B40" s="631">
        <f>'5号楼'!C20</f>
        <v>52.93</v>
      </c>
      <c r="C40" s="21">
        <f t="shared" si="8"/>
        <v>1</v>
      </c>
      <c r="D40" s="633"/>
      <c r="E40" s="21">
        <f t="shared" si="9"/>
        <v>1</v>
      </c>
      <c r="F40" s="633"/>
      <c r="G40" s="21">
        <f t="shared" si="10"/>
        <v>1</v>
      </c>
      <c r="H40" s="633"/>
      <c r="I40" s="21">
        <f t="shared" si="11"/>
        <v>1</v>
      </c>
      <c r="J40" s="633"/>
      <c r="K40" s="21">
        <f t="shared" si="12"/>
        <v>1</v>
      </c>
      <c r="L40" s="633"/>
      <c r="M40" s="21">
        <f t="shared" si="13"/>
        <v>1</v>
      </c>
      <c r="N40" s="633"/>
      <c r="O40" s="21">
        <f t="shared" si="14"/>
        <v>1</v>
      </c>
      <c r="P40" s="2565" t="s">
        <v>4857</v>
      </c>
      <c r="Q40" s="21">
        <f t="shared" si="15"/>
        <v>1</v>
      </c>
      <c r="R40" s="21">
        <f t="shared" ca="1" si="16"/>
        <v>18.577999999999999</v>
      </c>
      <c r="S40" s="307">
        <f t="shared" ca="1" si="7"/>
        <v>0</v>
      </c>
      <c r="T40" s="687"/>
    </row>
    <row r="41" spans="1:20">
      <c r="A41" s="631" t="str">
        <f>'5号楼'!B21</f>
        <v>B2018</v>
      </c>
      <c r="B41" s="631">
        <f>'5号楼'!C21</f>
        <v>52.93</v>
      </c>
      <c r="C41" s="21">
        <f t="shared" si="8"/>
        <v>1</v>
      </c>
      <c r="D41" s="633"/>
      <c r="E41" s="21">
        <f t="shared" si="9"/>
        <v>1</v>
      </c>
      <c r="F41" s="633"/>
      <c r="G41" s="21">
        <f t="shared" si="10"/>
        <v>1</v>
      </c>
      <c r="H41" s="633"/>
      <c r="I41" s="21">
        <f t="shared" si="11"/>
        <v>1</v>
      </c>
      <c r="J41" s="633"/>
      <c r="K41" s="21">
        <f t="shared" si="12"/>
        <v>1</v>
      </c>
      <c r="L41" s="633"/>
      <c r="M41" s="21">
        <f t="shared" si="13"/>
        <v>1</v>
      </c>
      <c r="N41" s="633"/>
      <c r="O41" s="21">
        <f t="shared" si="14"/>
        <v>1</v>
      </c>
      <c r="P41" s="2565" t="s">
        <v>4857</v>
      </c>
      <c r="Q41" s="21">
        <f t="shared" si="15"/>
        <v>1</v>
      </c>
      <c r="R41" s="21">
        <f t="shared" ca="1" si="16"/>
        <v>18.577999999999999</v>
      </c>
      <c r="S41" s="307">
        <f t="shared" ca="1" si="7"/>
        <v>0</v>
      </c>
      <c r="T41" s="687"/>
    </row>
    <row r="42" spans="1:20">
      <c r="A42" s="631" t="str">
        <f>'5号楼'!B22</f>
        <v>B2019</v>
      </c>
      <c r="B42" s="631">
        <f>'5号楼'!C22</f>
        <v>52.93</v>
      </c>
      <c r="C42" s="21">
        <f t="shared" si="8"/>
        <v>1</v>
      </c>
      <c r="D42" s="633"/>
      <c r="E42" s="21">
        <f t="shared" si="9"/>
        <v>1</v>
      </c>
      <c r="F42" s="633"/>
      <c r="G42" s="21">
        <f t="shared" si="10"/>
        <v>1</v>
      </c>
      <c r="H42" s="633"/>
      <c r="I42" s="21">
        <f t="shared" si="11"/>
        <v>1</v>
      </c>
      <c r="J42" s="633"/>
      <c r="K42" s="21">
        <f t="shared" si="12"/>
        <v>1</v>
      </c>
      <c r="L42" s="633"/>
      <c r="M42" s="21">
        <f t="shared" si="13"/>
        <v>1</v>
      </c>
      <c r="N42" s="633"/>
      <c r="O42" s="21">
        <f t="shared" si="14"/>
        <v>1</v>
      </c>
      <c r="P42" s="2565" t="s">
        <v>4857</v>
      </c>
      <c r="Q42" s="21">
        <f t="shared" si="15"/>
        <v>1</v>
      </c>
      <c r="R42" s="21">
        <f t="shared" ca="1" si="16"/>
        <v>18.577999999999999</v>
      </c>
      <c r="S42" s="307">
        <f t="shared" ca="1" si="7"/>
        <v>0</v>
      </c>
      <c r="T42" s="687"/>
    </row>
    <row r="43" spans="1:20">
      <c r="A43" s="631" t="str">
        <f>'5号楼'!B23</f>
        <v>B2020</v>
      </c>
      <c r="B43" s="631">
        <f>'5号楼'!C23</f>
        <v>52.93</v>
      </c>
      <c r="C43" s="21">
        <f t="shared" si="8"/>
        <v>1</v>
      </c>
      <c r="D43" s="633"/>
      <c r="E43" s="21">
        <f t="shared" si="9"/>
        <v>1</v>
      </c>
      <c r="F43" s="633"/>
      <c r="G43" s="21">
        <f t="shared" si="10"/>
        <v>1</v>
      </c>
      <c r="H43" s="633"/>
      <c r="I43" s="21">
        <f t="shared" si="11"/>
        <v>1</v>
      </c>
      <c r="J43" s="633"/>
      <c r="K43" s="21">
        <f t="shared" si="12"/>
        <v>1</v>
      </c>
      <c r="L43" s="633"/>
      <c r="M43" s="21">
        <f t="shared" si="13"/>
        <v>1</v>
      </c>
      <c r="N43" s="633"/>
      <c r="O43" s="21">
        <f t="shared" si="14"/>
        <v>1</v>
      </c>
      <c r="P43" s="2565" t="s">
        <v>4857</v>
      </c>
      <c r="Q43" s="21">
        <f t="shared" si="15"/>
        <v>1</v>
      </c>
      <c r="R43" s="21">
        <f t="shared" ca="1" si="16"/>
        <v>18.577999999999999</v>
      </c>
      <c r="S43" s="307">
        <f t="shared" ca="1" si="7"/>
        <v>0</v>
      </c>
      <c r="T43" s="687"/>
    </row>
    <row r="44" spans="1:20">
      <c r="A44" s="631" t="str">
        <f>'5号楼'!B24</f>
        <v>B2021</v>
      </c>
      <c r="B44" s="631">
        <f>'5号楼'!C24</f>
        <v>52.93</v>
      </c>
      <c r="C44" s="21">
        <f t="shared" si="8"/>
        <v>1</v>
      </c>
      <c r="D44" s="633"/>
      <c r="E44" s="21">
        <f t="shared" si="9"/>
        <v>1</v>
      </c>
      <c r="F44" s="633"/>
      <c r="G44" s="21">
        <f t="shared" si="10"/>
        <v>1</v>
      </c>
      <c r="H44" s="633"/>
      <c r="I44" s="21">
        <f t="shared" si="11"/>
        <v>1</v>
      </c>
      <c r="J44" s="633"/>
      <c r="K44" s="21">
        <f t="shared" si="12"/>
        <v>1</v>
      </c>
      <c r="L44" s="633"/>
      <c r="M44" s="21">
        <f t="shared" si="13"/>
        <v>1</v>
      </c>
      <c r="N44" s="633"/>
      <c r="O44" s="21">
        <f t="shared" si="14"/>
        <v>1</v>
      </c>
      <c r="P44" s="2565" t="s">
        <v>4857</v>
      </c>
      <c r="Q44" s="21">
        <f t="shared" si="15"/>
        <v>1</v>
      </c>
      <c r="R44" s="21">
        <f t="shared" ca="1" si="16"/>
        <v>18.577999999999999</v>
      </c>
      <c r="S44" s="307">
        <f t="shared" ca="1" si="7"/>
        <v>0</v>
      </c>
      <c r="T44" s="687"/>
    </row>
    <row r="45" spans="1:20">
      <c r="A45" s="631" t="str">
        <f>'5号楼'!B25</f>
        <v>B2022</v>
      </c>
      <c r="B45" s="631">
        <f>'5号楼'!C25</f>
        <v>52.93</v>
      </c>
      <c r="C45" s="21">
        <f t="shared" si="8"/>
        <v>1</v>
      </c>
      <c r="D45" s="633"/>
      <c r="E45" s="21">
        <f t="shared" si="9"/>
        <v>1</v>
      </c>
      <c r="F45" s="633"/>
      <c r="G45" s="21">
        <f t="shared" si="10"/>
        <v>1</v>
      </c>
      <c r="H45" s="633"/>
      <c r="I45" s="21">
        <f t="shared" si="11"/>
        <v>1</v>
      </c>
      <c r="J45" s="633"/>
      <c r="K45" s="21">
        <f t="shared" si="12"/>
        <v>1</v>
      </c>
      <c r="L45" s="633"/>
      <c r="M45" s="21">
        <f t="shared" si="13"/>
        <v>1</v>
      </c>
      <c r="N45" s="633"/>
      <c r="O45" s="21">
        <f t="shared" si="14"/>
        <v>1</v>
      </c>
      <c r="P45" s="2565" t="s">
        <v>4857</v>
      </c>
      <c r="Q45" s="21">
        <f t="shared" si="15"/>
        <v>1</v>
      </c>
      <c r="R45" s="21">
        <f t="shared" ca="1" si="16"/>
        <v>18.577999999999999</v>
      </c>
      <c r="S45" s="307">
        <f t="shared" ca="1" si="7"/>
        <v>0</v>
      </c>
      <c r="T45" s="687"/>
    </row>
    <row r="46" spans="1:20">
      <c r="A46" s="631" t="str">
        <f>'5号楼'!B26</f>
        <v>B2023</v>
      </c>
      <c r="B46" s="631">
        <f>'5号楼'!C26</f>
        <v>52.93</v>
      </c>
      <c r="C46" s="21">
        <f t="shared" si="8"/>
        <v>1</v>
      </c>
      <c r="D46" s="633"/>
      <c r="E46" s="21">
        <f t="shared" si="9"/>
        <v>1</v>
      </c>
      <c r="F46" s="633"/>
      <c r="G46" s="21">
        <f t="shared" si="10"/>
        <v>1</v>
      </c>
      <c r="H46" s="633"/>
      <c r="I46" s="21">
        <f t="shared" si="11"/>
        <v>1</v>
      </c>
      <c r="J46" s="633"/>
      <c r="K46" s="21">
        <f t="shared" si="12"/>
        <v>1</v>
      </c>
      <c r="L46" s="633"/>
      <c r="M46" s="21">
        <f t="shared" si="13"/>
        <v>1</v>
      </c>
      <c r="N46" s="633"/>
      <c r="O46" s="21">
        <f t="shared" si="14"/>
        <v>1</v>
      </c>
      <c r="P46" s="2565" t="s">
        <v>4857</v>
      </c>
      <c r="Q46" s="21">
        <f t="shared" si="15"/>
        <v>1</v>
      </c>
      <c r="R46" s="21">
        <f t="shared" ca="1" si="16"/>
        <v>18.577999999999999</v>
      </c>
      <c r="S46" s="307">
        <f t="shared" ca="1" si="7"/>
        <v>0</v>
      </c>
      <c r="T46" s="687"/>
    </row>
    <row r="47" spans="1:20">
      <c r="A47" s="631" t="str">
        <f>'5号楼'!B27</f>
        <v>B2024</v>
      </c>
      <c r="B47" s="631">
        <f>'5号楼'!C27</f>
        <v>52.93</v>
      </c>
      <c r="C47" s="21">
        <f t="shared" si="8"/>
        <v>1</v>
      </c>
      <c r="D47" s="633"/>
      <c r="E47" s="21">
        <f t="shared" si="9"/>
        <v>1</v>
      </c>
      <c r="F47" s="633"/>
      <c r="G47" s="21">
        <f t="shared" si="10"/>
        <v>1</v>
      </c>
      <c r="H47" s="633"/>
      <c r="I47" s="21">
        <f t="shared" si="11"/>
        <v>1</v>
      </c>
      <c r="J47" s="633"/>
      <c r="K47" s="21">
        <f t="shared" si="12"/>
        <v>1</v>
      </c>
      <c r="L47" s="633"/>
      <c r="M47" s="21">
        <f t="shared" si="13"/>
        <v>1</v>
      </c>
      <c r="N47" s="633"/>
      <c r="O47" s="21">
        <f t="shared" si="14"/>
        <v>1</v>
      </c>
      <c r="P47" s="2565" t="s">
        <v>4857</v>
      </c>
      <c r="Q47" s="21">
        <f t="shared" si="15"/>
        <v>1</v>
      </c>
      <c r="R47" s="21">
        <f t="shared" ca="1" si="16"/>
        <v>18.577999999999999</v>
      </c>
      <c r="S47" s="307">
        <f t="shared" ca="1" si="7"/>
        <v>0</v>
      </c>
      <c r="T47" s="687"/>
    </row>
    <row r="48" spans="1:20">
      <c r="A48" s="631" t="str">
        <f>'5号楼'!B28</f>
        <v>B2025</v>
      </c>
      <c r="B48" s="631">
        <f>'5号楼'!C28</f>
        <v>50.93</v>
      </c>
      <c r="C48" s="21">
        <f t="shared" si="8"/>
        <v>1</v>
      </c>
      <c r="D48" s="633"/>
      <c r="E48" s="21">
        <f t="shared" si="9"/>
        <v>1</v>
      </c>
      <c r="F48" s="633"/>
      <c r="G48" s="21">
        <f t="shared" si="10"/>
        <v>1</v>
      </c>
      <c r="H48" s="633"/>
      <c r="I48" s="21">
        <f t="shared" si="11"/>
        <v>1</v>
      </c>
      <c r="J48" s="633"/>
      <c r="K48" s="21">
        <f t="shared" si="12"/>
        <v>1</v>
      </c>
      <c r="L48" s="633"/>
      <c r="M48" s="21">
        <f t="shared" si="13"/>
        <v>1</v>
      </c>
      <c r="N48" s="633"/>
      <c r="O48" s="21">
        <f t="shared" si="14"/>
        <v>1</v>
      </c>
      <c r="P48" s="2565" t="s">
        <v>4857</v>
      </c>
      <c r="Q48" s="21">
        <f t="shared" si="15"/>
        <v>1</v>
      </c>
      <c r="R48" s="21">
        <f t="shared" ca="1" si="16"/>
        <v>18.577999999999999</v>
      </c>
      <c r="S48" s="307">
        <f t="shared" ca="1" si="7"/>
        <v>0</v>
      </c>
      <c r="T48" s="687"/>
    </row>
    <row r="49" spans="1:20">
      <c r="A49" s="631" t="str">
        <f>'5号楼'!B29</f>
        <v>B2026</v>
      </c>
      <c r="B49" s="631">
        <f>'5号楼'!C29</f>
        <v>50.93</v>
      </c>
      <c r="C49" s="21">
        <f t="shared" si="8"/>
        <v>1</v>
      </c>
      <c r="D49" s="633"/>
      <c r="E49" s="21">
        <f t="shared" si="9"/>
        <v>1</v>
      </c>
      <c r="F49" s="633"/>
      <c r="G49" s="21">
        <f t="shared" si="10"/>
        <v>1</v>
      </c>
      <c r="H49" s="633"/>
      <c r="I49" s="21">
        <f t="shared" si="11"/>
        <v>1</v>
      </c>
      <c r="J49" s="633"/>
      <c r="K49" s="21">
        <f t="shared" si="12"/>
        <v>1</v>
      </c>
      <c r="L49" s="633"/>
      <c r="M49" s="21">
        <f t="shared" si="13"/>
        <v>1</v>
      </c>
      <c r="N49" s="633"/>
      <c r="O49" s="21">
        <f t="shared" si="14"/>
        <v>1</v>
      </c>
      <c r="P49" s="2565" t="s">
        <v>4857</v>
      </c>
      <c r="Q49" s="21">
        <f t="shared" si="15"/>
        <v>1</v>
      </c>
      <c r="R49" s="21">
        <f t="shared" ca="1" si="16"/>
        <v>18.577999999999999</v>
      </c>
      <c r="S49" s="307">
        <f t="shared" ca="1" si="7"/>
        <v>0</v>
      </c>
      <c r="T49" s="687"/>
    </row>
    <row r="50" spans="1:20">
      <c r="A50" s="631" t="str">
        <f>'5号楼'!B30</f>
        <v>B2027</v>
      </c>
      <c r="B50" s="631">
        <f>'5号楼'!C30</f>
        <v>50.93</v>
      </c>
      <c r="C50" s="21">
        <f t="shared" si="8"/>
        <v>1</v>
      </c>
      <c r="D50" s="633"/>
      <c r="E50" s="21">
        <f t="shared" si="9"/>
        <v>1</v>
      </c>
      <c r="F50" s="633"/>
      <c r="G50" s="21">
        <f t="shared" si="10"/>
        <v>1</v>
      </c>
      <c r="H50" s="633"/>
      <c r="I50" s="21">
        <f t="shared" si="11"/>
        <v>1</v>
      </c>
      <c r="J50" s="633"/>
      <c r="K50" s="21">
        <f t="shared" si="12"/>
        <v>1</v>
      </c>
      <c r="L50" s="633"/>
      <c r="M50" s="21">
        <f t="shared" si="13"/>
        <v>1</v>
      </c>
      <c r="N50" s="633"/>
      <c r="O50" s="21">
        <f t="shared" si="14"/>
        <v>1</v>
      </c>
      <c r="P50" s="2565" t="s">
        <v>4857</v>
      </c>
      <c r="Q50" s="21">
        <f t="shared" si="15"/>
        <v>1</v>
      </c>
      <c r="R50" s="21">
        <f t="shared" ca="1" si="16"/>
        <v>18.577999999999999</v>
      </c>
      <c r="S50" s="307">
        <f t="shared" ca="1" si="7"/>
        <v>0</v>
      </c>
      <c r="T50" s="687"/>
    </row>
    <row r="51" spans="1:20">
      <c r="A51" s="631" t="str">
        <f>'5号楼'!B31</f>
        <v>B2028</v>
      </c>
      <c r="B51" s="631">
        <f>'5号楼'!C31</f>
        <v>50.93</v>
      </c>
      <c r="C51" s="21">
        <f t="shared" si="8"/>
        <v>1</v>
      </c>
      <c r="D51" s="633"/>
      <c r="E51" s="21">
        <f t="shared" si="9"/>
        <v>1</v>
      </c>
      <c r="F51" s="633"/>
      <c r="G51" s="21">
        <f t="shared" si="10"/>
        <v>1</v>
      </c>
      <c r="H51" s="633"/>
      <c r="I51" s="21">
        <f t="shared" si="11"/>
        <v>1</v>
      </c>
      <c r="J51" s="633"/>
      <c r="K51" s="21">
        <f t="shared" si="12"/>
        <v>1</v>
      </c>
      <c r="L51" s="633"/>
      <c r="M51" s="21">
        <f t="shared" si="13"/>
        <v>1</v>
      </c>
      <c r="N51" s="633"/>
      <c r="O51" s="21">
        <f t="shared" si="14"/>
        <v>1</v>
      </c>
      <c r="P51" s="2565" t="s">
        <v>4857</v>
      </c>
      <c r="Q51" s="21">
        <f t="shared" si="15"/>
        <v>1</v>
      </c>
      <c r="R51" s="21">
        <f t="shared" ca="1" si="16"/>
        <v>18.577999999999999</v>
      </c>
      <c r="S51" s="307">
        <f t="shared" ca="1" si="7"/>
        <v>0</v>
      </c>
      <c r="T51" s="687"/>
    </row>
    <row r="52" spans="1:20">
      <c r="A52" s="631" t="str">
        <f>'5号楼'!B32</f>
        <v>B2029</v>
      </c>
      <c r="B52" s="631">
        <f>'5号楼'!C32</f>
        <v>50.93</v>
      </c>
      <c r="C52" s="21">
        <f t="shared" si="8"/>
        <v>1</v>
      </c>
      <c r="D52" s="633"/>
      <c r="E52" s="21">
        <f t="shared" si="9"/>
        <v>1</v>
      </c>
      <c r="F52" s="633"/>
      <c r="G52" s="21">
        <f t="shared" si="10"/>
        <v>1</v>
      </c>
      <c r="H52" s="633"/>
      <c r="I52" s="21">
        <f t="shared" si="11"/>
        <v>1</v>
      </c>
      <c r="J52" s="633"/>
      <c r="K52" s="21">
        <f t="shared" si="12"/>
        <v>1</v>
      </c>
      <c r="L52" s="633"/>
      <c r="M52" s="21">
        <f t="shared" si="13"/>
        <v>1</v>
      </c>
      <c r="N52" s="633"/>
      <c r="O52" s="21">
        <f t="shared" si="14"/>
        <v>1</v>
      </c>
      <c r="P52" s="2565" t="s">
        <v>4857</v>
      </c>
      <c r="Q52" s="21">
        <f t="shared" si="15"/>
        <v>1</v>
      </c>
      <c r="R52" s="21">
        <f t="shared" ca="1" si="16"/>
        <v>18.577999999999999</v>
      </c>
      <c r="S52" s="307">
        <f t="shared" ca="1" si="7"/>
        <v>0</v>
      </c>
      <c r="T52" s="687"/>
    </row>
    <row r="53" spans="1:20">
      <c r="A53" s="631" t="str">
        <f>'5号楼'!B33</f>
        <v>B2030</v>
      </c>
      <c r="B53" s="631">
        <f>'5号楼'!C33</f>
        <v>50.93</v>
      </c>
      <c r="C53" s="21">
        <f t="shared" si="8"/>
        <v>1</v>
      </c>
      <c r="D53" s="633"/>
      <c r="E53" s="21">
        <f t="shared" si="9"/>
        <v>1</v>
      </c>
      <c r="F53" s="633"/>
      <c r="G53" s="21">
        <f t="shared" si="10"/>
        <v>1</v>
      </c>
      <c r="H53" s="633"/>
      <c r="I53" s="21">
        <f t="shared" si="11"/>
        <v>1</v>
      </c>
      <c r="J53" s="633"/>
      <c r="K53" s="21">
        <f t="shared" si="12"/>
        <v>1</v>
      </c>
      <c r="L53" s="633"/>
      <c r="M53" s="21">
        <f t="shared" si="13"/>
        <v>1</v>
      </c>
      <c r="N53" s="633"/>
      <c r="O53" s="21">
        <f t="shared" si="14"/>
        <v>1</v>
      </c>
      <c r="P53" s="2565" t="s">
        <v>4857</v>
      </c>
      <c r="Q53" s="21">
        <f t="shared" si="15"/>
        <v>1</v>
      </c>
      <c r="R53" s="21">
        <f t="shared" ca="1" si="16"/>
        <v>18.577999999999999</v>
      </c>
      <c r="S53" s="307">
        <f t="shared" ca="1" si="7"/>
        <v>0</v>
      </c>
      <c r="T53" s="687"/>
    </row>
    <row r="54" spans="1:20">
      <c r="A54" s="631" t="str">
        <f>'5号楼'!B34</f>
        <v>B2031</v>
      </c>
      <c r="B54" s="631">
        <f>'5号楼'!C34</f>
        <v>50.93</v>
      </c>
      <c r="C54" s="21">
        <f t="shared" si="8"/>
        <v>1</v>
      </c>
      <c r="D54" s="633"/>
      <c r="E54" s="21">
        <f t="shared" si="9"/>
        <v>1</v>
      </c>
      <c r="F54" s="633"/>
      <c r="G54" s="21">
        <f t="shared" si="10"/>
        <v>1</v>
      </c>
      <c r="H54" s="633"/>
      <c r="I54" s="21">
        <f t="shared" si="11"/>
        <v>1</v>
      </c>
      <c r="J54" s="633"/>
      <c r="K54" s="21">
        <f t="shared" si="12"/>
        <v>1</v>
      </c>
      <c r="L54" s="633"/>
      <c r="M54" s="21">
        <f t="shared" si="13"/>
        <v>1</v>
      </c>
      <c r="N54" s="633"/>
      <c r="O54" s="21">
        <f t="shared" si="14"/>
        <v>1</v>
      </c>
      <c r="P54" s="2565" t="s">
        <v>4857</v>
      </c>
      <c r="Q54" s="21">
        <f t="shared" si="15"/>
        <v>1</v>
      </c>
      <c r="R54" s="21">
        <f t="shared" ca="1" si="16"/>
        <v>18.577999999999999</v>
      </c>
      <c r="S54" s="307">
        <f t="shared" ca="1" si="7"/>
        <v>0</v>
      </c>
      <c r="T54" s="687"/>
    </row>
    <row r="55" spans="1:20">
      <c r="A55" s="631" t="str">
        <f>'5号楼'!B35</f>
        <v>B2032</v>
      </c>
      <c r="B55" s="631">
        <f>'5号楼'!C35</f>
        <v>50.93</v>
      </c>
      <c r="C55" s="21">
        <f t="shared" si="8"/>
        <v>1</v>
      </c>
      <c r="D55" s="633"/>
      <c r="E55" s="21">
        <f t="shared" si="9"/>
        <v>1</v>
      </c>
      <c r="F55" s="633"/>
      <c r="G55" s="21">
        <f t="shared" si="10"/>
        <v>1</v>
      </c>
      <c r="H55" s="633"/>
      <c r="I55" s="21">
        <f t="shared" si="11"/>
        <v>1</v>
      </c>
      <c r="J55" s="633"/>
      <c r="K55" s="21">
        <f t="shared" si="12"/>
        <v>1</v>
      </c>
      <c r="L55" s="633"/>
      <c r="M55" s="21">
        <f t="shared" si="13"/>
        <v>1</v>
      </c>
      <c r="N55" s="633"/>
      <c r="O55" s="21">
        <f t="shared" si="14"/>
        <v>1</v>
      </c>
      <c r="P55" s="2565" t="s">
        <v>4857</v>
      </c>
      <c r="Q55" s="21">
        <f t="shared" si="15"/>
        <v>1</v>
      </c>
      <c r="R55" s="21">
        <f t="shared" ca="1" si="16"/>
        <v>18.577999999999999</v>
      </c>
      <c r="S55" s="307">
        <f t="shared" ca="1" si="7"/>
        <v>0</v>
      </c>
      <c r="T55" s="687"/>
    </row>
    <row r="56" spans="1:20">
      <c r="A56" s="631" t="str">
        <f>'5号楼'!B36</f>
        <v>B2033</v>
      </c>
      <c r="B56" s="631">
        <f>'5号楼'!C36</f>
        <v>50.93</v>
      </c>
      <c r="C56" s="21">
        <f t="shared" si="8"/>
        <v>1</v>
      </c>
      <c r="D56" s="633"/>
      <c r="E56" s="21">
        <f t="shared" si="9"/>
        <v>1</v>
      </c>
      <c r="F56" s="633"/>
      <c r="G56" s="21">
        <f t="shared" si="10"/>
        <v>1</v>
      </c>
      <c r="H56" s="633"/>
      <c r="I56" s="21">
        <f t="shared" si="11"/>
        <v>1</v>
      </c>
      <c r="J56" s="633"/>
      <c r="K56" s="21">
        <f t="shared" si="12"/>
        <v>1</v>
      </c>
      <c r="L56" s="633"/>
      <c r="M56" s="21">
        <f t="shared" si="13"/>
        <v>1</v>
      </c>
      <c r="N56" s="633"/>
      <c r="O56" s="21">
        <f t="shared" si="14"/>
        <v>1</v>
      </c>
      <c r="P56" s="2565" t="s">
        <v>4857</v>
      </c>
      <c r="Q56" s="21">
        <f t="shared" si="15"/>
        <v>1</v>
      </c>
      <c r="R56" s="21">
        <f t="shared" ca="1" si="16"/>
        <v>18.577999999999999</v>
      </c>
      <c r="S56" s="307">
        <f t="shared" ca="1" si="7"/>
        <v>0</v>
      </c>
      <c r="T56" s="687"/>
    </row>
    <row r="57" spans="1:20">
      <c r="A57" s="631" t="str">
        <f>'5号楼'!B37</f>
        <v>B2034</v>
      </c>
      <c r="B57" s="631">
        <f>'5号楼'!C37</f>
        <v>50.93</v>
      </c>
      <c r="C57" s="21">
        <f t="shared" si="8"/>
        <v>1</v>
      </c>
      <c r="D57" s="633"/>
      <c r="E57" s="21">
        <f t="shared" si="9"/>
        <v>1</v>
      </c>
      <c r="F57" s="633"/>
      <c r="G57" s="21">
        <f t="shared" si="10"/>
        <v>1</v>
      </c>
      <c r="H57" s="633"/>
      <c r="I57" s="21">
        <f t="shared" si="11"/>
        <v>1</v>
      </c>
      <c r="J57" s="633"/>
      <c r="K57" s="21">
        <f t="shared" si="12"/>
        <v>1</v>
      </c>
      <c r="L57" s="633"/>
      <c r="M57" s="21">
        <f t="shared" si="13"/>
        <v>1</v>
      </c>
      <c r="N57" s="633"/>
      <c r="O57" s="21">
        <f t="shared" si="14"/>
        <v>1</v>
      </c>
      <c r="P57" s="2565" t="s">
        <v>4857</v>
      </c>
      <c r="Q57" s="21">
        <f t="shared" si="15"/>
        <v>1</v>
      </c>
      <c r="R57" s="21">
        <f t="shared" ca="1" si="16"/>
        <v>18.577999999999999</v>
      </c>
      <c r="S57" s="307">
        <f t="shared" ca="1" si="7"/>
        <v>0</v>
      </c>
      <c r="T57" s="687"/>
    </row>
    <row r="58" spans="1:20">
      <c r="A58" s="631" t="str">
        <f>'5号楼'!B38</f>
        <v>B2035</v>
      </c>
      <c r="B58" s="631">
        <f>'5号楼'!C38</f>
        <v>50.93</v>
      </c>
      <c r="C58" s="21">
        <f t="shared" si="8"/>
        <v>1</v>
      </c>
      <c r="D58" s="633"/>
      <c r="E58" s="21">
        <f t="shared" si="9"/>
        <v>1</v>
      </c>
      <c r="F58" s="633"/>
      <c r="G58" s="21">
        <f t="shared" si="10"/>
        <v>1</v>
      </c>
      <c r="H58" s="633"/>
      <c r="I58" s="21">
        <f t="shared" si="11"/>
        <v>1</v>
      </c>
      <c r="J58" s="633"/>
      <c r="K58" s="21">
        <f t="shared" si="12"/>
        <v>1</v>
      </c>
      <c r="L58" s="633"/>
      <c r="M58" s="21">
        <f t="shared" si="13"/>
        <v>1</v>
      </c>
      <c r="N58" s="633"/>
      <c r="O58" s="21">
        <f t="shared" si="14"/>
        <v>1</v>
      </c>
      <c r="P58" s="2565" t="s">
        <v>4857</v>
      </c>
      <c r="Q58" s="21">
        <f t="shared" si="15"/>
        <v>1</v>
      </c>
      <c r="R58" s="21">
        <f t="shared" ca="1" si="16"/>
        <v>18.577999999999999</v>
      </c>
      <c r="S58" s="307">
        <f t="shared" ca="1" si="7"/>
        <v>0</v>
      </c>
      <c r="T58" s="687"/>
    </row>
    <row r="59" spans="1:20">
      <c r="A59" s="631" t="str">
        <f>'5号楼'!B39</f>
        <v>B2036</v>
      </c>
      <c r="B59" s="631">
        <f>'5号楼'!C39</f>
        <v>50.93</v>
      </c>
      <c r="C59" s="21">
        <f t="shared" si="8"/>
        <v>1</v>
      </c>
      <c r="D59" s="633"/>
      <c r="E59" s="21">
        <f t="shared" si="9"/>
        <v>1</v>
      </c>
      <c r="F59" s="633"/>
      <c r="G59" s="21">
        <f t="shared" si="10"/>
        <v>1</v>
      </c>
      <c r="H59" s="633"/>
      <c r="I59" s="21">
        <f t="shared" si="11"/>
        <v>1</v>
      </c>
      <c r="J59" s="633"/>
      <c r="K59" s="21">
        <f t="shared" si="12"/>
        <v>1</v>
      </c>
      <c r="L59" s="633"/>
      <c r="M59" s="21">
        <f t="shared" si="13"/>
        <v>1</v>
      </c>
      <c r="N59" s="633"/>
      <c r="O59" s="21">
        <f t="shared" si="14"/>
        <v>1</v>
      </c>
      <c r="P59" s="2565" t="s">
        <v>4857</v>
      </c>
      <c r="Q59" s="21">
        <f t="shared" si="15"/>
        <v>1</v>
      </c>
      <c r="R59" s="21">
        <f t="shared" ca="1" si="16"/>
        <v>18.577999999999999</v>
      </c>
      <c r="S59" s="307">
        <f t="shared" ca="1" si="7"/>
        <v>0</v>
      </c>
      <c r="T59" s="687"/>
    </row>
    <row r="60" spans="1:20">
      <c r="A60" s="631" t="str">
        <f>'5号楼'!B40</f>
        <v>B2037</v>
      </c>
      <c r="B60" s="631">
        <f>'5号楼'!C40</f>
        <v>50.93</v>
      </c>
      <c r="C60" s="21">
        <f t="shared" si="8"/>
        <v>1</v>
      </c>
      <c r="D60" s="633"/>
      <c r="E60" s="21">
        <f t="shared" si="9"/>
        <v>1</v>
      </c>
      <c r="F60" s="633"/>
      <c r="G60" s="21">
        <f t="shared" si="10"/>
        <v>1</v>
      </c>
      <c r="H60" s="633"/>
      <c r="I60" s="21">
        <f t="shared" si="11"/>
        <v>1</v>
      </c>
      <c r="J60" s="633"/>
      <c r="K60" s="21">
        <f t="shared" si="12"/>
        <v>1</v>
      </c>
      <c r="L60" s="633"/>
      <c r="M60" s="21">
        <f t="shared" si="13"/>
        <v>1</v>
      </c>
      <c r="N60" s="633"/>
      <c r="O60" s="21">
        <f t="shared" si="14"/>
        <v>1</v>
      </c>
      <c r="P60" s="2565" t="s">
        <v>4857</v>
      </c>
      <c r="Q60" s="21">
        <f t="shared" si="15"/>
        <v>1</v>
      </c>
      <c r="R60" s="21">
        <f t="shared" ca="1" si="16"/>
        <v>18.577999999999999</v>
      </c>
      <c r="S60" s="307">
        <f t="shared" ca="1" si="7"/>
        <v>0</v>
      </c>
      <c r="T60" s="687"/>
    </row>
    <row r="61" spans="1:20">
      <c r="A61" s="631" t="str">
        <f>'5号楼'!B41</f>
        <v>B2038</v>
      </c>
      <c r="B61" s="631">
        <f>'5号楼'!C41</f>
        <v>50.93</v>
      </c>
      <c r="C61" s="21">
        <f t="shared" si="8"/>
        <v>1</v>
      </c>
      <c r="D61" s="633"/>
      <c r="E61" s="21">
        <f t="shared" si="9"/>
        <v>1</v>
      </c>
      <c r="F61" s="633"/>
      <c r="G61" s="21">
        <f t="shared" si="10"/>
        <v>1</v>
      </c>
      <c r="H61" s="633"/>
      <c r="I61" s="21">
        <f t="shared" si="11"/>
        <v>1</v>
      </c>
      <c r="J61" s="633"/>
      <c r="K61" s="21">
        <f t="shared" si="12"/>
        <v>1</v>
      </c>
      <c r="L61" s="633"/>
      <c r="M61" s="21">
        <f t="shared" si="13"/>
        <v>1</v>
      </c>
      <c r="N61" s="633"/>
      <c r="O61" s="21">
        <f t="shared" si="14"/>
        <v>1</v>
      </c>
      <c r="P61" s="2565" t="s">
        <v>4857</v>
      </c>
      <c r="Q61" s="21">
        <f t="shared" si="15"/>
        <v>1</v>
      </c>
      <c r="R61" s="21">
        <f t="shared" ca="1" si="16"/>
        <v>18.577999999999999</v>
      </c>
      <c r="S61" s="307">
        <f t="shared" ca="1" si="7"/>
        <v>0</v>
      </c>
      <c r="T61" s="687"/>
    </row>
    <row r="62" spans="1:20">
      <c r="A62" s="631" t="str">
        <f>'5号楼'!B42</f>
        <v>B2039</v>
      </c>
      <c r="B62" s="631">
        <f>'5号楼'!C42</f>
        <v>50.93</v>
      </c>
      <c r="C62" s="21">
        <f t="shared" si="8"/>
        <v>1</v>
      </c>
      <c r="D62" s="633"/>
      <c r="E62" s="21">
        <f t="shared" si="9"/>
        <v>1</v>
      </c>
      <c r="F62" s="633"/>
      <c r="G62" s="21">
        <f t="shared" si="10"/>
        <v>1</v>
      </c>
      <c r="H62" s="633"/>
      <c r="I62" s="21">
        <f t="shared" si="11"/>
        <v>1</v>
      </c>
      <c r="J62" s="633"/>
      <c r="K62" s="21">
        <f t="shared" si="12"/>
        <v>1</v>
      </c>
      <c r="L62" s="633"/>
      <c r="M62" s="21">
        <f t="shared" si="13"/>
        <v>1</v>
      </c>
      <c r="N62" s="633"/>
      <c r="O62" s="21">
        <f t="shared" si="14"/>
        <v>1</v>
      </c>
      <c r="P62" s="2565" t="s">
        <v>4857</v>
      </c>
      <c r="Q62" s="21">
        <f t="shared" si="15"/>
        <v>1</v>
      </c>
      <c r="R62" s="21">
        <f t="shared" ca="1" si="16"/>
        <v>18.577999999999999</v>
      </c>
      <c r="S62" s="307">
        <f t="shared" ca="1" si="7"/>
        <v>0</v>
      </c>
      <c r="T62" s="687"/>
    </row>
    <row r="63" spans="1:20">
      <c r="A63" s="631" t="str">
        <f>'5号楼'!B43</f>
        <v>B2040</v>
      </c>
      <c r="B63" s="631">
        <f>'5号楼'!C43</f>
        <v>50.93</v>
      </c>
      <c r="C63" s="21">
        <f t="shared" si="8"/>
        <v>1</v>
      </c>
      <c r="D63" s="633"/>
      <c r="E63" s="21">
        <f t="shared" si="9"/>
        <v>1</v>
      </c>
      <c r="F63" s="633"/>
      <c r="G63" s="21">
        <f t="shared" si="10"/>
        <v>1</v>
      </c>
      <c r="H63" s="633"/>
      <c r="I63" s="21">
        <f t="shared" si="11"/>
        <v>1</v>
      </c>
      <c r="J63" s="633"/>
      <c r="K63" s="21">
        <f t="shared" si="12"/>
        <v>1</v>
      </c>
      <c r="L63" s="633"/>
      <c r="M63" s="21">
        <f t="shared" si="13"/>
        <v>1</v>
      </c>
      <c r="N63" s="633"/>
      <c r="O63" s="21">
        <f t="shared" si="14"/>
        <v>1</v>
      </c>
      <c r="P63" s="2565" t="s">
        <v>4857</v>
      </c>
      <c r="Q63" s="21">
        <f t="shared" si="15"/>
        <v>1</v>
      </c>
      <c r="R63" s="21">
        <f t="shared" ca="1" si="16"/>
        <v>18.577999999999999</v>
      </c>
      <c r="S63" s="307">
        <f t="shared" ca="1" si="7"/>
        <v>0</v>
      </c>
      <c r="T63" s="687"/>
    </row>
    <row r="64" spans="1:20">
      <c r="A64" s="631" t="str">
        <f>'5号楼'!B44</f>
        <v>B2041</v>
      </c>
      <c r="B64" s="631">
        <f>'5号楼'!C44</f>
        <v>50.93</v>
      </c>
      <c r="C64" s="21">
        <f t="shared" si="8"/>
        <v>1</v>
      </c>
      <c r="D64" s="633"/>
      <c r="E64" s="21">
        <f t="shared" si="9"/>
        <v>1</v>
      </c>
      <c r="F64" s="633"/>
      <c r="G64" s="21">
        <f t="shared" si="10"/>
        <v>1</v>
      </c>
      <c r="H64" s="633"/>
      <c r="I64" s="21">
        <f t="shared" si="11"/>
        <v>1</v>
      </c>
      <c r="J64" s="633"/>
      <c r="K64" s="21">
        <f t="shared" si="12"/>
        <v>1</v>
      </c>
      <c r="L64" s="633"/>
      <c r="M64" s="21">
        <f t="shared" si="13"/>
        <v>1</v>
      </c>
      <c r="N64" s="633"/>
      <c r="O64" s="21">
        <f t="shared" si="14"/>
        <v>1</v>
      </c>
      <c r="P64" s="2565" t="s">
        <v>4857</v>
      </c>
      <c r="Q64" s="21">
        <f t="shared" si="15"/>
        <v>1</v>
      </c>
      <c r="R64" s="21">
        <f t="shared" ca="1" si="16"/>
        <v>18.577999999999999</v>
      </c>
      <c r="S64" s="307">
        <f t="shared" ca="1" si="7"/>
        <v>0</v>
      </c>
      <c r="T64" s="687"/>
    </row>
    <row r="65" spans="1:20">
      <c r="A65" s="631" t="str">
        <f>'5号楼'!B45</f>
        <v>B2042</v>
      </c>
      <c r="B65" s="631">
        <f>'5号楼'!C45</f>
        <v>50.93</v>
      </c>
      <c r="C65" s="21">
        <f t="shared" si="8"/>
        <v>1</v>
      </c>
      <c r="D65" s="633"/>
      <c r="E65" s="21">
        <f t="shared" si="9"/>
        <v>1</v>
      </c>
      <c r="F65" s="633"/>
      <c r="G65" s="21">
        <f t="shared" si="10"/>
        <v>1</v>
      </c>
      <c r="H65" s="633"/>
      <c r="I65" s="21">
        <f t="shared" si="11"/>
        <v>1</v>
      </c>
      <c r="J65" s="633"/>
      <c r="K65" s="21">
        <f t="shared" si="12"/>
        <v>1</v>
      </c>
      <c r="L65" s="633"/>
      <c r="M65" s="21">
        <f t="shared" si="13"/>
        <v>1</v>
      </c>
      <c r="N65" s="633"/>
      <c r="O65" s="21">
        <f t="shared" si="14"/>
        <v>1</v>
      </c>
      <c r="P65" s="2565" t="s">
        <v>4857</v>
      </c>
      <c r="Q65" s="21">
        <f t="shared" si="15"/>
        <v>1</v>
      </c>
      <c r="R65" s="21">
        <f t="shared" ca="1" si="16"/>
        <v>18.577999999999999</v>
      </c>
      <c r="S65" s="307">
        <f t="shared" ca="1" si="7"/>
        <v>0</v>
      </c>
      <c r="T65" s="687"/>
    </row>
    <row r="66" spans="1:20">
      <c r="A66" s="631" t="str">
        <f>'5号楼'!B46</f>
        <v>B2043</v>
      </c>
      <c r="B66" s="631">
        <f>'5号楼'!C46</f>
        <v>50.93</v>
      </c>
      <c r="C66" s="21">
        <f t="shared" si="8"/>
        <v>1</v>
      </c>
      <c r="D66" s="633"/>
      <c r="E66" s="21">
        <f t="shared" si="9"/>
        <v>1</v>
      </c>
      <c r="F66" s="633"/>
      <c r="G66" s="21">
        <f t="shared" si="10"/>
        <v>1</v>
      </c>
      <c r="H66" s="633"/>
      <c r="I66" s="21">
        <f t="shared" si="11"/>
        <v>1</v>
      </c>
      <c r="J66" s="633"/>
      <c r="K66" s="21">
        <f t="shared" si="12"/>
        <v>1</v>
      </c>
      <c r="L66" s="633"/>
      <c r="M66" s="21">
        <f t="shared" si="13"/>
        <v>1</v>
      </c>
      <c r="N66" s="633"/>
      <c r="O66" s="21">
        <f t="shared" si="14"/>
        <v>1</v>
      </c>
      <c r="P66" s="2565" t="s">
        <v>4857</v>
      </c>
      <c r="Q66" s="21">
        <f t="shared" si="15"/>
        <v>1</v>
      </c>
      <c r="R66" s="21">
        <f t="shared" ca="1" si="16"/>
        <v>18.577999999999999</v>
      </c>
      <c r="S66" s="307">
        <f t="shared" ca="1" si="7"/>
        <v>0</v>
      </c>
      <c r="T66" s="687"/>
    </row>
    <row r="67" spans="1:20">
      <c r="A67" s="631" t="str">
        <f>'5号楼'!B47</f>
        <v>B2044</v>
      </c>
      <c r="B67" s="631">
        <f>'5号楼'!C47</f>
        <v>50.93</v>
      </c>
      <c r="C67" s="21">
        <f t="shared" si="8"/>
        <v>1</v>
      </c>
      <c r="D67" s="633"/>
      <c r="E67" s="21">
        <f t="shared" si="9"/>
        <v>1</v>
      </c>
      <c r="F67" s="633"/>
      <c r="G67" s="21">
        <f t="shared" si="10"/>
        <v>1</v>
      </c>
      <c r="H67" s="633"/>
      <c r="I67" s="21">
        <f t="shared" si="11"/>
        <v>1</v>
      </c>
      <c r="J67" s="633"/>
      <c r="K67" s="21">
        <f t="shared" si="12"/>
        <v>1</v>
      </c>
      <c r="L67" s="633"/>
      <c r="M67" s="21">
        <f t="shared" si="13"/>
        <v>1</v>
      </c>
      <c r="N67" s="633"/>
      <c r="O67" s="21">
        <f t="shared" si="14"/>
        <v>1</v>
      </c>
      <c r="P67" s="2565" t="s">
        <v>4857</v>
      </c>
      <c r="Q67" s="21">
        <f t="shared" si="15"/>
        <v>1</v>
      </c>
      <c r="R67" s="21">
        <f t="shared" ca="1" si="16"/>
        <v>18.577999999999999</v>
      </c>
      <c r="S67" s="307">
        <f t="shared" ca="1" si="7"/>
        <v>0</v>
      </c>
      <c r="T67" s="687"/>
    </row>
    <row r="68" spans="1:20">
      <c r="A68" s="631" t="str">
        <f>'5号楼'!B48</f>
        <v>B2045</v>
      </c>
      <c r="B68" s="631">
        <f>'5号楼'!C48</f>
        <v>50.93</v>
      </c>
      <c r="C68" s="21">
        <f t="shared" si="8"/>
        <v>1</v>
      </c>
      <c r="D68" s="633"/>
      <c r="E68" s="21">
        <f t="shared" si="9"/>
        <v>1</v>
      </c>
      <c r="F68" s="633"/>
      <c r="G68" s="21">
        <f t="shared" si="10"/>
        <v>1</v>
      </c>
      <c r="H68" s="633"/>
      <c r="I68" s="21">
        <f t="shared" si="11"/>
        <v>1</v>
      </c>
      <c r="J68" s="633"/>
      <c r="K68" s="21">
        <f t="shared" si="12"/>
        <v>1</v>
      </c>
      <c r="L68" s="633"/>
      <c r="M68" s="21">
        <f t="shared" si="13"/>
        <v>1</v>
      </c>
      <c r="N68" s="633"/>
      <c r="O68" s="21">
        <f t="shared" si="14"/>
        <v>1</v>
      </c>
      <c r="P68" s="2565" t="s">
        <v>4857</v>
      </c>
      <c r="Q68" s="21">
        <f t="shared" si="15"/>
        <v>1</v>
      </c>
      <c r="R68" s="21">
        <f t="shared" ca="1" si="16"/>
        <v>18.577999999999999</v>
      </c>
      <c r="S68" s="307">
        <f t="shared" ca="1" si="7"/>
        <v>0</v>
      </c>
      <c r="T68" s="687"/>
    </row>
    <row r="69" spans="1:20">
      <c r="A69" s="631" t="str">
        <f>'5号楼'!B49</f>
        <v>B2046</v>
      </c>
      <c r="B69" s="631">
        <f>'5号楼'!C49</f>
        <v>52.93</v>
      </c>
      <c r="C69" s="21">
        <f t="shared" si="8"/>
        <v>1</v>
      </c>
      <c r="D69" s="633"/>
      <c r="E69" s="21">
        <f t="shared" si="9"/>
        <v>1</v>
      </c>
      <c r="F69" s="633"/>
      <c r="G69" s="21">
        <f t="shared" si="10"/>
        <v>1</v>
      </c>
      <c r="H69" s="633"/>
      <c r="I69" s="21">
        <f t="shared" si="11"/>
        <v>1</v>
      </c>
      <c r="J69" s="633"/>
      <c r="K69" s="21">
        <f t="shared" si="12"/>
        <v>1</v>
      </c>
      <c r="L69" s="633"/>
      <c r="M69" s="21">
        <f t="shared" si="13"/>
        <v>1</v>
      </c>
      <c r="N69" s="633"/>
      <c r="O69" s="21">
        <f t="shared" si="14"/>
        <v>1</v>
      </c>
      <c r="P69" s="2565" t="s">
        <v>4857</v>
      </c>
      <c r="Q69" s="21">
        <f t="shared" si="15"/>
        <v>1</v>
      </c>
      <c r="R69" s="21">
        <f t="shared" ca="1" si="16"/>
        <v>18.577999999999999</v>
      </c>
      <c r="S69" s="307">
        <f t="shared" ca="1" si="7"/>
        <v>0</v>
      </c>
      <c r="T69" s="687"/>
    </row>
    <row r="70" spans="1:20">
      <c r="A70" s="631" t="str">
        <f>'5号楼'!B50</f>
        <v>B2047</v>
      </c>
      <c r="B70" s="631">
        <f>'5号楼'!C50</f>
        <v>52.93</v>
      </c>
      <c r="C70" s="21">
        <f t="shared" si="8"/>
        <v>1</v>
      </c>
      <c r="D70" s="633"/>
      <c r="E70" s="21">
        <f t="shared" si="9"/>
        <v>1</v>
      </c>
      <c r="F70" s="633"/>
      <c r="G70" s="21">
        <f t="shared" si="10"/>
        <v>1</v>
      </c>
      <c r="H70" s="633"/>
      <c r="I70" s="21">
        <f t="shared" si="11"/>
        <v>1</v>
      </c>
      <c r="J70" s="633"/>
      <c r="K70" s="21">
        <f t="shared" si="12"/>
        <v>1</v>
      </c>
      <c r="L70" s="633"/>
      <c r="M70" s="21">
        <f t="shared" si="13"/>
        <v>1</v>
      </c>
      <c r="N70" s="633"/>
      <c r="O70" s="21">
        <f t="shared" si="14"/>
        <v>1</v>
      </c>
      <c r="P70" s="2565" t="s">
        <v>4857</v>
      </c>
      <c r="Q70" s="21">
        <f t="shared" si="15"/>
        <v>1</v>
      </c>
      <c r="R70" s="21">
        <f t="shared" ca="1" si="16"/>
        <v>18.577999999999999</v>
      </c>
      <c r="S70" s="307">
        <f t="shared" ca="1" si="7"/>
        <v>0</v>
      </c>
      <c r="T70" s="687"/>
    </row>
    <row r="71" spans="1:20">
      <c r="A71" s="631" t="str">
        <f>'5号楼'!B51</f>
        <v>B2048</v>
      </c>
      <c r="B71" s="631">
        <f>'5号楼'!C51</f>
        <v>52.93</v>
      </c>
      <c r="C71" s="21">
        <f t="shared" si="8"/>
        <v>1</v>
      </c>
      <c r="D71" s="633"/>
      <c r="E71" s="21">
        <f t="shared" si="9"/>
        <v>1</v>
      </c>
      <c r="F71" s="633"/>
      <c r="G71" s="21">
        <f t="shared" si="10"/>
        <v>1</v>
      </c>
      <c r="H71" s="633"/>
      <c r="I71" s="21">
        <f t="shared" si="11"/>
        <v>1</v>
      </c>
      <c r="J71" s="633"/>
      <c r="K71" s="21">
        <f t="shared" si="12"/>
        <v>1</v>
      </c>
      <c r="L71" s="633"/>
      <c r="M71" s="21">
        <f t="shared" si="13"/>
        <v>1</v>
      </c>
      <c r="N71" s="633"/>
      <c r="O71" s="21">
        <f t="shared" si="14"/>
        <v>1</v>
      </c>
      <c r="P71" s="2565" t="s">
        <v>4857</v>
      </c>
      <c r="Q71" s="21">
        <f t="shared" si="15"/>
        <v>1</v>
      </c>
      <c r="R71" s="21">
        <f t="shared" ca="1" si="16"/>
        <v>18.577999999999999</v>
      </c>
      <c r="S71" s="307">
        <f t="shared" ca="1" si="7"/>
        <v>0</v>
      </c>
      <c r="T71" s="687"/>
    </row>
    <row r="72" spans="1:20">
      <c r="A72" s="631" t="str">
        <f>'5号楼'!B52</f>
        <v>B2049</v>
      </c>
      <c r="B72" s="631">
        <f>'5号楼'!C52</f>
        <v>52.93</v>
      </c>
      <c r="C72" s="21">
        <f t="shared" si="8"/>
        <v>1</v>
      </c>
      <c r="D72" s="633"/>
      <c r="E72" s="21">
        <f t="shared" si="9"/>
        <v>1</v>
      </c>
      <c r="F72" s="633"/>
      <c r="G72" s="21">
        <f t="shared" si="10"/>
        <v>1</v>
      </c>
      <c r="H72" s="633"/>
      <c r="I72" s="21">
        <f t="shared" si="11"/>
        <v>1</v>
      </c>
      <c r="J72" s="633"/>
      <c r="K72" s="21">
        <f t="shared" si="12"/>
        <v>1</v>
      </c>
      <c r="L72" s="633"/>
      <c r="M72" s="21">
        <f t="shared" si="13"/>
        <v>1</v>
      </c>
      <c r="N72" s="633"/>
      <c r="O72" s="21">
        <f t="shared" si="14"/>
        <v>1</v>
      </c>
      <c r="P72" s="2565" t="s">
        <v>4857</v>
      </c>
      <c r="Q72" s="21">
        <f t="shared" si="15"/>
        <v>1</v>
      </c>
      <c r="R72" s="21">
        <f t="shared" ca="1" si="16"/>
        <v>18.577999999999999</v>
      </c>
      <c r="S72" s="307">
        <f t="shared" ca="1" si="7"/>
        <v>0</v>
      </c>
      <c r="T72" s="687"/>
    </row>
    <row r="73" spans="1:20">
      <c r="A73" s="631" t="str">
        <f>'5号楼'!B53</f>
        <v>B2050</v>
      </c>
      <c r="B73" s="631">
        <f>'5号楼'!C53</f>
        <v>52.93</v>
      </c>
      <c r="C73" s="21">
        <f t="shared" si="8"/>
        <v>1</v>
      </c>
      <c r="D73" s="633"/>
      <c r="E73" s="21">
        <f t="shared" si="9"/>
        <v>1</v>
      </c>
      <c r="F73" s="633"/>
      <c r="G73" s="21">
        <f t="shared" si="10"/>
        <v>1</v>
      </c>
      <c r="H73" s="633"/>
      <c r="I73" s="21">
        <f t="shared" si="11"/>
        <v>1</v>
      </c>
      <c r="J73" s="633"/>
      <c r="K73" s="21">
        <f t="shared" si="12"/>
        <v>1</v>
      </c>
      <c r="L73" s="633"/>
      <c r="M73" s="21">
        <f t="shared" si="13"/>
        <v>1</v>
      </c>
      <c r="N73" s="633"/>
      <c r="O73" s="21">
        <f t="shared" si="14"/>
        <v>1</v>
      </c>
      <c r="P73" s="2565" t="s">
        <v>4857</v>
      </c>
      <c r="Q73" s="21">
        <f t="shared" si="15"/>
        <v>1</v>
      </c>
      <c r="R73" s="21">
        <f t="shared" ca="1" si="16"/>
        <v>18.577999999999999</v>
      </c>
      <c r="S73" s="307">
        <f t="shared" ca="1" si="7"/>
        <v>0</v>
      </c>
      <c r="T73" s="687"/>
    </row>
    <row r="74" spans="1:20">
      <c r="A74" s="631" t="str">
        <f>'5号楼'!B54</f>
        <v>B2051</v>
      </c>
      <c r="B74" s="631">
        <f>'5号楼'!C54</f>
        <v>52.93</v>
      </c>
      <c r="C74" s="21">
        <f t="shared" si="8"/>
        <v>1</v>
      </c>
      <c r="D74" s="633"/>
      <c r="E74" s="21">
        <f t="shared" si="9"/>
        <v>1</v>
      </c>
      <c r="F74" s="633"/>
      <c r="G74" s="21">
        <f t="shared" si="10"/>
        <v>1</v>
      </c>
      <c r="H74" s="633"/>
      <c r="I74" s="21">
        <f t="shared" si="11"/>
        <v>1</v>
      </c>
      <c r="J74" s="633"/>
      <c r="K74" s="21">
        <f t="shared" si="12"/>
        <v>1</v>
      </c>
      <c r="L74" s="633"/>
      <c r="M74" s="21">
        <f t="shared" si="13"/>
        <v>1</v>
      </c>
      <c r="N74" s="633"/>
      <c r="O74" s="21">
        <f t="shared" si="14"/>
        <v>1</v>
      </c>
      <c r="P74" s="2565" t="s">
        <v>4857</v>
      </c>
      <c r="Q74" s="21">
        <f t="shared" si="15"/>
        <v>1</v>
      </c>
      <c r="R74" s="21">
        <f t="shared" ca="1" si="16"/>
        <v>18.577999999999999</v>
      </c>
      <c r="S74" s="307">
        <f t="shared" ca="1" si="7"/>
        <v>0</v>
      </c>
      <c r="T74" s="687"/>
    </row>
    <row r="75" spans="1:20">
      <c r="A75" s="631" t="str">
        <f>'5号楼'!B55</f>
        <v>B2052</v>
      </c>
      <c r="B75" s="631">
        <f>'5号楼'!C55</f>
        <v>52.93</v>
      </c>
      <c r="C75" s="21">
        <f t="shared" si="8"/>
        <v>1</v>
      </c>
      <c r="D75" s="633"/>
      <c r="E75" s="21">
        <f t="shared" si="9"/>
        <v>1</v>
      </c>
      <c r="F75" s="633"/>
      <c r="G75" s="21">
        <f t="shared" si="10"/>
        <v>1</v>
      </c>
      <c r="H75" s="633"/>
      <c r="I75" s="21">
        <f t="shared" si="11"/>
        <v>1</v>
      </c>
      <c r="J75" s="633"/>
      <c r="K75" s="21">
        <f t="shared" si="12"/>
        <v>1</v>
      </c>
      <c r="L75" s="633"/>
      <c r="M75" s="21">
        <f t="shared" si="13"/>
        <v>1</v>
      </c>
      <c r="N75" s="633"/>
      <c r="O75" s="21">
        <f t="shared" si="14"/>
        <v>1</v>
      </c>
      <c r="P75" s="2565" t="s">
        <v>4857</v>
      </c>
      <c r="Q75" s="21">
        <f t="shared" si="15"/>
        <v>1</v>
      </c>
      <c r="R75" s="21">
        <f t="shared" ca="1" si="16"/>
        <v>18.577999999999999</v>
      </c>
      <c r="S75" s="307">
        <f t="shared" ca="1" si="7"/>
        <v>0</v>
      </c>
      <c r="T75" s="687"/>
    </row>
    <row r="76" spans="1:20">
      <c r="A76" s="631" t="str">
        <f>'5号楼'!B56</f>
        <v>B2053</v>
      </c>
      <c r="B76" s="631">
        <f>'5号楼'!C56</f>
        <v>52.93</v>
      </c>
      <c r="C76" s="21">
        <f t="shared" si="8"/>
        <v>1</v>
      </c>
      <c r="D76" s="633"/>
      <c r="E76" s="21">
        <f t="shared" si="9"/>
        <v>1</v>
      </c>
      <c r="F76" s="633"/>
      <c r="G76" s="21">
        <f t="shared" si="10"/>
        <v>1</v>
      </c>
      <c r="H76" s="633"/>
      <c r="I76" s="21">
        <f t="shared" si="11"/>
        <v>1</v>
      </c>
      <c r="J76" s="633"/>
      <c r="K76" s="21">
        <f t="shared" si="12"/>
        <v>1</v>
      </c>
      <c r="L76" s="633"/>
      <c r="M76" s="21">
        <f t="shared" si="13"/>
        <v>1</v>
      </c>
      <c r="N76" s="633"/>
      <c r="O76" s="21">
        <f t="shared" si="14"/>
        <v>1</v>
      </c>
      <c r="P76" s="2565" t="s">
        <v>4857</v>
      </c>
      <c r="Q76" s="21">
        <f t="shared" si="15"/>
        <v>1</v>
      </c>
      <c r="R76" s="21">
        <f t="shared" ca="1" si="16"/>
        <v>18.577999999999999</v>
      </c>
      <c r="S76" s="307">
        <f t="shared" ca="1" si="7"/>
        <v>0</v>
      </c>
      <c r="T76" s="687"/>
    </row>
    <row r="77" spans="1:20">
      <c r="A77" s="631" t="str">
        <f>'5号楼'!B57</f>
        <v>B2054</v>
      </c>
      <c r="B77" s="631">
        <f>'5号楼'!C57</f>
        <v>52.93</v>
      </c>
      <c r="C77" s="21">
        <f t="shared" si="8"/>
        <v>1</v>
      </c>
      <c r="D77" s="633"/>
      <c r="E77" s="21">
        <f t="shared" si="9"/>
        <v>1</v>
      </c>
      <c r="F77" s="633"/>
      <c r="G77" s="21">
        <f t="shared" si="10"/>
        <v>1</v>
      </c>
      <c r="H77" s="633"/>
      <c r="I77" s="21">
        <f t="shared" si="11"/>
        <v>1</v>
      </c>
      <c r="J77" s="633"/>
      <c r="K77" s="21">
        <f t="shared" si="12"/>
        <v>1</v>
      </c>
      <c r="L77" s="633"/>
      <c r="M77" s="21">
        <f t="shared" si="13"/>
        <v>1</v>
      </c>
      <c r="N77" s="633"/>
      <c r="O77" s="21">
        <f t="shared" si="14"/>
        <v>1</v>
      </c>
      <c r="P77" s="2565" t="s">
        <v>4857</v>
      </c>
      <c r="Q77" s="21">
        <f t="shared" si="15"/>
        <v>1</v>
      </c>
      <c r="R77" s="21">
        <f t="shared" ca="1" si="16"/>
        <v>18.577999999999999</v>
      </c>
      <c r="S77" s="307">
        <f t="shared" ca="1" si="7"/>
        <v>0</v>
      </c>
      <c r="T77" s="687"/>
    </row>
    <row r="78" spans="1:20">
      <c r="A78" s="631" t="str">
        <f>'5号楼'!B58</f>
        <v>B2055</v>
      </c>
      <c r="B78" s="631">
        <f>'5号楼'!C58</f>
        <v>52.93</v>
      </c>
      <c r="C78" s="21">
        <f t="shared" si="8"/>
        <v>1</v>
      </c>
      <c r="D78" s="633"/>
      <c r="E78" s="21">
        <f t="shared" si="9"/>
        <v>1</v>
      </c>
      <c r="F78" s="633"/>
      <c r="G78" s="21">
        <f t="shared" si="10"/>
        <v>1</v>
      </c>
      <c r="H78" s="633"/>
      <c r="I78" s="21">
        <f t="shared" si="11"/>
        <v>1</v>
      </c>
      <c r="J78" s="633"/>
      <c r="K78" s="21">
        <f t="shared" si="12"/>
        <v>1</v>
      </c>
      <c r="L78" s="633"/>
      <c r="M78" s="21">
        <f t="shared" si="13"/>
        <v>1</v>
      </c>
      <c r="N78" s="633"/>
      <c r="O78" s="21">
        <f t="shared" si="14"/>
        <v>1</v>
      </c>
      <c r="P78" s="2565" t="s">
        <v>4857</v>
      </c>
      <c r="Q78" s="21">
        <f t="shared" si="15"/>
        <v>1</v>
      </c>
      <c r="R78" s="21">
        <f t="shared" ca="1" si="16"/>
        <v>18.577999999999999</v>
      </c>
      <c r="S78" s="307">
        <f t="shared" ca="1" si="7"/>
        <v>0</v>
      </c>
      <c r="T78" s="687"/>
    </row>
    <row r="79" spans="1:20">
      <c r="A79" s="631" t="str">
        <f>'5号楼'!B59</f>
        <v>B2056</v>
      </c>
      <c r="B79" s="631">
        <f>'5号楼'!C59</f>
        <v>52.93</v>
      </c>
      <c r="C79" s="21">
        <f t="shared" si="8"/>
        <v>1</v>
      </c>
      <c r="D79" s="633"/>
      <c r="E79" s="21">
        <f t="shared" si="9"/>
        <v>1</v>
      </c>
      <c r="F79" s="633"/>
      <c r="G79" s="21">
        <f t="shared" si="10"/>
        <v>1</v>
      </c>
      <c r="H79" s="633"/>
      <c r="I79" s="21">
        <f t="shared" si="11"/>
        <v>1</v>
      </c>
      <c r="J79" s="633"/>
      <c r="K79" s="21">
        <f t="shared" si="12"/>
        <v>1</v>
      </c>
      <c r="L79" s="633"/>
      <c r="M79" s="21">
        <f t="shared" si="13"/>
        <v>1</v>
      </c>
      <c r="N79" s="633"/>
      <c r="O79" s="21">
        <f t="shared" si="14"/>
        <v>1</v>
      </c>
      <c r="P79" s="2565" t="s">
        <v>4857</v>
      </c>
      <c r="Q79" s="21">
        <f t="shared" si="15"/>
        <v>1</v>
      </c>
      <c r="R79" s="21">
        <f t="shared" ca="1" si="16"/>
        <v>18.577999999999999</v>
      </c>
      <c r="S79" s="307">
        <f t="shared" ca="1" si="7"/>
        <v>0</v>
      </c>
      <c r="T79" s="687"/>
    </row>
    <row r="80" spans="1:20">
      <c r="A80" s="631" t="str">
        <f>'5号楼'!B60</f>
        <v>B2057</v>
      </c>
      <c r="B80" s="631">
        <f>'5号楼'!C60</f>
        <v>52.93</v>
      </c>
      <c r="C80" s="21">
        <f t="shared" si="8"/>
        <v>1</v>
      </c>
      <c r="D80" s="633"/>
      <c r="E80" s="21">
        <f t="shared" si="9"/>
        <v>1</v>
      </c>
      <c r="F80" s="633"/>
      <c r="G80" s="21">
        <f t="shared" si="10"/>
        <v>1</v>
      </c>
      <c r="H80" s="633"/>
      <c r="I80" s="21">
        <f t="shared" si="11"/>
        <v>1</v>
      </c>
      <c r="J80" s="633"/>
      <c r="K80" s="21">
        <f t="shared" si="12"/>
        <v>1</v>
      </c>
      <c r="L80" s="633"/>
      <c r="M80" s="21">
        <f t="shared" si="13"/>
        <v>1</v>
      </c>
      <c r="N80" s="633"/>
      <c r="O80" s="21">
        <f t="shared" si="14"/>
        <v>1</v>
      </c>
      <c r="P80" s="2565" t="s">
        <v>4857</v>
      </c>
      <c r="Q80" s="21">
        <f t="shared" si="15"/>
        <v>1</v>
      </c>
      <c r="R80" s="21">
        <f t="shared" ca="1" si="16"/>
        <v>18.577999999999999</v>
      </c>
      <c r="S80" s="307">
        <f t="shared" ca="1" si="7"/>
        <v>0</v>
      </c>
      <c r="T80" s="687"/>
    </row>
    <row r="81" spans="1:20">
      <c r="A81" s="631" t="str">
        <f>'5号楼'!B61</f>
        <v>B2058</v>
      </c>
      <c r="B81" s="631">
        <f>'5号楼'!C61</f>
        <v>52.93</v>
      </c>
      <c r="C81" s="21">
        <f t="shared" si="8"/>
        <v>1</v>
      </c>
      <c r="D81" s="633"/>
      <c r="E81" s="21">
        <f t="shared" si="9"/>
        <v>1</v>
      </c>
      <c r="F81" s="633"/>
      <c r="G81" s="21">
        <f t="shared" si="10"/>
        <v>1</v>
      </c>
      <c r="H81" s="633"/>
      <c r="I81" s="21">
        <f t="shared" si="11"/>
        <v>1</v>
      </c>
      <c r="J81" s="633"/>
      <c r="K81" s="21">
        <f t="shared" si="12"/>
        <v>1</v>
      </c>
      <c r="L81" s="633"/>
      <c r="M81" s="21">
        <f t="shared" si="13"/>
        <v>1</v>
      </c>
      <c r="N81" s="633"/>
      <c r="O81" s="21">
        <f t="shared" si="14"/>
        <v>1</v>
      </c>
      <c r="P81" s="2565" t="s">
        <v>4857</v>
      </c>
      <c r="Q81" s="21">
        <f t="shared" si="15"/>
        <v>1</v>
      </c>
      <c r="R81" s="21">
        <f t="shared" ca="1" si="16"/>
        <v>18.577999999999999</v>
      </c>
      <c r="S81" s="307">
        <f t="shared" ca="1" si="7"/>
        <v>0</v>
      </c>
      <c r="T81" s="687"/>
    </row>
    <row r="82" spans="1:20">
      <c r="A82" s="631" t="str">
        <f>'5号楼'!B62</f>
        <v>B2059</v>
      </c>
      <c r="B82" s="631">
        <f>'5号楼'!C62</f>
        <v>52.93</v>
      </c>
      <c r="C82" s="21">
        <f t="shared" si="8"/>
        <v>1</v>
      </c>
      <c r="D82" s="633"/>
      <c r="E82" s="21">
        <f t="shared" si="9"/>
        <v>1</v>
      </c>
      <c r="F82" s="633"/>
      <c r="G82" s="21">
        <f t="shared" si="10"/>
        <v>1</v>
      </c>
      <c r="H82" s="633"/>
      <c r="I82" s="21">
        <f t="shared" si="11"/>
        <v>1</v>
      </c>
      <c r="J82" s="633"/>
      <c r="K82" s="21">
        <f t="shared" si="12"/>
        <v>1</v>
      </c>
      <c r="L82" s="633"/>
      <c r="M82" s="21">
        <f t="shared" si="13"/>
        <v>1</v>
      </c>
      <c r="N82" s="633"/>
      <c r="O82" s="21">
        <f t="shared" si="14"/>
        <v>1</v>
      </c>
      <c r="P82" s="2565" t="s">
        <v>4857</v>
      </c>
      <c r="Q82" s="21">
        <f t="shared" si="15"/>
        <v>1</v>
      </c>
      <c r="R82" s="21">
        <f t="shared" ca="1" si="16"/>
        <v>18.577999999999999</v>
      </c>
      <c r="S82" s="307">
        <f t="shared" ca="1" si="7"/>
        <v>0</v>
      </c>
      <c r="T82" s="687"/>
    </row>
    <row r="83" spans="1:20">
      <c r="A83" s="631" t="str">
        <f>'5号楼'!B63</f>
        <v>B2060</v>
      </c>
      <c r="B83" s="631">
        <f>'5号楼'!C63</f>
        <v>52.93</v>
      </c>
      <c r="C83" s="21">
        <f t="shared" si="8"/>
        <v>1</v>
      </c>
      <c r="D83" s="633"/>
      <c r="E83" s="21">
        <f t="shared" si="9"/>
        <v>1</v>
      </c>
      <c r="F83" s="633"/>
      <c r="G83" s="21">
        <f t="shared" si="10"/>
        <v>1</v>
      </c>
      <c r="H83" s="633"/>
      <c r="I83" s="21">
        <f t="shared" si="11"/>
        <v>1</v>
      </c>
      <c r="J83" s="633"/>
      <c r="K83" s="21">
        <f t="shared" si="12"/>
        <v>1</v>
      </c>
      <c r="L83" s="633"/>
      <c r="M83" s="21">
        <f t="shared" si="13"/>
        <v>1</v>
      </c>
      <c r="N83" s="633"/>
      <c r="O83" s="21">
        <f t="shared" si="14"/>
        <v>1</v>
      </c>
      <c r="P83" s="2565" t="s">
        <v>4857</v>
      </c>
      <c r="Q83" s="21">
        <f t="shared" si="15"/>
        <v>1</v>
      </c>
      <c r="R83" s="21">
        <f t="shared" ca="1" si="16"/>
        <v>18.577999999999999</v>
      </c>
      <c r="S83" s="307">
        <f t="shared" ca="1" si="7"/>
        <v>0</v>
      </c>
      <c r="T83" s="687"/>
    </row>
    <row r="84" spans="1:20">
      <c r="A84" s="631" t="str">
        <f>'5号楼'!B64</f>
        <v>B2061</v>
      </c>
      <c r="B84" s="631">
        <f>'5号楼'!C64</f>
        <v>52.93</v>
      </c>
      <c r="C84" s="21">
        <f t="shared" si="8"/>
        <v>1</v>
      </c>
      <c r="D84" s="633"/>
      <c r="E84" s="21">
        <f t="shared" si="9"/>
        <v>1</v>
      </c>
      <c r="F84" s="633"/>
      <c r="G84" s="21">
        <f t="shared" si="10"/>
        <v>1</v>
      </c>
      <c r="H84" s="633"/>
      <c r="I84" s="21">
        <f t="shared" si="11"/>
        <v>1</v>
      </c>
      <c r="J84" s="633"/>
      <c r="K84" s="21">
        <f t="shared" si="12"/>
        <v>1</v>
      </c>
      <c r="L84" s="633"/>
      <c r="M84" s="21">
        <f t="shared" si="13"/>
        <v>1</v>
      </c>
      <c r="N84" s="633"/>
      <c r="O84" s="21">
        <f t="shared" si="14"/>
        <v>1</v>
      </c>
      <c r="P84" s="2565" t="s">
        <v>4857</v>
      </c>
      <c r="Q84" s="21">
        <f t="shared" si="15"/>
        <v>1</v>
      </c>
      <c r="R84" s="21">
        <f t="shared" ca="1" si="16"/>
        <v>18.577999999999999</v>
      </c>
      <c r="S84" s="307">
        <f t="shared" ca="1" si="7"/>
        <v>0</v>
      </c>
      <c r="T84" s="687"/>
    </row>
    <row r="85" spans="1:20">
      <c r="A85" s="631" t="str">
        <f>'5号楼'!B65</f>
        <v>B2062</v>
      </c>
      <c r="B85" s="631">
        <f>'5号楼'!C65</f>
        <v>52.93</v>
      </c>
      <c r="C85" s="21">
        <f t="shared" si="8"/>
        <v>1</v>
      </c>
      <c r="D85" s="633"/>
      <c r="E85" s="21">
        <f t="shared" si="9"/>
        <v>1</v>
      </c>
      <c r="F85" s="633"/>
      <c r="G85" s="21">
        <f t="shared" si="10"/>
        <v>1</v>
      </c>
      <c r="H85" s="633"/>
      <c r="I85" s="21">
        <f t="shared" si="11"/>
        <v>1</v>
      </c>
      <c r="J85" s="633"/>
      <c r="K85" s="21">
        <f t="shared" si="12"/>
        <v>1</v>
      </c>
      <c r="L85" s="633"/>
      <c r="M85" s="21">
        <f t="shared" si="13"/>
        <v>1</v>
      </c>
      <c r="N85" s="633"/>
      <c r="O85" s="21">
        <f t="shared" si="14"/>
        <v>1</v>
      </c>
      <c r="P85" s="2565" t="s">
        <v>4857</v>
      </c>
      <c r="Q85" s="21">
        <f t="shared" si="15"/>
        <v>1</v>
      </c>
      <c r="R85" s="21">
        <f t="shared" ca="1" si="16"/>
        <v>18.577999999999999</v>
      </c>
      <c r="S85" s="307">
        <f t="shared" ca="1" si="7"/>
        <v>0</v>
      </c>
      <c r="T85" s="687"/>
    </row>
    <row r="86" spans="1:20">
      <c r="A86" s="631" t="str">
        <f>'5号楼'!B66</f>
        <v>B2063</v>
      </c>
      <c r="B86" s="631">
        <f>'5号楼'!C66</f>
        <v>52.93</v>
      </c>
      <c r="C86" s="21">
        <f t="shared" si="8"/>
        <v>1</v>
      </c>
      <c r="D86" s="633"/>
      <c r="E86" s="21">
        <f t="shared" si="9"/>
        <v>1</v>
      </c>
      <c r="F86" s="633"/>
      <c r="G86" s="21">
        <f t="shared" si="10"/>
        <v>1</v>
      </c>
      <c r="H86" s="633"/>
      <c r="I86" s="21">
        <f t="shared" si="11"/>
        <v>1</v>
      </c>
      <c r="J86" s="633"/>
      <c r="K86" s="21">
        <f t="shared" si="12"/>
        <v>1</v>
      </c>
      <c r="L86" s="633"/>
      <c r="M86" s="21">
        <f t="shared" si="13"/>
        <v>1</v>
      </c>
      <c r="N86" s="633"/>
      <c r="O86" s="21">
        <f t="shared" si="14"/>
        <v>1</v>
      </c>
      <c r="P86" s="2565" t="s">
        <v>4857</v>
      </c>
      <c r="Q86" s="21">
        <f t="shared" si="15"/>
        <v>1</v>
      </c>
      <c r="R86" s="21">
        <f t="shared" ca="1" si="16"/>
        <v>18.577999999999999</v>
      </c>
      <c r="S86" s="307">
        <f t="shared" ca="1" si="7"/>
        <v>0</v>
      </c>
      <c r="T86" s="687"/>
    </row>
    <row r="87" spans="1:20">
      <c r="A87" s="631" t="str">
        <f>'5号楼'!B67</f>
        <v>B2064</v>
      </c>
      <c r="B87" s="631">
        <f>'5号楼'!C67</f>
        <v>52.93</v>
      </c>
      <c r="C87" s="21">
        <f t="shared" si="8"/>
        <v>1</v>
      </c>
      <c r="D87" s="633"/>
      <c r="E87" s="21">
        <f t="shared" si="9"/>
        <v>1</v>
      </c>
      <c r="F87" s="633"/>
      <c r="G87" s="21">
        <f t="shared" si="10"/>
        <v>1</v>
      </c>
      <c r="H87" s="633"/>
      <c r="I87" s="21">
        <f t="shared" si="11"/>
        <v>1</v>
      </c>
      <c r="J87" s="633"/>
      <c r="K87" s="21">
        <f t="shared" si="12"/>
        <v>1</v>
      </c>
      <c r="L87" s="633"/>
      <c r="M87" s="21">
        <f t="shared" si="13"/>
        <v>1</v>
      </c>
      <c r="N87" s="633"/>
      <c r="O87" s="21">
        <f t="shared" si="14"/>
        <v>1</v>
      </c>
      <c r="P87" s="2565" t="s">
        <v>4857</v>
      </c>
      <c r="Q87" s="21">
        <f t="shared" si="15"/>
        <v>1</v>
      </c>
      <c r="R87" s="21">
        <f t="shared" ca="1" si="16"/>
        <v>18.577999999999999</v>
      </c>
      <c r="S87" s="307">
        <f t="shared" ca="1" si="7"/>
        <v>0</v>
      </c>
      <c r="T87" s="687"/>
    </row>
    <row r="88" spans="1:20">
      <c r="A88" s="631" t="str">
        <f>'5号楼'!B68</f>
        <v>B2065</v>
      </c>
      <c r="B88" s="631">
        <f>'5号楼'!C68</f>
        <v>52.93</v>
      </c>
      <c r="C88" s="21">
        <f t="shared" si="8"/>
        <v>1</v>
      </c>
      <c r="D88" s="633"/>
      <c r="E88" s="21">
        <f t="shared" si="9"/>
        <v>1</v>
      </c>
      <c r="F88" s="633"/>
      <c r="G88" s="21">
        <f t="shared" si="10"/>
        <v>1</v>
      </c>
      <c r="H88" s="633"/>
      <c r="I88" s="21">
        <f t="shared" si="11"/>
        <v>1</v>
      </c>
      <c r="J88" s="633"/>
      <c r="K88" s="21">
        <f t="shared" si="12"/>
        <v>1</v>
      </c>
      <c r="L88" s="633"/>
      <c r="M88" s="21">
        <f t="shared" si="13"/>
        <v>1</v>
      </c>
      <c r="N88" s="633"/>
      <c r="O88" s="21">
        <f t="shared" si="14"/>
        <v>1</v>
      </c>
      <c r="P88" s="2565" t="s">
        <v>4857</v>
      </c>
      <c r="Q88" s="21">
        <f t="shared" si="15"/>
        <v>1</v>
      </c>
      <c r="R88" s="21">
        <f t="shared" ca="1" si="16"/>
        <v>18.577999999999999</v>
      </c>
      <c r="S88" s="307">
        <f t="shared" ref="S88:S151" ca="1" si="17">ROUND(R88*B88/10000,0)</f>
        <v>0</v>
      </c>
      <c r="T88" s="687"/>
    </row>
    <row r="89" spans="1:20">
      <c r="A89" s="631" t="str">
        <f>'5号楼'!B69</f>
        <v>B2066</v>
      </c>
      <c r="B89" s="631">
        <f>'5号楼'!C69</f>
        <v>52.93</v>
      </c>
      <c r="C89" s="21">
        <f t="shared" si="8"/>
        <v>1</v>
      </c>
      <c r="D89" s="633"/>
      <c r="E89" s="21">
        <f t="shared" si="9"/>
        <v>1</v>
      </c>
      <c r="F89" s="633"/>
      <c r="G89" s="21">
        <f t="shared" si="10"/>
        <v>1</v>
      </c>
      <c r="H89" s="633"/>
      <c r="I89" s="21">
        <f t="shared" si="11"/>
        <v>1</v>
      </c>
      <c r="J89" s="633"/>
      <c r="K89" s="21">
        <f t="shared" si="12"/>
        <v>1</v>
      </c>
      <c r="L89" s="633"/>
      <c r="M89" s="21">
        <f t="shared" si="13"/>
        <v>1</v>
      </c>
      <c r="N89" s="633"/>
      <c r="O89" s="21">
        <f t="shared" si="14"/>
        <v>1</v>
      </c>
      <c r="P89" s="2565" t="s">
        <v>4857</v>
      </c>
      <c r="Q89" s="21">
        <f t="shared" si="15"/>
        <v>1</v>
      </c>
      <c r="R89" s="21">
        <f t="shared" ca="1" si="16"/>
        <v>18.577999999999999</v>
      </c>
      <c r="S89" s="307">
        <f t="shared" ca="1" si="17"/>
        <v>0</v>
      </c>
      <c r="T89" s="687"/>
    </row>
    <row r="90" spans="1:20">
      <c r="A90" s="631" t="str">
        <f>'5号楼'!B70</f>
        <v>B2067</v>
      </c>
      <c r="B90" s="631">
        <f>'5号楼'!C70</f>
        <v>52.93</v>
      </c>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2565" t="s">
        <v>4857</v>
      </c>
      <c r="Q90" s="21">
        <f t="shared" ref="Q90:Q153" si="25">(SUMIF($17:$17,P90,$18:$18)-SUMIF($17:$17,$P$24,$18:$18)+100)/100</f>
        <v>1</v>
      </c>
      <c r="R90" s="21">
        <f t="shared" ref="R90:R153" ca="1" si="26">IF(B90="",0,ROUND($R$24*C90*E90*G90*I90*K90*M90*O90*Q90,4))</f>
        <v>18.577999999999999</v>
      </c>
      <c r="S90" s="307">
        <f t="shared" ca="1" si="17"/>
        <v>0</v>
      </c>
      <c r="T90" s="687"/>
    </row>
    <row r="91" spans="1:20">
      <c r="A91" s="631" t="str">
        <f>'5号楼'!B71</f>
        <v>B2068</v>
      </c>
      <c r="B91" s="631">
        <f>'5号楼'!C71</f>
        <v>52.93</v>
      </c>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2565" t="s">
        <v>4857</v>
      </c>
      <c r="Q91" s="21">
        <f t="shared" si="25"/>
        <v>1</v>
      </c>
      <c r="R91" s="21">
        <f t="shared" ca="1" si="26"/>
        <v>18.577999999999999</v>
      </c>
      <c r="S91" s="307">
        <f t="shared" ca="1" si="17"/>
        <v>0</v>
      </c>
      <c r="T91" s="687"/>
    </row>
    <row r="92" spans="1:20">
      <c r="A92" s="631" t="str">
        <f>'5号楼'!B72</f>
        <v>B2069</v>
      </c>
      <c r="B92" s="631">
        <f>'5号楼'!C72</f>
        <v>52.93</v>
      </c>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2565" t="s">
        <v>4857</v>
      </c>
      <c r="Q92" s="21">
        <f t="shared" si="25"/>
        <v>1</v>
      </c>
      <c r="R92" s="21">
        <f t="shared" ca="1" si="26"/>
        <v>18.577999999999999</v>
      </c>
      <c r="S92" s="307">
        <f t="shared" ca="1" si="17"/>
        <v>0</v>
      </c>
      <c r="T92" s="687"/>
    </row>
    <row r="93" spans="1:20">
      <c r="A93" s="631" t="str">
        <f>'5号楼'!B73</f>
        <v>B2070</v>
      </c>
      <c r="B93" s="631">
        <f>'5号楼'!C73</f>
        <v>52.93</v>
      </c>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2565" t="s">
        <v>4857</v>
      </c>
      <c r="Q93" s="21">
        <f t="shared" si="25"/>
        <v>1</v>
      </c>
      <c r="R93" s="21">
        <f t="shared" ca="1" si="26"/>
        <v>18.577999999999999</v>
      </c>
      <c r="S93" s="307">
        <f t="shared" ca="1" si="17"/>
        <v>0</v>
      </c>
      <c r="T93" s="687"/>
    </row>
    <row r="94" spans="1:20">
      <c r="A94" s="631" t="str">
        <f>'5号楼'!B74</f>
        <v>B2071</v>
      </c>
      <c r="B94" s="631">
        <f>'5号楼'!C74</f>
        <v>52.93</v>
      </c>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2565" t="s">
        <v>4857</v>
      </c>
      <c r="Q94" s="21">
        <f t="shared" si="25"/>
        <v>1</v>
      </c>
      <c r="R94" s="21">
        <f t="shared" ca="1" si="26"/>
        <v>18.577999999999999</v>
      </c>
      <c r="S94" s="307">
        <f t="shared" ca="1" si="17"/>
        <v>0</v>
      </c>
      <c r="T94" s="687"/>
    </row>
    <row r="95" spans="1:20">
      <c r="A95" s="631" t="str">
        <f>'5号楼'!B75</f>
        <v>B2072</v>
      </c>
      <c r="B95" s="631">
        <f>'5号楼'!C75</f>
        <v>52.93</v>
      </c>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2565" t="s">
        <v>4857</v>
      </c>
      <c r="Q95" s="21">
        <f t="shared" si="25"/>
        <v>1</v>
      </c>
      <c r="R95" s="21">
        <f t="shared" ca="1" si="26"/>
        <v>18.577999999999999</v>
      </c>
      <c r="S95" s="307">
        <f t="shared" ca="1" si="17"/>
        <v>0</v>
      </c>
      <c r="T95" s="687"/>
    </row>
    <row r="96" spans="1:20">
      <c r="A96" s="631" t="str">
        <f>'5号楼'!B76</f>
        <v>B2073</v>
      </c>
      <c r="B96" s="631">
        <f>'5号楼'!C76</f>
        <v>52.93</v>
      </c>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2565" t="s">
        <v>4857</v>
      </c>
      <c r="Q96" s="21">
        <f t="shared" si="25"/>
        <v>1</v>
      </c>
      <c r="R96" s="21">
        <f t="shared" ca="1" si="26"/>
        <v>18.577999999999999</v>
      </c>
      <c r="S96" s="307">
        <f t="shared" ca="1" si="17"/>
        <v>0</v>
      </c>
      <c r="T96" s="687"/>
    </row>
    <row r="97" spans="1:20">
      <c r="A97" s="631" t="str">
        <f>'5号楼'!B77</f>
        <v>B2074</v>
      </c>
      <c r="B97" s="631">
        <f>'5号楼'!C77</f>
        <v>52.93</v>
      </c>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2565" t="s">
        <v>4857</v>
      </c>
      <c r="Q97" s="21">
        <f t="shared" si="25"/>
        <v>1</v>
      </c>
      <c r="R97" s="21">
        <f t="shared" ca="1" si="26"/>
        <v>18.577999999999999</v>
      </c>
      <c r="S97" s="307">
        <f t="shared" ca="1" si="17"/>
        <v>0</v>
      </c>
      <c r="T97" s="687"/>
    </row>
    <row r="98" spans="1:20">
      <c r="A98" s="631" t="str">
        <f>'5号楼'!B78</f>
        <v>B2075</v>
      </c>
      <c r="B98" s="631">
        <f>'5号楼'!C78</f>
        <v>52.93</v>
      </c>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2565" t="s">
        <v>4857</v>
      </c>
      <c r="Q98" s="21">
        <f t="shared" si="25"/>
        <v>1</v>
      </c>
      <c r="R98" s="21">
        <f t="shared" ca="1" si="26"/>
        <v>18.577999999999999</v>
      </c>
      <c r="S98" s="307">
        <f t="shared" ca="1" si="17"/>
        <v>0</v>
      </c>
      <c r="T98" s="687"/>
    </row>
    <row r="99" spans="1:20">
      <c r="A99" s="631" t="str">
        <f>'5号楼'!B79</f>
        <v>B2076</v>
      </c>
      <c r="B99" s="631">
        <f>'5号楼'!C79</f>
        <v>52.93</v>
      </c>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2565" t="s">
        <v>4857</v>
      </c>
      <c r="Q99" s="21">
        <f t="shared" si="25"/>
        <v>1</v>
      </c>
      <c r="R99" s="21">
        <f t="shared" ca="1" si="26"/>
        <v>18.577999999999999</v>
      </c>
      <c r="S99" s="307">
        <f t="shared" ca="1" si="17"/>
        <v>0</v>
      </c>
      <c r="T99" s="687"/>
    </row>
    <row r="100" spans="1:20">
      <c r="A100" s="631" t="str">
        <f>'5号楼'!B80</f>
        <v>B2077</v>
      </c>
      <c r="B100" s="631">
        <f>'5号楼'!C80</f>
        <v>52.93</v>
      </c>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2565" t="s">
        <v>4857</v>
      </c>
      <c r="Q100" s="21">
        <f t="shared" si="25"/>
        <v>1</v>
      </c>
      <c r="R100" s="21">
        <f t="shared" ca="1" si="26"/>
        <v>18.577999999999999</v>
      </c>
      <c r="S100" s="307">
        <f t="shared" ca="1" si="17"/>
        <v>0</v>
      </c>
      <c r="T100" s="687"/>
    </row>
    <row r="101" spans="1:20">
      <c r="A101" s="631" t="str">
        <f>'5号楼'!B81</f>
        <v>B2078</v>
      </c>
      <c r="B101" s="631">
        <f>'5号楼'!C81</f>
        <v>52.93</v>
      </c>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2565" t="s">
        <v>4857</v>
      </c>
      <c r="Q101" s="21">
        <f t="shared" si="25"/>
        <v>1</v>
      </c>
      <c r="R101" s="21">
        <f t="shared" ca="1" si="26"/>
        <v>18.577999999999999</v>
      </c>
      <c r="S101" s="307">
        <f t="shared" ca="1" si="17"/>
        <v>0</v>
      </c>
      <c r="T101" s="687"/>
    </row>
    <row r="102" spans="1:20">
      <c r="A102" s="631" t="str">
        <f>'5号楼'!B82</f>
        <v>B2079</v>
      </c>
      <c r="B102" s="631">
        <f>'5号楼'!C82</f>
        <v>52.93</v>
      </c>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2565" t="s">
        <v>4857</v>
      </c>
      <c r="Q102" s="21">
        <f t="shared" si="25"/>
        <v>1</v>
      </c>
      <c r="R102" s="21">
        <f t="shared" ca="1" si="26"/>
        <v>18.577999999999999</v>
      </c>
      <c r="S102" s="307">
        <f t="shared" ca="1" si="17"/>
        <v>0</v>
      </c>
      <c r="T102" s="687"/>
    </row>
    <row r="103" spans="1:20">
      <c r="A103" s="631" t="str">
        <f>'5号楼'!B83</f>
        <v>B2080</v>
      </c>
      <c r="B103" s="631">
        <f>'5号楼'!C83</f>
        <v>50.93</v>
      </c>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2565" t="s">
        <v>4857</v>
      </c>
      <c r="Q103" s="21">
        <f t="shared" si="25"/>
        <v>1</v>
      </c>
      <c r="R103" s="21">
        <f t="shared" ca="1" si="26"/>
        <v>18.577999999999999</v>
      </c>
      <c r="S103" s="307">
        <f t="shared" ca="1" si="17"/>
        <v>0</v>
      </c>
      <c r="T103" s="687"/>
    </row>
    <row r="104" spans="1:20">
      <c r="A104" s="631" t="str">
        <f>'5号楼'!B84</f>
        <v>B2081</v>
      </c>
      <c r="B104" s="631">
        <f>'5号楼'!C84</f>
        <v>52.93</v>
      </c>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2565" t="s">
        <v>4857</v>
      </c>
      <c r="Q104" s="21">
        <f t="shared" si="25"/>
        <v>1</v>
      </c>
      <c r="R104" s="21">
        <f t="shared" ca="1" si="26"/>
        <v>18.577999999999999</v>
      </c>
      <c r="S104" s="307">
        <f t="shared" ca="1" si="17"/>
        <v>0</v>
      </c>
      <c r="T104" s="687"/>
    </row>
    <row r="105" spans="1:20">
      <c r="A105" s="631" t="str">
        <f>'5号楼'!B85</f>
        <v>B2082</v>
      </c>
      <c r="B105" s="631">
        <f>'5号楼'!C85</f>
        <v>52.93</v>
      </c>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2565" t="s">
        <v>4857</v>
      </c>
      <c r="Q105" s="21">
        <f t="shared" si="25"/>
        <v>1</v>
      </c>
      <c r="R105" s="21">
        <f t="shared" ca="1" si="26"/>
        <v>18.577999999999999</v>
      </c>
      <c r="S105" s="307">
        <f t="shared" ca="1" si="17"/>
        <v>0</v>
      </c>
      <c r="T105" s="687"/>
    </row>
    <row r="106" spans="1:20">
      <c r="A106" s="631" t="str">
        <f>'5号楼'!B86</f>
        <v>B2083</v>
      </c>
      <c r="B106" s="631">
        <f>'5号楼'!C86</f>
        <v>52.93</v>
      </c>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2565" t="s">
        <v>4857</v>
      </c>
      <c r="Q106" s="21">
        <f t="shared" si="25"/>
        <v>1</v>
      </c>
      <c r="R106" s="21">
        <f t="shared" ca="1" si="26"/>
        <v>18.577999999999999</v>
      </c>
      <c r="S106" s="307">
        <f t="shared" ca="1" si="17"/>
        <v>0</v>
      </c>
      <c r="T106" s="687"/>
    </row>
    <row r="107" spans="1:20">
      <c r="A107" s="631" t="str">
        <f>'5号楼'!B87</f>
        <v>B2084</v>
      </c>
      <c r="B107" s="631">
        <f>'5号楼'!C87</f>
        <v>52.93</v>
      </c>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2565" t="s">
        <v>4857</v>
      </c>
      <c r="Q107" s="21">
        <f t="shared" si="25"/>
        <v>1</v>
      </c>
      <c r="R107" s="21">
        <f t="shared" ca="1" si="26"/>
        <v>18.577999999999999</v>
      </c>
      <c r="S107" s="307">
        <f t="shared" ca="1" si="17"/>
        <v>0</v>
      </c>
      <c r="T107" s="687"/>
    </row>
    <row r="108" spans="1:20">
      <c r="A108" s="631" t="str">
        <f>'5号楼'!B88</f>
        <v>B2085</v>
      </c>
      <c r="B108" s="631">
        <f>'5号楼'!C88</f>
        <v>52.93</v>
      </c>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2565" t="s">
        <v>4857</v>
      </c>
      <c r="Q108" s="21">
        <f t="shared" si="25"/>
        <v>1</v>
      </c>
      <c r="R108" s="21">
        <f t="shared" ca="1" si="26"/>
        <v>18.577999999999999</v>
      </c>
      <c r="S108" s="307">
        <f t="shared" ca="1" si="17"/>
        <v>0</v>
      </c>
      <c r="T108" s="687"/>
    </row>
    <row r="109" spans="1:20">
      <c r="A109" s="631" t="str">
        <f>'5号楼'!B89</f>
        <v>B2086</v>
      </c>
      <c r="B109" s="631">
        <f>'5号楼'!C89</f>
        <v>52.93</v>
      </c>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2565" t="s">
        <v>4857</v>
      </c>
      <c r="Q109" s="21">
        <f t="shared" si="25"/>
        <v>1</v>
      </c>
      <c r="R109" s="21">
        <f t="shared" ca="1" si="26"/>
        <v>18.577999999999999</v>
      </c>
      <c r="S109" s="307">
        <f t="shared" ca="1" si="17"/>
        <v>0</v>
      </c>
      <c r="T109" s="687"/>
    </row>
    <row r="110" spans="1:20">
      <c r="A110" s="631" t="str">
        <f>'5号楼'!B90</f>
        <v>B2087</v>
      </c>
      <c r="B110" s="631">
        <f>'5号楼'!C90</f>
        <v>52.93</v>
      </c>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2565" t="s">
        <v>4857</v>
      </c>
      <c r="Q110" s="21">
        <f t="shared" si="25"/>
        <v>1</v>
      </c>
      <c r="R110" s="21">
        <f t="shared" ca="1" si="26"/>
        <v>18.577999999999999</v>
      </c>
      <c r="S110" s="307">
        <f t="shared" ca="1" si="17"/>
        <v>0</v>
      </c>
      <c r="T110" s="687"/>
    </row>
    <row r="111" spans="1:20">
      <c r="A111" s="631" t="str">
        <f>'5号楼'!B91</f>
        <v>B2088</v>
      </c>
      <c r="B111" s="631">
        <f>'5号楼'!C91</f>
        <v>52.93</v>
      </c>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2565" t="s">
        <v>4857</v>
      </c>
      <c r="Q111" s="21">
        <f t="shared" si="25"/>
        <v>1</v>
      </c>
      <c r="R111" s="21">
        <f t="shared" ca="1" si="26"/>
        <v>18.577999999999999</v>
      </c>
      <c r="S111" s="307">
        <f t="shared" ca="1" si="17"/>
        <v>0</v>
      </c>
      <c r="T111" s="687"/>
    </row>
    <row r="112" spans="1:20">
      <c r="A112" s="631" t="str">
        <f>'5号楼'!B92</f>
        <v>B2089</v>
      </c>
      <c r="B112" s="631">
        <f>'5号楼'!C92</f>
        <v>50.93</v>
      </c>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2565" t="s">
        <v>4857</v>
      </c>
      <c r="Q112" s="21">
        <f t="shared" si="25"/>
        <v>1</v>
      </c>
      <c r="R112" s="21">
        <f t="shared" ca="1" si="26"/>
        <v>18.577999999999999</v>
      </c>
      <c r="S112" s="307">
        <f t="shared" ca="1" si="17"/>
        <v>0</v>
      </c>
      <c r="T112" s="687"/>
    </row>
    <row r="113" spans="1:20">
      <c r="A113" s="631" t="str">
        <f>'5号楼'!B93</f>
        <v>B2090</v>
      </c>
      <c r="B113" s="631">
        <f>'5号楼'!C93</f>
        <v>50.93</v>
      </c>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2565" t="s">
        <v>4857</v>
      </c>
      <c r="Q113" s="21">
        <f t="shared" si="25"/>
        <v>1</v>
      </c>
      <c r="R113" s="21">
        <f t="shared" ca="1" si="26"/>
        <v>18.577999999999999</v>
      </c>
      <c r="S113" s="307">
        <f t="shared" ca="1" si="17"/>
        <v>0</v>
      </c>
      <c r="T113" s="687"/>
    </row>
    <row r="114" spans="1:20">
      <c r="A114" s="631" t="str">
        <f>'5号楼'!B94</f>
        <v>B2091</v>
      </c>
      <c r="B114" s="631">
        <f>'5号楼'!C94</f>
        <v>50.93</v>
      </c>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2565" t="s">
        <v>4857</v>
      </c>
      <c r="Q114" s="21">
        <f t="shared" si="25"/>
        <v>1</v>
      </c>
      <c r="R114" s="21">
        <f t="shared" ca="1" si="26"/>
        <v>18.577999999999999</v>
      </c>
      <c r="S114" s="307">
        <f t="shared" ca="1" si="17"/>
        <v>0</v>
      </c>
      <c r="T114" s="687"/>
    </row>
    <row r="115" spans="1:20">
      <c r="A115" s="631" t="str">
        <f>'5号楼'!B95</f>
        <v>B2092</v>
      </c>
      <c r="B115" s="631">
        <f>'5号楼'!C95</f>
        <v>50.93</v>
      </c>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2565" t="s">
        <v>4857</v>
      </c>
      <c r="Q115" s="21">
        <f t="shared" si="25"/>
        <v>1</v>
      </c>
      <c r="R115" s="21">
        <f t="shared" ca="1" si="26"/>
        <v>18.577999999999999</v>
      </c>
      <c r="S115" s="307">
        <f t="shared" ca="1" si="17"/>
        <v>0</v>
      </c>
      <c r="T115" s="687"/>
    </row>
    <row r="116" spans="1:20">
      <c r="A116" s="631" t="str">
        <f>'5号楼'!B96</f>
        <v>B2093</v>
      </c>
      <c r="B116" s="631">
        <f>'5号楼'!C96</f>
        <v>50.93</v>
      </c>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2565" t="s">
        <v>4857</v>
      </c>
      <c r="Q116" s="21">
        <f t="shared" si="25"/>
        <v>1</v>
      </c>
      <c r="R116" s="21">
        <f t="shared" ca="1" si="26"/>
        <v>18.577999999999999</v>
      </c>
      <c r="S116" s="307">
        <f t="shared" ca="1" si="17"/>
        <v>0</v>
      </c>
      <c r="T116" s="687"/>
    </row>
    <row r="117" spans="1:20">
      <c r="A117" s="631" t="str">
        <f>'5号楼'!B97</f>
        <v>B2094</v>
      </c>
      <c r="B117" s="631">
        <f>'5号楼'!C97</f>
        <v>50.93</v>
      </c>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2565" t="s">
        <v>4857</v>
      </c>
      <c r="Q117" s="21">
        <f t="shared" si="25"/>
        <v>1</v>
      </c>
      <c r="R117" s="21">
        <f t="shared" ca="1" si="26"/>
        <v>18.577999999999999</v>
      </c>
      <c r="S117" s="307">
        <f t="shared" ca="1" si="17"/>
        <v>0</v>
      </c>
      <c r="T117" s="687"/>
    </row>
    <row r="118" spans="1:20">
      <c r="A118" s="631" t="str">
        <f>'5号楼'!B98</f>
        <v>B2095</v>
      </c>
      <c r="B118" s="631">
        <f>'5号楼'!C98</f>
        <v>50.93</v>
      </c>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2565" t="s">
        <v>4857</v>
      </c>
      <c r="Q118" s="21">
        <f t="shared" si="25"/>
        <v>1</v>
      </c>
      <c r="R118" s="21">
        <f t="shared" ca="1" si="26"/>
        <v>18.577999999999999</v>
      </c>
      <c r="S118" s="307">
        <f t="shared" ca="1" si="17"/>
        <v>0</v>
      </c>
      <c r="T118" s="687"/>
    </row>
    <row r="119" spans="1:20">
      <c r="A119" s="631" t="str">
        <f>'5号楼'!B99</f>
        <v>B2096</v>
      </c>
      <c r="B119" s="631">
        <f>'5号楼'!C99</f>
        <v>50.93</v>
      </c>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2565" t="s">
        <v>4857</v>
      </c>
      <c r="Q119" s="21">
        <f t="shared" si="25"/>
        <v>1</v>
      </c>
      <c r="R119" s="21">
        <f t="shared" ca="1" si="26"/>
        <v>18.577999999999999</v>
      </c>
      <c r="S119" s="307">
        <f t="shared" ca="1" si="17"/>
        <v>0</v>
      </c>
      <c r="T119" s="687"/>
    </row>
    <row r="120" spans="1:20">
      <c r="A120" s="631" t="str">
        <f>'5号楼'!B100</f>
        <v>B2097</v>
      </c>
      <c r="B120" s="631">
        <f>'5号楼'!C100</f>
        <v>50.93</v>
      </c>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2565" t="s">
        <v>4857</v>
      </c>
      <c r="Q120" s="21">
        <f t="shared" si="25"/>
        <v>1</v>
      </c>
      <c r="R120" s="21">
        <f t="shared" ca="1" si="26"/>
        <v>18.577999999999999</v>
      </c>
      <c r="S120" s="307">
        <f t="shared" ca="1" si="17"/>
        <v>0</v>
      </c>
      <c r="T120" s="687"/>
    </row>
    <row r="121" spans="1:20">
      <c r="A121" s="631" t="str">
        <f>'5号楼'!B101</f>
        <v>B2098</v>
      </c>
      <c r="B121" s="631">
        <f>'5号楼'!C101</f>
        <v>50.93</v>
      </c>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2565" t="s">
        <v>4857</v>
      </c>
      <c r="Q121" s="21">
        <f t="shared" si="25"/>
        <v>1</v>
      </c>
      <c r="R121" s="21">
        <f t="shared" ca="1" si="26"/>
        <v>18.577999999999999</v>
      </c>
      <c r="S121" s="307">
        <f t="shared" ca="1" si="17"/>
        <v>0</v>
      </c>
      <c r="T121" s="687"/>
    </row>
    <row r="122" spans="1:20">
      <c r="A122" s="631" t="str">
        <f>'5号楼'!B102</f>
        <v>B2099</v>
      </c>
      <c r="B122" s="631">
        <f>'5号楼'!C102</f>
        <v>50.93</v>
      </c>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2565" t="s">
        <v>4857</v>
      </c>
      <c r="Q122" s="21">
        <f t="shared" si="25"/>
        <v>1</v>
      </c>
      <c r="R122" s="21">
        <f t="shared" ca="1" si="26"/>
        <v>18.577999999999999</v>
      </c>
      <c r="S122" s="307">
        <f t="shared" ca="1" si="17"/>
        <v>0</v>
      </c>
      <c r="T122" s="687"/>
    </row>
    <row r="123" spans="1:20">
      <c r="A123" s="631" t="str">
        <f>'5号楼'!B103</f>
        <v>B2100</v>
      </c>
      <c r="B123" s="631">
        <f>'5号楼'!C103</f>
        <v>50.93</v>
      </c>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2565" t="s">
        <v>4857</v>
      </c>
      <c r="Q123" s="21">
        <f t="shared" si="25"/>
        <v>1</v>
      </c>
      <c r="R123" s="21">
        <f t="shared" ca="1" si="26"/>
        <v>18.577999999999999</v>
      </c>
      <c r="S123" s="307">
        <f t="shared" ca="1" si="17"/>
        <v>0</v>
      </c>
      <c r="T123" s="687"/>
    </row>
    <row r="124" spans="1:20">
      <c r="A124" s="631" t="str">
        <f>'5号楼'!B104</f>
        <v>B2101</v>
      </c>
      <c r="B124" s="631">
        <f>'5号楼'!C104</f>
        <v>50.93</v>
      </c>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2565" t="s">
        <v>4857</v>
      </c>
      <c r="Q124" s="21">
        <f t="shared" si="25"/>
        <v>1</v>
      </c>
      <c r="R124" s="21">
        <f t="shared" ca="1" si="26"/>
        <v>18.577999999999999</v>
      </c>
      <c r="S124" s="307">
        <f t="shared" ca="1" si="17"/>
        <v>0</v>
      </c>
      <c r="T124" s="687"/>
    </row>
    <row r="125" spans="1:20">
      <c r="A125" s="631" t="str">
        <f>'5号楼'!B105</f>
        <v>B2102</v>
      </c>
      <c r="B125" s="631">
        <f>'5号楼'!C105</f>
        <v>50.93</v>
      </c>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2565" t="s">
        <v>4857</v>
      </c>
      <c r="Q125" s="21">
        <f t="shared" si="25"/>
        <v>1</v>
      </c>
      <c r="R125" s="21">
        <f t="shared" ca="1" si="26"/>
        <v>18.577999999999999</v>
      </c>
      <c r="S125" s="307">
        <f t="shared" ca="1" si="17"/>
        <v>0</v>
      </c>
      <c r="T125" s="687"/>
    </row>
    <row r="126" spans="1:20">
      <c r="A126" s="631" t="str">
        <f>'5号楼'!B106</f>
        <v>B2103</v>
      </c>
      <c r="B126" s="631">
        <f>'5号楼'!C106</f>
        <v>50.93</v>
      </c>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2565" t="s">
        <v>4857</v>
      </c>
      <c r="Q126" s="21">
        <f t="shared" si="25"/>
        <v>1</v>
      </c>
      <c r="R126" s="21">
        <f t="shared" ca="1" si="26"/>
        <v>18.577999999999999</v>
      </c>
      <c r="S126" s="307">
        <f t="shared" ca="1" si="17"/>
        <v>0</v>
      </c>
      <c r="T126" s="687"/>
    </row>
    <row r="127" spans="1:20">
      <c r="A127" s="631" t="str">
        <f>'5号楼'!B107</f>
        <v>B2104</v>
      </c>
      <c r="B127" s="631">
        <f>'5号楼'!C107</f>
        <v>50.93</v>
      </c>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2565" t="s">
        <v>4857</v>
      </c>
      <c r="Q127" s="21">
        <f t="shared" si="25"/>
        <v>1</v>
      </c>
      <c r="R127" s="21">
        <f t="shared" ca="1" si="26"/>
        <v>18.577999999999999</v>
      </c>
      <c r="S127" s="307">
        <f t="shared" ca="1" si="17"/>
        <v>0</v>
      </c>
      <c r="T127" s="687"/>
    </row>
    <row r="128" spans="1:20">
      <c r="A128" s="631" t="str">
        <f>'5号楼'!B108</f>
        <v>B2105</v>
      </c>
      <c r="B128" s="631">
        <f>'5号楼'!C108</f>
        <v>50.93</v>
      </c>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2565" t="s">
        <v>4857</v>
      </c>
      <c r="Q128" s="21">
        <f t="shared" si="25"/>
        <v>1</v>
      </c>
      <c r="R128" s="21">
        <f t="shared" ca="1" si="26"/>
        <v>18.577999999999999</v>
      </c>
      <c r="S128" s="307">
        <f t="shared" ca="1" si="17"/>
        <v>0</v>
      </c>
      <c r="T128" s="687"/>
    </row>
    <row r="129" spans="1:20">
      <c r="A129" s="631" t="str">
        <f>'5号楼'!B109</f>
        <v>B2106</v>
      </c>
      <c r="B129" s="631">
        <f>'5号楼'!C109</f>
        <v>50.93</v>
      </c>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2565" t="s">
        <v>4857</v>
      </c>
      <c r="Q129" s="21">
        <f t="shared" si="25"/>
        <v>1</v>
      </c>
      <c r="R129" s="21">
        <f t="shared" ca="1" si="26"/>
        <v>18.577999999999999</v>
      </c>
      <c r="S129" s="307">
        <f t="shared" ca="1" si="17"/>
        <v>0</v>
      </c>
      <c r="T129" s="687"/>
    </row>
    <row r="130" spans="1:20">
      <c r="A130" s="631" t="str">
        <f>'5号楼'!B110</f>
        <v>B2107</v>
      </c>
      <c r="B130" s="631">
        <f>'5号楼'!C110</f>
        <v>52.93</v>
      </c>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2565" t="s">
        <v>4857</v>
      </c>
      <c r="Q130" s="21">
        <f t="shared" si="25"/>
        <v>1</v>
      </c>
      <c r="R130" s="21">
        <f t="shared" ca="1" si="26"/>
        <v>18.577999999999999</v>
      </c>
      <c r="S130" s="307">
        <f t="shared" ca="1" si="17"/>
        <v>0</v>
      </c>
      <c r="T130" s="687"/>
    </row>
    <row r="131" spans="1:20">
      <c r="A131" s="631" t="str">
        <f>'5号楼'!B111</f>
        <v>B2108</v>
      </c>
      <c r="B131" s="631">
        <f>'5号楼'!C111</f>
        <v>52.93</v>
      </c>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2565" t="s">
        <v>4857</v>
      </c>
      <c r="Q131" s="21">
        <f t="shared" si="25"/>
        <v>1</v>
      </c>
      <c r="R131" s="21">
        <f t="shared" ca="1" si="26"/>
        <v>18.577999999999999</v>
      </c>
      <c r="S131" s="307">
        <f t="shared" ca="1" si="17"/>
        <v>0</v>
      </c>
      <c r="T131" s="687"/>
    </row>
    <row r="132" spans="1:20">
      <c r="A132" s="631" t="str">
        <f>'5号楼'!B112</f>
        <v>B2109</v>
      </c>
      <c r="B132" s="631">
        <f>'5号楼'!C112</f>
        <v>52.93</v>
      </c>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2565" t="s">
        <v>4857</v>
      </c>
      <c r="Q132" s="21">
        <f t="shared" si="25"/>
        <v>1</v>
      </c>
      <c r="R132" s="21">
        <f t="shared" ca="1" si="26"/>
        <v>18.577999999999999</v>
      </c>
      <c r="S132" s="307">
        <f t="shared" ca="1" si="17"/>
        <v>0</v>
      </c>
      <c r="T132" s="687"/>
    </row>
    <row r="133" spans="1:20">
      <c r="A133" s="631" t="str">
        <f>'5号楼'!B113</f>
        <v>B2110</v>
      </c>
      <c r="B133" s="631">
        <f>'5号楼'!C113</f>
        <v>50.93</v>
      </c>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2565" t="s">
        <v>4857</v>
      </c>
      <c r="Q133" s="21">
        <f t="shared" si="25"/>
        <v>1</v>
      </c>
      <c r="R133" s="21">
        <f t="shared" ca="1" si="26"/>
        <v>18.577999999999999</v>
      </c>
      <c r="S133" s="307">
        <f t="shared" ca="1" si="17"/>
        <v>0</v>
      </c>
      <c r="T133" s="687"/>
    </row>
    <row r="134" spans="1:20">
      <c r="A134" s="631" t="str">
        <f>'5号楼'!B114</f>
        <v>B2111</v>
      </c>
      <c r="B134" s="631">
        <f>'5号楼'!C114</f>
        <v>50.93</v>
      </c>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2565" t="s">
        <v>4857</v>
      </c>
      <c r="Q134" s="21">
        <f t="shared" si="25"/>
        <v>1</v>
      </c>
      <c r="R134" s="21">
        <f t="shared" ca="1" si="26"/>
        <v>18.577999999999999</v>
      </c>
      <c r="S134" s="307">
        <f t="shared" ca="1" si="17"/>
        <v>0</v>
      </c>
      <c r="T134" s="687"/>
    </row>
    <row r="135" spans="1:20">
      <c r="A135" s="631" t="str">
        <f>'5号楼'!B115</f>
        <v>B2112</v>
      </c>
      <c r="B135" s="631">
        <f>'5号楼'!C115</f>
        <v>50.93</v>
      </c>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2565" t="s">
        <v>4857</v>
      </c>
      <c r="Q135" s="21">
        <f t="shared" si="25"/>
        <v>1</v>
      </c>
      <c r="R135" s="21">
        <f t="shared" ca="1" si="26"/>
        <v>18.577999999999999</v>
      </c>
      <c r="S135" s="307">
        <f t="shared" ca="1" si="17"/>
        <v>0</v>
      </c>
      <c r="T135" s="687"/>
    </row>
    <row r="136" spans="1:20">
      <c r="A136" s="631" t="str">
        <f>'5号楼'!B116</f>
        <v>B2113</v>
      </c>
      <c r="B136" s="631">
        <f>'5号楼'!C116</f>
        <v>50.93</v>
      </c>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2565" t="s">
        <v>4857</v>
      </c>
      <c r="Q136" s="21">
        <f t="shared" si="25"/>
        <v>1</v>
      </c>
      <c r="R136" s="21">
        <f t="shared" ca="1" si="26"/>
        <v>18.577999999999999</v>
      </c>
      <c r="S136" s="307">
        <f t="shared" ca="1" si="17"/>
        <v>0</v>
      </c>
      <c r="T136" s="687"/>
    </row>
    <row r="137" spans="1:20">
      <c r="A137" s="631" t="str">
        <f>'5号楼'!B117</f>
        <v>B2114</v>
      </c>
      <c r="B137" s="631">
        <f>'5号楼'!C117</f>
        <v>50.93</v>
      </c>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2565" t="s">
        <v>4857</v>
      </c>
      <c r="Q137" s="21">
        <f t="shared" si="25"/>
        <v>1</v>
      </c>
      <c r="R137" s="21">
        <f t="shared" ca="1" si="26"/>
        <v>18.577999999999999</v>
      </c>
      <c r="S137" s="307">
        <f t="shared" ca="1" si="17"/>
        <v>0</v>
      </c>
      <c r="T137" s="687"/>
    </row>
    <row r="138" spans="1:20">
      <c r="A138" s="631" t="str">
        <f>'5号楼'!B118</f>
        <v>B2115</v>
      </c>
      <c r="B138" s="631">
        <f>'5号楼'!C118</f>
        <v>50.93</v>
      </c>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2565" t="s">
        <v>4857</v>
      </c>
      <c r="Q138" s="21">
        <f t="shared" si="25"/>
        <v>1</v>
      </c>
      <c r="R138" s="21">
        <f t="shared" ca="1" si="26"/>
        <v>18.577999999999999</v>
      </c>
      <c r="S138" s="307">
        <f t="shared" ca="1" si="17"/>
        <v>0</v>
      </c>
      <c r="T138" s="687"/>
    </row>
    <row r="139" spans="1:20">
      <c r="A139" s="631" t="str">
        <f>'5号楼'!B119</f>
        <v>B2116</v>
      </c>
      <c r="B139" s="631">
        <f>'5号楼'!C119</f>
        <v>50.93</v>
      </c>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2565" t="s">
        <v>4857</v>
      </c>
      <c r="Q139" s="21">
        <f t="shared" si="25"/>
        <v>1</v>
      </c>
      <c r="R139" s="21">
        <f t="shared" ca="1" si="26"/>
        <v>18.577999999999999</v>
      </c>
      <c r="S139" s="307">
        <f t="shared" ca="1" si="17"/>
        <v>0</v>
      </c>
      <c r="T139" s="687"/>
    </row>
    <row r="140" spans="1:20">
      <c r="A140" s="631" t="str">
        <f>'5号楼'!B120</f>
        <v>B2117</v>
      </c>
      <c r="B140" s="631">
        <f>'5号楼'!C120</f>
        <v>50.93</v>
      </c>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2565" t="s">
        <v>4857</v>
      </c>
      <c r="Q140" s="21">
        <f t="shared" si="25"/>
        <v>1</v>
      </c>
      <c r="R140" s="21">
        <f t="shared" ca="1" si="26"/>
        <v>18.577999999999999</v>
      </c>
      <c r="S140" s="307">
        <f t="shared" ca="1" si="17"/>
        <v>0</v>
      </c>
      <c r="T140" s="687"/>
    </row>
    <row r="141" spans="1:20">
      <c r="A141" s="631" t="str">
        <f>'5号楼'!B121</f>
        <v>B2118</v>
      </c>
      <c r="B141" s="631">
        <f>'5号楼'!C121</f>
        <v>50.93</v>
      </c>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2565" t="s">
        <v>4857</v>
      </c>
      <c r="Q141" s="21">
        <f t="shared" si="25"/>
        <v>1</v>
      </c>
      <c r="R141" s="21">
        <f t="shared" ca="1" si="26"/>
        <v>18.577999999999999</v>
      </c>
      <c r="S141" s="307">
        <f t="shared" ca="1" si="17"/>
        <v>0</v>
      </c>
      <c r="T141" s="687"/>
    </row>
    <row r="142" spans="1:20">
      <c r="A142" s="631" t="str">
        <f>'5号楼'!B122</f>
        <v>B2119</v>
      </c>
      <c r="B142" s="631">
        <f>'5号楼'!C122</f>
        <v>50.93</v>
      </c>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2565" t="s">
        <v>4857</v>
      </c>
      <c r="Q142" s="21">
        <f t="shared" si="25"/>
        <v>1</v>
      </c>
      <c r="R142" s="21">
        <f t="shared" ca="1" si="26"/>
        <v>18.577999999999999</v>
      </c>
      <c r="S142" s="307">
        <f t="shared" ca="1" si="17"/>
        <v>0</v>
      </c>
      <c r="T142" s="687"/>
    </row>
    <row r="143" spans="1:20">
      <c r="A143" s="631" t="str">
        <f>'5号楼'!B123</f>
        <v>B2120</v>
      </c>
      <c r="B143" s="631">
        <f>'5号楼'!C123</f>
        <v>50.93</v>
      </c>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2565" t="s">
        <v>4857</v>
      </c>
      <c r="Q143" s="21">
        <f t="shared" si="25"/>
        <v>1</v>
      </c>
      <c r="R143" s="21">
        <f t="shared" ca="1" si="26"/>
        <v>18.577999999999999</v>
      </c>
      <c r="S143" s="307">
        <f t="shared" ca="1" si="17"/>
        <v>0</v>
      </c>
      <c r="T143" s="687"/>
    </row>
    <row r="144" spans="1:20">
      <c r="A144" s="631" t="str">
        <f>'5号楼'!B124</f>
        <v>B2121</v>
      </c>
      <c r="B144" s="631">
        <f>'5号楼'!C124</f>
        <v>50.93</v>
      </c>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2565" t="s">
        <v>4857</v>
      </c>
      <c r="Q144" s="21">
        <f t="shared" si="25"/>
        <v>1</v>
      </c>
      <c r="R144" s="21">
        <f t="shared" ca="1" si="26"/>
        <v>18.577999999999999</v>
      </c>
      <c r="S144" s="307">
        <f t="shared" ca="1" si="17"/>
        <v>0</v>
      </c>
      <c r="T144" s="687"/>
    </row>
    <row r="145" spans="1:20">
      <c r="A145" s="631" t="str">
        <f>'5号楼'!B125</f>
        <v>B2122</v>
      </c>
      <c r="B145" s="631">
        <f>'5号楼'!C125</f>
        <v>50.93</v>
      </c>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2565" t="s">
        <v>4857</v>
      </c>
      <c r="Q145" s="21">
        <f t="shared" si="25"/>
        <v>1</v>
      </c>
      <c r="R145" s="21">
        <f t="shared" ca="1" si="26"/>
        <v>18.577999999999999</v>
      </c>
      <c r="S145" s="307">
        <f t="shared" ca="1" si="17"/>
        <v>0</v>
      </c>
      <c r="T145" s="687"/>
    </row>
    <row r="146" spans="1:20">
      <c r="A146" s="631" t="str">
        <f>'5号楼'!B126</f>
        <v>B2123</v>
      </c>
      <c r="B146" s="631">
        <f>'5号楼'!C126</f>
        <v>50.93</v>
      </c>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2565" t="s">
        <v>4857</v>
      </c>
      <c r="Q146" s="21">
        <f t="shared" si="25"/>
        <v>1</v>
      </c>
      <c r="R146" s="21">
        <f t="shared" ca="1" si="26"/>
        <v>18.577999999999999</v>
      </c>
      <c r="S146" s="307">
        <f t="shared" ca="1" si="17"/>
        <v>0</v>
      </c>
      <c r="T146" s="687"/>
    </row>
    <row r="147" spans="1:20">
      <c r="A147" s="631" t="str">
        <f>'5号楼'!B127</f>
        <v>B2124</v>
      </c>
      <c r="B147" s="631">
        <f>'5号楼'!C127</f>
        <v>50.93</v>
      </c>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2565" t="s">
        <v>4857</v>
      </c>
      <c r="Q147" s="21">
        <f t="shared" si="25"/>
        <v>1</v>
      </c>
      <c r="R147" s="21">
        <f t="shared" ca="1" si="26"/>
        <v>18.577999999999999</v>
      </c>
      <c r="S147" s="307">
        <f t="shared" ca="1" si="17"/>
        <v>0</v>
      </c>
      <c r="T147" s="687"/>
    </row>
    <row r="148" spans="1:20">
      <c r="A148" s="631" t="str">
        <f>'5号楼'!B128</f>
        <v>B2125</v>
      </c>
      <c r="B148" s="631">
        <f>'5号楼'!C128</f>
        <v>50.93</v>
      </c>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2565" t="s">
        <v>4857</v>
      </c>
      <c r="Q148" s="21">
        <f t="shared" si="25"/>
        <v>1</v>
      </c>
      <c r="R148" s="21">
        <f t="shared" ca="1" si="26"/>
        <v>18.577999999999999</v>
      </c>
      <c r="S148" s="307">
        <f t="shared" ca="1" si="17"/>
        <v>0</v>
      </c>
      <c r="T148" s="687"/>
    </row>
    <row r="149" spans="1:20">
      <c r="A149" s="631" t="str">
        <f>'5号楼'!B129</f>
        <v>B2126</v>
      </c>
      <c r="B149" s="631">
        <f>'5号楼'!C129</f>
        <v>50.93</v>
      </c>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2565" t="s">
        <v>4857</v>
      </c>
      <c r="Q149" s="21">
        <f t="shared" si="25"/>
        <v>1</v>
      </c>
      <c r="R149" s="21">
        <f t="shared" ca="1" si="26"/>
        <v>18.577999999999999</v>
      </c>
      <c r="S149" s="307">
        <f t="shared" ca="1" si="17"/>
        <v>0</v>
      </c>
      <c r="T149" s="687"/>
    </row>
    <row r="150" spans="1:20">
      <c r="A150" s="631" t="str">
        <f>'5号楼'!B130</f>
        <v>B2127</v>
      </c>
      <c r="B150" s="631">
        <f>'5号楼'!C130</f>
        <v>50.93</v>
      </c>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2565" t="s">
        <v>4857</v>
      </c>
      <c r="Q150" s="21">
        <f t="shared" si="25"/>
        <v>1</v>
      </c>
      <c r="R150" s="21">
        <f t="shared" ca="1" si="26"/>
        <v>18.577999999999999</v>
      </c>
      <c r="S150" s="307">
        <f t="shared" ca="1" si="17"/>
        <v>0</v>
      </c>
      <c r="T150" s="687"/>
    </row>
    <row r="151" spans="1:20">
      <c r="A151" s="631" t="str">
        <f>'5号楼'!B131</f>
        <v>B2128</v>
      </c>
      <c r="B151" s="631">
        <f>'5号楼'!C131</f>
        <v>59.92</v>
      </c>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2565" t="s">
        <v>4857</v>
      </c>
      <c r="Q151" s="21">
        <f t="shared" si="25"/>
        <v>1</v>
      </c>
      <c r="R151" s="21">
        <f t="shared" ca="1" si="26"/>
        <v>18.577999999999999</v>
      </c>
      <c r="S151" s="307">
        <f t="shared" ca="1" si="17"/>
        <v>0</v>
      </c>
      <c r="T151" s="687"/>
    </row>
    <row r="152" spans="1:20">
      <c r="A152" s="631" t="str">
        <f>'5号楼'!B132</f>
        <v>B2129</v>
      </c>
      <c r="B152" s="631">
        <f>'5号楼'!C132</f>
        <v>52.93</v>
      </c>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2565" t="s">
        <v>4857</v>
      </c>
      <c r="Q152" s="21">
        <f t="shared" si="25"/>
        <v>1</v>
      </c>
      <c r="R152" s="21">
        <f t="shared" ca="1" si="26"/>
        <v>18.577999999999999</v>
      </c>
      <c r="S152" s="307">
        <f t="shared" ref="S152:S215" ca="1" si="27">ROUND(R152*B152/10000,0)</f>
        <v>0</v>
      </c>
      <c r="T152" s="687"/>
    </row>
    <row r="153" spans="1:20">
      <c r="A153" s="631" t="str">
        <f>'5号楼'!B133</f>
        <v>B2130</v>
      </c>
      <c r="B153" s="631">
        <f>'5号楼'!C133</f>
        <v>52.93</v>
      </c>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2565" t="s">
        <v>4857</v>
      </c>
      <c r="Q153" s="21">
        <f t="shared" si="25"/>
        <v>1</v>
      </c>
      <c r="R153" s="21">
        <f t="shared" ca="1" si="26"/>
        <v>18.577999999999999</v>
      </c>
      <c r="S153" s="307">
        <f t="shared" ca="1" si="27"/>
        <v>0</v>
      </c>
      <c r="T153" s="687"/>
    </row>
    <row r="154" spans="1:20">
      <c r="A154" s="631" t="str">
        <f>'5号楼'!B134</f>
        <v>B2131</v>
      </c>
      <c r="B154" s="631">
        <f>'5号楼'!C134</f>
        <v>52.93</v>
      </c>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2565" t="s">
        <v>4857</v>
      </c>
      <c r="Q154" s="21">
        <f t="shared" ref="Q154:Q217" si="35">(SUMIF($17:$17,P154,$18:$18)-SUMIF($17:$17,$P$24,$18:$18)+100)/100</f>
        <v>1</v>
      </c>
      <c r="R154" s="21">
        <f t="shared" ref="R154:R217" ca="1" si="36">IF(B154="",0,ROUND($R$24*C154*E154*G154*I154*K154*M154*O154*Q154,4))</f>
        <v>18.577999999999999</v>
      </c>
      <c r="S154" s="307">
        <f t="shared" ca="1" si="27"/>
        <v>0</v>
      </c>
      <c r="T154" s="687"/>
    </row>
    <row r="155" spans="1:20">
      <c r="A155" s="631" t="str">
        <f>'5号楼'!B135</f>
        <v>B2132</v>
      </c>
      <c r="B155" s="631">
        <f>'5号楼'!C135</f>
        <v>52.93</v>
      </c>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2565" t="s">
        <v>4857</v>
      </c>
      <c r="Q155" s="21">
        <f t="shared" si="35"/>
        <v>1</v>
      </c>
      <c r="R155" s="21">
        <f t="shared" ca="1" si="36"/>
        <v>18.577999999999999</v>
      </c>
      <c r="S155" s="307">
        <f t="shared" ca="1" si="27"/>
        <v>0</v>
      </c>
      <c r="T155" s="687"/>
    </row>
    <row r="156" spans="1:20">
      <c r="A156" s="631" t="str">
        <f>'5号楼'!B136</f>
        <v>B2133</v>
      </c>
      <c r="B156" s="631">
        <f>'5号楼'!C136</f>
        <v>52.93</v>
      </c>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2565" t="s">
        <v>4857</v>
      </c>
      <c r="Q156" s="21">
        <f t="shared" si="35"/>
        <v>1</v>
      </c>
      <c r="R156" s="21">
        <f t="shared" ca="1" si="36"/>
        <v>18.577999999999999</v>
      </c>
      <c r="S156" s="307">
        <f t="shared" ca="1" si="27"/>
        <v>0</v>
      </c>
      <c r="T156" s="687"/>
    </row>
    <row r="157" spans="1:20">
      <c r="A157" s="631" t="str">
        <f>'5号楼'!B137</f>
        <v>B2134</v>
      </c>
      <c r="B157" s="631">
        <f>'5号楼'!C137</f>
        <v>50.93</v>
      </c>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2565" t="s">
        <v>4857</v>
      </c>
      <c r="Q157" s="21">
        <f t="shared" si="35"/>
        <v>1</v>
      </c>
      <c r="R157" s="21">
        <f t="shared" ca="1" si="36"/>
        <v>18.577999999999999</v>
      </c>
      <c r="S157" s="307">
        <f t="shared" ca="1" si="27"/>
        <v>0</v>
      </c>
      <c r="T157" s="687"/>
    </row>
    <row r="158" spans="1:20">
      <c r="A158" s="631" t="str">
        <f>'5号楼'!B138</f>
        <v>B2135</v>
      </c>
      <c r="B158" s="631">
        <f>'5号楼'!C138</f>
        <v>50.93</v>
      </c>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2565" t="s">
        <v>4857</v>
      </c>
      <c r="Q158" s="21">
        <f t="shared" si="35"/>
        <v>1</v>
      </c>
      <c r="R158" s="21">
        <f t="shared" ca="1" si="36"/>
        <v>18.577999999999999</v>
      </c>
      <c r="S158" s="307">
        <f t="shared" ca="1" si="27"/>
        <v>0</v>
      </c>
      <c r="T158" s="687"/>
    </row>
    <row r="159" spans="1:20">
      <c r="A159" s="631" t="str">
        <f>'5号楼'!B139</f>
        <v>B2136</v>
      </c>
      <c r="B159" s="631">
        <f>'5号楼'!C139</f>
        <v>50.93</v>
      </c>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2565" t="s">
        <v>4857</v>
      </c>
      <c r="Q159" s="21">
        <f t="shared" si="35"/>
        <v>1</v>
      </c>
      <c r="R159" s="21">
        <f t="shared" ca="1" si="36"/>
        <v>18.577999999999999</v>
      </c>
      <c r="S159" s="307">
        <f t="shared" ca="1" si="27"/>
        <v>0</v>
      </c>
      <c r="T159" s="687"/>
    </row>
    <row r="160" spans="1:20">
      <c r="A160" s="631" t="str">
        <f>'5号楼'!B140</f>
        <v>B2137</v>
      </c>
      <c r="B160" s="631">
        <f>'5号楼'!C140</f>
        <v>50.93</v>
      </c>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2565" t="s">
        <v>4857</v>
      </c>
      <c r="Q160" s="21">
        <f t="shared" si="35"/>
        <v>1</v>
      </c>
      <c r="R160" s="21">
        <f t="shared" ca="1" si="36"/>
        <v>18.577999999999999</v>
      </c>
      <c r="S160" s="307">
        <f t="shared" ca="1" si="27"/>
        <v>0</v>
      </c>
      <c r="T160" s="687"/>
    </row>
    <row r="161" spans="1:20">
      <c r="A161" s="631" t="str">
        <f>'5号楼'!B141</f>
        <v>B2138</v>
      </c>
      <c r="B161" s="631">
        <f>'5号楼'!C141</f>
        <v>50.93</v>
      </c>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2565" t="s">
        <v>4857</v>
      </c>
      <c r="Q161" s="21">
        <f t="shared" si="35"/>
        <v>1</v>
      </c>
      <c r="R161" s="21">
        <f t="shared" ca="1" si="36"/>
        <v>18.577999999999999</v>
      </c>
      <c r="S161" s="307">
        <f t="shared" ca="1" si="27"/>
        <v>0</v>
      </c>
      <c r="T161" s="687"/>
    </row>
    <row r="162" spans="1:20">
      <c r="A162" s="631" t="str">
        <f>'5号楼'!B142</f>
        <v>B2139</v>
      </c>
      <c r="B162" s="631">
        <f>'5号楼'!C142</f>
        <v>50.93</v>
      </c>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2565" t="s">
        <v>4857</v>
      </c>
      <c r="Q162" s="21">
        <f t="shared" si="35"/>
        <v>1</v>
      </c>
      <c r="R162" s="21">
        <f t="shared" ca="1" si="36"/>
        <v>18.577999999999999</v>
      </c>
      <c r="S162" s="307">
        <f t="shared" ca="1" si="27"/>
        <v>0</v>
      </c>
      <c r="T162" s="687"/>
    </row>
    <row r="163" spans="1:20">
      <c r="A163" s="631" t="str">
        <f>'5号楼'!B143</f>
        <v>B2140</v>
      </c>
      <c r="B163" s="631">
        <f>'5号楼'!C143</f>
        <v>50.93</v>
      </c>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2565" t="s">
        <v>4857</v>
      </c>
      <c r="Q163" s="21">
        <f t="shared" si="35"/>
        <v>1</v>
      </c>
      <c r="R163" s="21">
        <f t="shared" ca="1" si="36"/>
        <v>18.577999999999999</v>
      </c>
      <c r="S163" s="307">
        <f t="shared" ca="1" si="27"/>
        <v>0</v>
      </c>
      <c r="T163" s="687"/>
    </row>
    <row r="164" spans="1:20">
      <c r="A164" s="631" t="str">
        <f>'5号楼'!B144</f>
        <v>B2141</v>
      </c>
      <c r="B164" s="631">
        <f>'5号楼'!C144</f>
        <v>50.93</v>
      </c>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2565" t="s">
        <v>4857</v>
      </c>
      <c r="Q164" s="21">
        <f t="shared" si="35"/>
        <v>1</v>
      </c>
      <c r="R164" s="21">
        <f t="shared" ca="1" si="36"/>
        <v>18.577999999999999</v>
      </c>
      <c r="S164" s="307">
        <f t="shared" ca="1" si="27"/>
        <v>0</v>
      </c>
      <c r="T164" s="687"/>
    </row>
    <row r="165" spans="1:20">
      <c r="A165" s="631" t="str">
        <f>'5号楼'!B145</f>
        <v>B2142</v>
      </c>
      <c r="B165" s="631">
        <f>'5号楼'!C145</f>
        <v>50.93</v>
      </c>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2565" t="s">
        <v>4857</v>
      </c>
      <c r="Q165" s="21">
        <f t="shared" si="35"/>
        <v>1</v>
      </c>
      <c r="R165" s="21">
        <f t="shared" ca="1" si="36"/>
        <v>18.577999999999999</v>
      </c>
      <c r="S165" s="307">
        <f t="shared" ca="1" si="27"/>
        <v>0</v>
      </c>
      <c r="T165" s="687"/>
    </row>
    <row r="166" spans="1:20">
      <c r="A166" s="631" t="str">
        <f>'5号楼'!B146</f>
        <v>B2143</v>
      </c>
      <c r="B166" s="631">
        <f>'5号楼'!C146</f>
        <v>50.93</v>
      </c>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2565" t="s">
        <v>4857</v>
      </c>
      <c r="Q166" s="21">
        <f t="shared" si="35"/>
        <v>1</v>
      </c>
      <c r="R166" s="21">
        <f t="shared" ca="1" si="36"/>
        <v>18.577999999999999</v>
      </c>
      <c r="S166" s="307">
        <f t="shared" ca="1" si="27"/>
        <v>0</v>
      </c>
      <c r="T166" s="687"/>
    </row>
    <row r="167" spans="1:20">
      <c r="A167" s="631" t="str">
        <f>'5号楼'!B147</f>
        <v>B2144</v>
      </c>
      <c r="B167" s="631">
        <f>'5号楼'!C147</f>
        <v>50.93</v>
      </c>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2565" t="s">
        <v>4857</v>
      </c>
      <c r="Q167" s="21">
        <f t="shared" si="35"/>
        <v>1</v>
      </c>
      <c r="R167" s="21">
        <f t="shared" ca="1" si="36"/>
        <v>18.577999999999999</v>
      </c>
      <c r="S167" s="307">
        <f t="shared" ca="1" si="27"/>
        <v>0</v>
      </c>
      <c r="T167" s="687"/>
    </row>
    <row r="168" spans="1:20">
      <c r="A168" s="631" t="str">
        <f>'5号楼'!B148</f>
        <v>B2145</v>
      </c>
      <c r="B168" s="631">
        <f>'5号楼'!C148</f>
        <v>50.93</v>
      </c>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2565" t="s">
        <v>4857</v>
      </c>
      <c r="Q168" s="21">
        <f t="shared" si="35"/>
        <v>1</v>
      </c>
      <c r="R168" s="21">
        <f t="shared" ca="1" si="36"/>
        <v>18.577999999999999</v>
      </c>
      <c r="S168" s="307">
        <f t="shared" ca="1" si="27"/>
        <v>0</v>
      </c>
      <c r="T168" s="687"/>
    </row>
    <row r="169" spans="1:20">
      <c r="A169" s="631" t="str">
        <f>'5号楼'!B149</f>
        <v>B2146</v>
      </c>
      <c r="B169" s="631">
        <f>'5号楼'!C149</f>
        <v>50.93</v>
      </c>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2565" t="s">
        <v>4857</v>
      </c>
      <c r="Q169" s="21">
        <f t="shared" si="35"/>
        <v>1</v>
      </c>
      <c r="R169" s="21">
        <f t="shared" ca="1" si="36"/>
        <v>18.577999999999999</v>
      </c>
      <c r="S169" s="307">
        <f t="shared" ca="1" si="27"/>
        <v>0</v>
      </c>
      <c r="T169" s="687"/>
    </row>
    <row r="170" spans="1:20">
      <c r="A170" s="631" t="str">
        <f>'5号楼'!B150</f>
        <v>B2147</v>
      </c>
      <c r="B170" s="631">
        <f>'5号楼'!C150</f>
        <v>59.92</v>
      </c>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2565" t="s">
        <v>4857</v>
      </c>
      <c r="Q170" s="21">
        <f t="shared" si="35"/>
        <v>1</v>
      </c>
      <c r="R170" s="21">
        <f t="shared" ca="1" si="36"/>
        <v>18.577999999999999</v>
      </c>
      <c r="S170" s="307">
        <f t="shared" ca="1" si="27"/>
        <v>0</v>
      </c>
      <c r="T170" s="687"/>
    </row>
    <row r="171" spans="1:20">
      <c r="A171" s="631" t="str">
        <f>'5号楼'!B151</f>
        <v>B2148</v>
      </c>
      <c r="B171" s="631">
        <f>'5号楼'!C151</f>
        <v>50.93</v>
      </c>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2565" t="s">
        <v>4857</v>
      </c>
      <c r="Q171" s="21">
        <f t="shared" si="35"/>
        <v>1</v>
      </c>
      <c r="R171" s="21">
        <f t="shared" ca="1" si="36"/>
        <v>18.577999999999999</v>
      </c>
      <c r="S171" s="307">
        <f t="shared" ca="1" si="27"/>
        <v>0</v>
      </c>
      <c r="T171" s="687"/>
    </row>
    <row r="172" spans="1:20">
      <c r="A172" s="631" t="str">
        <f>'5号楼'!B152</f>
        <v>B2149</v>
      </c>
      <c r="B172" s="631">
        <f>'5号楼'!C152</f>
        <v>50.93</v>
      </c>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2565" t="s">
        <v>4857</v>
      </c>
      <c r="Q172" s="21">
        <f t="shared" si="35"/>
        <v>1</v>
      </c>
      <c r="R172" s="21">
        <f t="shared" ca="1" si="36"/>
        <v>18.577999999999999</v>
      </c>
      <c r="S172" s="307">
        <f t="shared" ca="1" si="27"/>
        <v>0</v>
      </c>
      <c r="T172" s="687"/>
    </row>
    <row r="173" spans="1:20">
      <c r="A173" s="631" t="str">
        <f>'5号楼'!B153</f>
        <v>B2150</v>
      </c>
      <c r="B173" s="631">
        <f>'5号楼'!C153</f>
        <v>50.93</v>
      </c>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2565" t="s">
        <v>4857</v>
      </c>
      <c r="Q173" s="21">
        <f t="shared" si="35"/>
        <v>1</v>
      </c>
      <c r="R173" s="21">
        <f t="shared" ca="1" si="36"/>
        <v>18.577999999999999</v>
      </c>
      <c r="S173" s="307">
        <f t="shared" ca="1" si="27"/>
        <v>0</v>
      </c>
      <c r="T173" s="687"/>
    </row>
    <row r="174" spans="1:20">
      <c r="A174" s="631" t="str">
        <f>'5号楼'!B154</f>
        <v>B2151</v>
      </c>
      <c r="B174" s="631">
        <f>'5号楼'!C154</f>
        <v>50.93</v>
      </c>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2565" t="s">
        <v>4857</v>
      </c>
      <c r="Q174" s="21">
        <f t="shared" si="35"/>
        <v>1</v>
      </c>
      <c r="R174" s="21">
        <f t="shared" ca="1" si="36"/>
        <v>18.577999999999999</v>
      </c>
      <c r="S174" s="307">
        <f t="shared" ca="1" si="27"/>
        <v>0</v>
      </c>
      <c r="T174" s="687"/>
    </row>
    <row r="175" spans="1:20">
      <c r="A175" s="631" t="str">
        <f>'5号楼'!B155</f>
        <v>B2152</v>
      </c>
      <c r="B175" s="631">
        <f>'5号楼'!C155</f>
        <v>50.93</v>
      </c>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2565" t="s">
        <v>4857</v>
      </c>
      <c r="Q175" s="21">
        <f t="shared" si="35"/>
        <v>1</v>
      </c>
      <c r="R175" s="21">
        <f t="shared" ca="1" si="36"/>
        <v>18.577999999999999</v>
      </c>
      <c r="S175" s="307">
        <f t="shared" ca="1" si="27"/>
        <v>0</v>
      </c>
      <c r="T175" s="687"/>
    </row>
    <row r="176" spans="1:20">
      <c r="A176" s="631" t="str">
        <f>'5号楼'!B156</f>
        <v>B2153</v>
      </c>
      <c r="B176" s="631">
        <f>'5号楼'!C156</f>
        <v>50.93</v>
      </c>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2565" t="s">
        <v>4857</v>
      </c>
      <c r="Q176" s="21">
        <f t="shared" si="35"/>
        <v>1</v>
      </c>
      <c r="R176" s="21">
        <f t="shared" ca="1" si="36"/>
        <v>18.577999999999999</v>
      </c>
      <c r="S176" s="307">
        <f t="shared" ca="1" si="27"/>
        <v>0</v>
      </c>
      <c r="T176" s="687"/>
    </row>
    <row r="177" spans="1:20">
      <c r="A177" s="631" t="str">
        <f>'5号楼'!B157</f>
        <v>B2154</v>
      </c>
      <c r="B177" s="631">
        <f>'5号楼'!C157</f>
        <v>50.93</v>
      </c>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2565" t="s">
        <v>4857</v>
      </c>
      <c r="Q177" s="21">
        <f t="shared" si="35"/>
        <v>1</v>
      </c>
      <c r="R177" s="21">
        <f t="shared" ca="1" si="36"/>
        <v>18.577999999999999</v>
      </c>
      <c r="S177" s="307">
        <f t="shared" ca="1" si="27"/>
        <v>0</v>
      </c>
      <c r="T177" s="687"/>
    </row>
    <row r="178" spans="1:20">
      <c r="A178" s="631" t="str">
        <f>'5号楼'!B158</f>
        <v>B2155</v>
      </c>
      <c r="B178" s="631">
        <f>'5号楼'!C158</f>
        <v>50.93</v>
      </c>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2565" t="s">
        <v>4857</v>
      </c>
      <c r="Q178" s="21">
        <f t="shared" si="35"/>
        <v>1</v>
      </c>
      <c r="R178" s="21">
        <f t="shared" ca="1" si="36"/>
        <v>18.577999999999999</v>
      </c>
      <c r="S178" s="307">
        <f t="shared" ca="1" si="27"/>
        <v>0</v>
      </c>
      <c r="T178" s="687"/>
    </row>
    <row r="179" spans="1:20">
      <c r="A179" s="631" t="str">
        <f>'5号楼'!B159</f>
        <v>B2156</v>
      </c>
      <c r="B179" s="631">
        <f>'5号楼'!C159</f>
        <v>50.93</v>
      </c>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2565" t="s">
        <v>4857</v>
      </c>
      <c r="Q179" s="21">
        <f t="shared" si="35"/>
        <v>1</v>
      </c>
      <c r="R179" s="21">
        <f t="shared" ca="1" si="36"/>
        <v>18.577999999999999</v>
      </c>
      <c r="S179" s="307">
        <f t="shared" ca="1" si="27"/>
        <v>0</v>
      </c>
      <c r="T179" s="687"/>
    </row>
    <row r="180" spans="1:20">
      <c r="A180" s="631" t="str">
        <f>'5号楼'!B160</f>
        <v>B2157</v>
      </c>
      <c r="B180" s="631">
        <f>'5号楼'!C160</f>
        <v>50.93</v>
      </c>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2565" t="s">
        <v>4857</v>
      </c>
      <c r="Q180" s="21">
        <f t="shared" si="35"/>
        <v>1</v>
      </c>
      <c r="R180" s="21">
        <f t="shared" ca="1" si="36"/>
        <v>18.577999999999999</v>
      </c>
      <c r="S180" s="307">
        <f t="shared" ca="1" si="27"/>
        <v>0</v>
      </c>
      <c r="T180" s="687"/>
    </row>
    <row r="181" spans="1:20">
      <c r="A181" s="631" t="str">
        <f>'5号楼'!B161</f>
        <v>B2158</v>
      </c>
      <c r="B181" s="631">
        <f>'5号楼'!C161</f>
        <v>50.93</v>
      </c>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2565" t="s">
        <v>4857</v>
      </c>
      <c r="Q181" s="21">
        <f t="shared" si="35"/>
        <v>1</v>
      </c>
      <c r="R181" s="21">
        <f t="shared" ca="1" si="36"/>
        <v>18.577999999999999</v>
      </c>
      <c r="S181" s="307">
        <f t="shared" ca="1" si="27"/>
        <v>0</v>
      </c>
      <c r="T181" s="687"/>
    </row>
    <row r="182" spans="1:20">
      <c r="A182" s="631" t="str">
        <f>'5号楼'!B162</f>
        <v>B2159</v>
      </c>
      <c r="B182" s="631">
        <f>'5号楼'!C162</f>
        <v>50.93</v>
      </c>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2565" t="s">
        <v>4857</v>
      </c>
      <c r="Q182" s="21">
        <f t="shared" si="35"/>
        <v>1</v>
      </c>
      <c r="R182" s="21">
        <f t="shared" ca="1" si="36"/>
        <v>18.577999999999999</v>
      </c>
      <c r="S182" s="307">
        <f t="shared" ca="1" si="27"/>
        <v>0</v>
      </c>
      <c r="T182" s="687"/>
    </row>
    <row r="183" spans="1:20">
      <c r="A183" s="631" t="str">
        <f>'5号楼'!B163</f>
        <v>B2160</v>
      </c>
      <c r="B183" s="631">
        <f>'5号楼'!C163</f>
        <v>50.93</v>
      </c>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2565" t="s">
        <v>4857</v>
      </c>
      <c r="Q183" s="21">
        <f t="shared" si="35"/>
        <v>1</v>
      </c>
      <c r="R183" s="21">
        <f t="shared" ca="1" si="36"/>
        <v>18.577999999999999</v>
      </c>
      <c r="S183" s="307">
        <f t="shared" ca="1" si="27"/>
        <v>0</v>
      </c>
      <c r="T183" s="687"/>
    </row>
    <row r="184" spans="1:20">
      <c r="A184" s="631" t="str">
        <f>'5号楼'!B164</f>
        <v>B2161</v>
      </c>
      <c r="B184" s="631">
        <f>'5号楼'!C164</f>
        <v>52.93</v>
      </c>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2565" t="s">
        <v>4857</v>
      </c>
      <c r="Q184" s="21">
        <f t="shared" si="35"/>
        <v>1</v>
      </c>
      <c r="R184" s="21">
        <f t="shared" ca="1" si="36"/>
        <v>18.577999999999999</v>
      </c>
      <c r="S184" s="307">
        <f t="shared" ca="1" si="27"/>
        <v>0</v>
      </c>
      <c r="T184" s="687"/>
    </row>
    <row r="185" spans="1:20">
      <c r="A185" s="631" t="str">
        <f>'5号楼'!B165</f>
        <v>B2162</v>
      </c>
      <c r="B185" s="631">
        <f>'5号楼'!C165</f>
        <v>52.93</v>
      </c>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2565" t="s">
        <v>4857</v>
      </c>
      <c r="Q185" s="21">
        <f t="shared" si="35"/>
        <v>1</v>
      </c>
      <c r="R185" s="21">
        <f t="shared" ca="1" si="36"/>
        <v>18.577999999999999</v>
      </c>
      <c r="S185" s="307">
        <f t="shared" ca="1" si="27"/>
        <v>0</v>
      </c>
      <c r="T185" s="687"/>
    </row>
    <row r="186" spans="1:20">
      <c r="A186" s="631" t="str">
        <f>'5号楼'!B166</f>
        <v>B2163</v>
      </c>
      <c r="B186" s="631">
        <f>'5号楼'!C166</f>
        <v>52.93</v>
      </c>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2565" t="s">
        <v>4857</v>
      </c>
      <c r="Q186" s="21">
        <f t="shared" si="35"/>
        <v>1</v>
      </c>
      <c r="R186" s="21">
        <f t="shared" ca="1" si="36"/>
        <v>18.577999999999999</v>
      </c>
      <c r="S186" s="307">
        <f t="shared" ca="1" si="27"/>
        <v>0</v>
      </c>
      <c r="T186" s="687"/>
    </row>
    <row r="187" spans="1:20">
      <c r="A187" s="631" t="str">
        <f>'5号楼'!B167</f>
        <v>B2164</v>
      </c>
      <c r="B187" s="631">
        <f>'5号楼'!C167</f>
        <v>52.93</v>
      </c>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2565" t="s">
        <v>4857</v>
      </c>
      <c r="Q187" s="21">
        <f t="shared" si="35"/>
        <v>1</v>
      </c>
      <c r="R187" s="21">
        <f t="shared" ca="1" si="36"/>
        <v>18.577999999999999</v>
      </c>
      <c r="S187" s="307">
        <f t="shared" ca="1" si="27"/>
        <v>0</v>
      </c>
      <c r="T187" s="687"/>
    </row>
    <row r="188" spans="1:20">
      <c r="A188" s="631" t="str">
        <f>'5号楼'!B168</f>
        <v>B2165</v>
      </c>
      <c r="B188" s="631">
        <f>'5号楼'!C168</f>
        <v>52.93</v>
      </c>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2565" t="s">
        <v>4857</v>
      </c>
      <c r="Q188" s="21">
        <f t="shared" si="35"/>
        <v>1</v>
      </c>
      <c r="R188" s="21">
        <f t="shared" ca="1" si="36"/>
        <v>18.577999999999999</v>
      </c>
      <c r="S188" s="307">
        <f t="shared" ca="1" si="27"/>
        <v>0</v>
      </c>
      <c r="T188" s="687"/>
    </row>
    <row r="189" spans="1:20">
      <c r="A189" s="631" t="str">
        <f>'5号楼'!B169</f>
        <v>B2166</v>
      </c>
      <c r="B189" s="631">
        <f>'5号楼'!C169</f>
        <v>52.93</v>
      </c>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2565" t="s">
        <v>4857</v>
      </c>
      <c r="Q189" s="21">
        <f t="shared" si="35"/>
        <v>1</v>
      </c>
      <c r="R189" s="21">
        <f t="shared" ca="1" si="36"/>
        <v>18.577999999999999</v>
      </c>
      <c r="S189" s="307">
        <f t="shared" ca="1" si="27"/>
        <v>0</v>
      </c>
      <c r="T189" s="687"/>
    </row>
    <row r="190" spans="1:20">
      <c r="A190" s="631" t="str">
        <f>'5号楼'!B170</f>
        <v>B2167</v>
      </c>
      <c r="B190" s="631">
        <f>'5号楼'!C170</f>
        <v>52.93</v>
      </c>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2565" t="s">
        <v>4857</v>
      </c>
      <c r="Q190" s="21">
        <f t="shared" si="35"/>
        <v>1</v>
      </c>
      <c r="R190" s="21">
        <f t="shared" ca="1" si="36"/>
        <v>18.577999999999999</v>
      </c>
      <c r="S190" s="307">
        <f t="shared" ca="1" si="27"/>
        <v>0</v>
      </c>
      <c r="T190" s="687"/>
    </row>
    <row r="191" spans="1:20">
      <c r="A191" s="631" t="str">
        <f>'5号楼'!B171</f>
        <v>B2168</v>
      </c>
      <c r="B191" s="631">
        <f>'5号楼'!C171</f>
        <v>52.93</v>
      </c>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2565" t="s">
        <v>4857</v>
      </c>
      <c r="Q191" s="21">
        <f t="shared" si="35"/>
        <v>1</v>
      </c>
      <c r="R191" s="21">
        <f t="shared" ca="1" si="36"/>
        <v>18.577999999999999</v>
      </c>
      <c r="S191" s="307">
        <f t="shared" ca="1" si="27"/>
        <v>0</v>
      </c>
      <c r="T191" s="687"/>
    </row>
    <row r="192" spans="1:20">
      <c r="A192" s="631" t="str">
        <f>'5号楼'!B172</f>
        <v>B2169</v>
      </c>
      <c r="B192" s="631">
        <f>'5号楼'!C172</f>
        <v>52.93</v>
      </c>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2565" t="s">
        <v>4857</v>
      </c>
      <c r="Q192" s="21">
        <f t="shared" si="35"/>
        <v>1</v>
      </c>
      <c r="R192" s="21">
        <f t="shared" ca="1" si="36"/>
        <v>18.577999999999999</v>
      </c>
      <c r="S192" s="307">
        <f t="shared" ca="1" si="27"/>
        <v>0</v>
      </c>
      <c r="T192" s="687"/>
    </row>
    <row r="193" spans="1:20">
      <c r="A193" s="631" t="str">
        <f>'5号楼'!B173</f>
        <v>B2170</v>
      </c>
      <c r="B193" s="631">
        <f>'5号楼'!C173</f>
        <v>52.93</v>
      </c>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2565" t="s">
        <v>4857</v>
      </c>
      <c r="Q193" s="21">
        <f t="shared" si="35"/>
        <v>1</v>
      </c>
      <c r="R193" s="21">
        <f t="shared" ca="1" si="36"/>
        <v>18.577999999999999</v>
      </c>
      <c r="S193" s="307">
        <f t="shared" ca="1" si="27"/>
        <v>0</v>
      </c>
      <c r="T193" s="687"/>
    </row>
    <row r="194" spans="1:20">
      <c r="A194" s="631" t="str">
        <f>'5号楼'!B174</f>
        <v>B2171</v>
      </c>
      <c r="B194" s="631">
        <f>'5号楼'!C174</f>
        <v>52.93</v>
      </c>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2565" t="s">
        <v>4857</v>
      </c>
      <c r="Q194" s="21">
        <f t="shared" si="35"/>
        <v>1</v>
      </c>
      <c r="R194" s="21">
        <f t="shared" ca="1" si="36"/>
        <v>18.577999999999999</v>
      </c>
      <c r="S194" s="307">
        <f t="shared" ca="1" si="27"/>
        <v>0</v>
      </c>
      <c r="T194" s="687"/>
    </row>
    <row r="195" spans="1:20">
      <c r="A195" s="631" t="str">
        <f>'5号楼'!B175</f>
        <v>B2172</v>
      </c>
      <c r="B195" s="631">
        <f>'5号楼'!C175</f>
        <v>52.93</v>
      </c>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2565" t="s">
        <v>4857</v>
      </c>
      <c r="Q195" s="21">
        <f t="shared" si="35"/>
        <v>1</v>
      </c>
      <c r="R195" s="21">
        <f t="shared" ca="1" si="36"/>
        <v>18.577999999999999</v>
      </c>
      <c r="S195" s="307">
        <f t="shared" ca="1" si="27"/>
        <v>0</v>
      </c>
      <c r="T195" s="687"/>
    </row>
    <row r="196" spans="1:20">
      <c r="A196" s="631" t="str">
        <f>'5号楼'!B176</f>
        <v>B2173</v>
      </c>
      <c r="B196" s="631">
        <f>'5号楼'!C176</f>
        <v>52.93</v>
      </c>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2565" t="s">
        <v>4857</v>
      </c>
      <c r="Q196" s="21">
        <f t="shared" si="35"/>
        <v>1</v>
      </c>
      <c r="R196" s="21">
        <f t="shared" ca="1" si="36"/>
        <v>18.577999999999999</v>
      </c>
      <c r="S196" s="307">
        <f t="shared" ca="1" si="27"/>
        <v>0</v>
      </c>
      <c r="T196" s="687"/>
    </row>
    <row r="197" spans="1:20">
      <c r="A197" s="631" t="str">
        <f>'5号楼'!B177</f>
        <v>B2174</v>
      </c>
      <c r="B197" s="631">
        <f>'5号楼'!C177</f>
        <v>52.93</v>
      </c>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2565" t="s">
        <v>4857</v>
      </c>
      <c r="Q197" s="21">
        <f t="shared" si="35"/>
        <v>1</v>
      </c>
      <c r="R197" s="21">
        <f t="shared" ca="1" si="36"/>
        <v>18.577999999999999</v>
      </c>
      <c r="S197" s="307">
        <f t="shared" ca="1" si="27"/>
        <v>0</v>
      </c>
      <c r="T197" s="687"/>
    </row>
    <row r="198" spans="1:20">
      <c r="A198" s="631" t="str">
        <f>'5号楼'!B178</f>
        <v>B2175</v>
      </c>
      <c r="B198" s="631">
        <f>'5号楼'!C178</f>
        <v>59.92</v>
      </c>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2565" t="s">
        <v>4857</v>
      </c>
      <c r="Q198" s="21">
        <f t="shared" si="35"/>
        <v>1</v>
      </c>
      <c r="R198" s="21">
        <f t="shared" ca="1" si="36"/>
        <v>18.577999999999999</v>
      </c>
      <c r="S198" s="307">
        <f t="shared" ca="1" si="27"/>
        <v>0</v>
      </c>
      <c r="T198" s="687"/>
    </row>
    <row r="199" spans="1:20">
      <c r="A199" s="631" t="str">
        <f>'5号楼'!B179</f>
        <v>B2176</v>
      </c>
      <c r="B199" s="631">
        <f>'5号楼'!C179</f>
        <v>50.93</v>
      </c>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2565" t="s">
        <v>4857</v>
      </c>
      <c r="Q199" s="21">
        <f t="shared" si="35"/>
        <v>1</v>
      </c>
      <c r="R199" s="21">
        <f t="shared" ca="1" si="36"/>
        <v>18.577999999999999</v>
      </c>
      <c r="S199" s="307">
        <f t="shared" ca="1" si="27"/>
        <v>0</v>
      </c>
      <c r="T199" s="687"/>
    </row>
    <row r="200" spans="1:20">
      <c r="A200" s="631" t="str">
        <f>'5号楼'!B180</f>
        <v>B2177</v>
      </c>
      <c r="B200" s="631">
        <f>'5号楼'!C180</f>
        <v>50.93</v>
      </c>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2565" t="s">
        <v>4857</v>
      </c>
      <c r="Q200" s="21">
        <f t="shared" si="35"/>
        <v>1</v>
      </c>
      <c r="R200" s="21">
        <f t="shared" ca="1" si="36"/>
        <v>18.577999999999999</v>
      </c>
      <c r="S200" s="307">
        <f t="shared" ca="1" si="27"/>
        <v>0</v>
      </c>
      <c r="T200" s="687"/>
    </row>
    <row r="201" spans="1:20">
      <c r="A201" s="631" t="str">
        <f>'5号楼'!B181</f>
        <v>B2178</v>
      </c>
      <c r="B201" s="631">
        <f>'5号楼'!C181</f>
        <v>50.93</v>
      </c>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2565" t="s">
        <v>4857</v>
      </c>
      <c r="Q201" s="21">
        <f t="shared" si="35"/>
        <v>1</v>
      </c>
      <c r="R201" s="21">
        <f t="shared" ca="1" si="36"/>
        <v>18.577999999999999</v>
      </c>
      <c r="S201" s="307">
        <f t="shared" ca="1" si="27"/>
        <v>0</v>
      </c>
      <c r="T201" s="687"/>
    </row>
    <row r="202" spans="1:20">
      <c r="A202" s="631" t="str">
        <f>'5号楼'!B182</f>
        <v>B2179</v>
      </c>
      <c r="B202" s="631">
        <f>'5号楼'!C182</f>
        <v>50.93</v>
      </c>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2565" t="s">
        <v>4857</v>
      </c>
      <c r="Q202" s="21">
        <f t="shared" si="35"/>
        <v>1</v>
      </c>
      <c r="R202" s="21">
        <f t="shared" ca="1" si="36"/>
        <v>18.577999999999999</v>
      </c>
      <c r="S202" s="307">
        <f t="shared" ca="1" si="27"/>
        <v>0</v>
      </c>
      <c r="T202" s="687"/>
    </row>
    <row r="203" spans="1:20">
      <c r="A203" s="631" t="str">
        <f>'5号楼'!B183</f>
        <v>B2180</v>
      </c>
      <c r="B203" s="631">
        <f>'5号楼'!C183</f>
        <v>50.93</v>
      </c>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2565" t="s">
        <v>4857</v>
      </c>
      <c r="Q203" s="21">
        <f t="shared" si="35"/>
        <v>1</v>
      </c>
      <c r="R203" s="21">
        <f t="shared" ca="1" si="36"/>
        <v>18.577999999999999</v>
      </c>
      <c r="S203" s="307">
        <f t="shared" ca="1" si="27"/>
        <v>0</v>
      </c>
      <c r="T203" s="687"/>
    </row>
    <row r="204" spans="1:20">
      <c r="A204" s="631" t="str">
        <f>'5号楼'!B184</f>
        <v>B3001</v>
      </c>
      <c r="B204" s="631">
        <f>'5号楼'!C184</f>
        <v>59.92</v>
      </c>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t="s">
        <v>4859</v>
      </c>
      <c r="Q204" s="21">
        <f t="shared" si="35"/>
        <v>0.95</v>
      </c>
      <c r="R204" s="21">
        <f t="shared" ca="1" si="36"/>
        <v>17.649100000000001</v>
      </c>
      <c r="S204" s="307">
        <f t="shared" ca="1" si="27"/>
        <v>0</v>
      </c>
      <c r="T204" s="687"/>
    </row>
    <row r="205" spans="1:20">
      <c r="A205" s="631" t="str">
        <f>'5号楼'!B185</f>
        <v>B3002</v>
      </c>
      <c r="B205" s="631">
        <f>'5号楼'!C185</f>
        <v>59.92</v>
      </c>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t="s">
        <v>4859</v>
      </c>
      <c r="Q205" s="21">
        <f t="shared" si="35"/>
        <v>0.95</v>
      </c>
      <c r="R205" s="21">
        <f t="shared" ca="1" si="36"/>
        <v>17.649100000000001</v>
      </c>
      <c r="S205" s="307">
        <f t="shared" ca="1" si="27"/>
        <v>0</v>
      </c>
      <c r="T205" s="687"/>
    </row>
    <row r="206" spans="1:20">
      <c r="A206" s="631" t="str">
        <f>'5号楼'!B186</f>
        <v>B3003</v>
      </c>
      <c r="B206" s="631">
        <f>'5号楼'!C186</f>
        <v>59.92</v>
      </c>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t="s">
        <v>4859</v>
      </c>
      <c r="Q206" s="21">
        <f t="shared" si="35"/>
        <v>0.95</v>
      </c>
      <c r="R206" s="21">
        <f t="shared" ca="1" si="36"/>
        <v>17.649100000000001</v>
      </c>
      <c r="S206" s="307">
        <f t="shared" ca="1" si="27"/>
        <v>0</v>
      </c>
      <c r="T206" s="687"/>
    </row>
    <row r="207" spans="1:20">
      <c r="A207" s="631" t="str">
        <f>'5号楼'!B187</f>
        <v>B3004</v>
      </c>
      <c r="B207" s="631">
        <f>'5号楼'!C187</f>
        <v>52.93</v>
      </c>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t="s">
        <v>4859</v>
      </c>
      <c r="Q207" s="21">
        <f t="shared" si="35"/>
        <v>0.95</v>
      </c>
      <c r="R207" s="21">
        <f t="shared" ca="1" si="36"/>
        <v>17.649100000000001</v>
      </c>
      <c r="S207" s="307">
        <f t="shared" ca="1" si="27"/>
        <v>0</v>
      </c>
      <c r="T207" s="687"/>
    </row>
    <row r="208" spans="1:20">
      <c r="A208" s="631" t="str">
        <f>'5号楼'!B188</f>
        <v>B3005</v>
      </c>
      <c r="B208" s="631">
        <f>'5号楼'!C188</f>
        <v>52.93</v>
      </c>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t="s">
        <v>4859</v>
      </c>
      <c r="Q208" s="21">
        <f t="shared" si="35"/>
        <v>0.95</v>
      </c>
      <c r="R208" s="21">
        <f t="shared" ca="1" si="36"/>
        <v>17.649100000000001</v>
      </c>
      <c r="S208" s="307">
        <f t="shared" ca="1" si="27"/>
        <v>0</v>
      </c>
      <c r="T208" s="687"/>
    </row>
    <row r="209" spans="1:20">
      <c r="A209" s="631" t="str">
        <f>'5号楼'!B189</f>
        <v>B3006</v>
      </c>
      <c r="B209" s="631">
        <f>'5号楼'!C189</f>
        <v>52.93</v>
      </c>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t="s">
        <v>4859</v>
      </c>
      <c r="Q209" s="21">
        <f t="shared" si="35"/>
        <v>0.95</v>
      </c>
      <c r="R209" s="21">
        <f t="shared" ca="1" si="36"/>
        <v>17.649100000000001</v>
      </c>
      <c r="S209" s="307">
        <f t="shared" ca="1" si="27"/>
        <v>0</v>
      </c>
      <c r="T209" s="687"/>
    </row>
    <row r="210" spans="1:20">
      <c r="A210" s="631" t="str">
        <f>'5号楼'!B190</f>
        <v>B3007</v>
      </c>
      <c r="B210" s="631">
        <f>'5号楼'!C190</f>
        <v>52.93</v>
      </c>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t="s">
        <v>4859</v>
      </c>
      <c r="Q210" s="21">
        <f t="shared" si="35"/>
        <v>0.95</v>
      </c>
      <c r="R210" s="21">
        <f t="shared" ca="1" si="36"/>
        <v>17.649100000000001</v>
      </c>
      <c r="S210" s="307">
        <f t="shared" ca="1" si="27"/>
        <v>0</v>
      </c>
      <c r="T210" s="687"/>
    </row>
    <row r="211" spans="1:20">
      <c r="A211" s="631" t="str">
        <f>'5号楼'!B191</f>
        <v>B3008</v>
      </c>
      <c r="B211" s="631">
        <f>'5号楼'!C191</f>
        <v>52.93</v>
      </c>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t="s">
        <v>4859</v>
      </c>
      <c r="Q211" s="21">
        <f t="shared" si="35"/>
        <v>0.95</v>
      </c>
      <c r="R211" s="21">
        <f t="shared" ca="1" si="36"/>
        <v>17.649100000000001</v>
      </c>
      <c r="S211" s="307">
        <f t="shared" ca="1" si="27"/>
        <v>0</v>
      </c>
      <c r="T211" s="687"/>
    </row>
    <row r="212" spans="1:20">
      <c r="A212" s="631" t="str">
        <f>'5号楼'!B192</f>
        <v>B3009</v>
      </c>
      <c r="B212" s="631">
        <f>'5号楼'!C192</f>
        <v>52.93</v>
      </c>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t="s">
        <v>4859</v>
      </c>
      <c r="Q212" s="21">
        <f t="shared" si="35"/>
        <v>0.95</v>
      </c>
      <c r="R212" s="21">
        <f t="shared" ca="1" si="36"/>
        <v>17.649100000000001</v>
      </c>
      <c r="S212" s="307">
        <f t="shared" ca="1" si="27"/>
        <v>0</v>
      </c>
      <c r="T212" s="687"/>
    </row>
    <row r="213" spans="1:20">
      <c r="A213" s="631" t="str">
        <f>'5号楼'!B193</f>
        <v>B3010</v>
      </c>
      <c r="B213" s="631">
        <f>'5号楼'!C193</f>
        <v>52.93</v>
      </c>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t="s">
        <v>4859</v>
      </c>
      <c r="Q213" s="21">
        <f t="shared" si="35"/>
        <v>0.95</v>
      </c>
      <c r="R213" s="21">
        <f t="shared" ca="1" si="36"/>
        <v>17.649100000000001</v>
      </c>
      <c r="S213" s="307">
        <f t="shared" ca="1" si="27"/>
        <v>0</v>
      </c>
      <c r="T213" s="687"/>
    </row>
    <row r="214" spans="1:20">
      <c r="A214" s="631" t="str">
        <f>'5号楼'!B194</f>
        <v>B3011</v>
      </c>
      <c r="B214" s="631">
        <f>'5号楼'!C194</f>
        <v>52.93</v>
      </c>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t="s">
        <v>4859</v>
      </c>
      <c r="Q214" s="21">
        <f t="shared" si="35"/>
        <v>0.95</v>
      </c>
      <c r="R214" s="21">
        <f t="shared" ca="1" si="36"/>
        <v>17.649100000000001</v>
      </c>
      <c r="S214" s="307">
        <f t="shared" ca="1" si="27"/>
        <v>0</v>
      </c>
      <c r="T214" s="687"/>
    </row>
    <row r="215" spans="1:20">
      <c r="A215" s="631" t="str">
        <f>'5号楼'!B195</f>
        <v>B3012</v>
      </c>
      <c r="B215" s="631">
        <f>'5号楼'!C195</f>
        <v>52.93</v>
      </c>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t="s">
        <v>4859</v>
      </c>
      <c r="Q215" s="21">
        <f t="shared" si="35"/>
        <v>0.95</v>
      </c>
      <c r="R215" s="21">
        <f t="shared" ca="1" si="36"/>
        <v>17.649100000000001</v>
      </c>
      <c r="S215" s="307">
        <f t="shared" ca="1" si="27"/>
        <v>0</v>
      </c>
      <c r="T215" s="687"/>
    </row>
    <row r="216" spans="1:20">
      <c r="A216" s="631" t="str">
        <f>'5号楼'!B196</f>
        <v>B3013</v>
      </c>
      <c r="B216" s="631">
        <f>'5号楼'!C196</f>
        <v>52.93</v>
      </c>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t="s">
        <v>4859</v>
      </c>
      <c r="Q216" s="21">
        <f t="shared" si="35"/>
        <v>0.95</v>
      </c>
      <c r="R216" s="21">
        <f t="shared" ca="1" si="36"/>
        <v>17.649100000000001</v>
      </c>
      <c r="S216" s="307">
        <f t="shared" ref="S216:S279" ca="1" si="37">ROUND(R216*B216/10000,0)</f>
        <v>0</v>
      </c>
      <c r="T216" s="687"/>
    </row>
    <row r="217" spans="1:20">
      <c r="A217" s="631" t="str">
        <f>'5号楼'!B197</f>
        <v>B3014</v>
      </c>
      <c r="B217" s="631">
        <f>'5号楼'!C197</f>
        <v>52.93</v>
      </c>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t="s">
        <v>4859</v>
      </c>
      <c r="Q217" s="21">
        <f t="shared" si="35"/>
        <v>0.95</v>
      </c>
      <c r="R217" s="21">
        <f t="shared" ca="1" si="36"/>
        <v>17.649100000000001</v>
      </c>
      <c r="S217" s="307">
        <f t="shared" ca="1" si="37"/>
        <v>0</v>
      </c>
      <c r="T217" s="687"/>
    </row>
    <row r="218" spans="1:20">
      <c r="A218" s="631" t="str">
        <f>'5号楼'!B198</f>
        <v>B3015</v>
      </c>
      <c r="B218" s="631">
        <f>'5号楼'!C198</f>
        <v>52.93</v>
      </c>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t="s">
        <v>4859</v>
      </c>
      <c r="Q218" s="21">
        <f t="shared" ref="Q218:Q281" si="45">(SUMIF($17:$17,P218,$18:$18)-SUMIF($17:$17,$P$24,$18:$18)+100)/100</f>
        <v>0.95</v>
      </c>
      <c r="R218" s="21">
        <f t="shared" ref="R218:R281" ca="1" si="46">IF(B218="",0,ROUND($R$24*C218*E218*G218*I218*K218*M218*O218*Q218,4))</f>
        <v>17.649100000000001</v>
      </c>
      <c r="S218" s="307">
        <f t="shared" ca="1" si="37"/>
        <v>0</v>
      </c>
      <c r="T218" s="687"/>
    </row>
    <row r="219" spans="1:20">
      <c r="A219" s="631" t="str">
        <f>'5号楼'!B199</f>
        <v>B3016</v>
      </c>
      <c r="B219" s="631">
        <f>'5号楼'!C199</f>
        <v>52.93</v>
      </c>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t="s">
        <v>4859</v>
      </c>
      <c r="Q219" s="21">
        <f t="shared" si="45"/>
        <v>0.95</v>
      </c>
      <c r="R219" s="21">
        <f t="shared" ca="1" si="46"/>
        <v>17.649100000000001</v>
      </c>
      <c r="S219" s="307">
        <f t="shared" ca="1" si="37"/>
        <v>0</v>
      </c>
      <c r="T219" s="687"/>
    </row>
    <row r="220" spans="1:20">
      <c r="A220" s="631" t="str">
        <f>'5号楼'!B200</f>
        <v>B3017</v>
      </c>
      <c r="B220" s="631">
        <f>'5号楼'!C200</f>
        <v>52.93</v>
      </c>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t="s">
        <v>4859</v>
      </c>
      <c r="Q220" s="21">
        <f t="shared" si="45"/>
        <v>0.95</v>
      </c>
      <c r="R220" s="21">
        <f t="shared" ca="1" si="46"/>
        <v>17.649100000000001</v>
      </c>
      <c r="S220" s="307">
        <f t="shared" ca="1" si="37"/>
        <v>0</v>
      </c>
      <c r="T220" s="687"/>
    </row>
    <row r="221" spans="1:20">
      <c r="A221" s="631" t="str">
        <f>'5号楼'!B201</f>
        <v>B3018</v>
      </c>
      <c r="B221" s="631">
        <f>'5号楼'!C201</f>
        <v>52.93</v>
      </c>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t="s">
        <v>4859</v>
      </c>
      <c r="Q221" s="21">
        <f t="shared" si="45"/>
        <v>0.95</v>
      </c>
      <c r="R221" s="21">
        <f t="shared" ca="1" si="46"/>
        <v>17.649100000000001</v>
      </c>
      <c r="S221" s="307">
        <f t="shared" ca="1" si="37"/>
        <v>0</v>
      </c>
      <c r="T221" s="687"/>
    </row>
    <row r="222" spans="1:20">
      <c r="A222" s="631" t="str">
        <f>'5号楼'!B202</f>
        <v>B3019</v>
      </c>
      <c r="B222" s="631">
        <f>'5号楼'!C202</f>
        <v>52.93</v>
      </c>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t="s">
        <v>4859</v>
      </c>
      <c r="Q222" s="21">
        <f t="shared" si="45"/>
        <v>0.95</v>
      </c>
      <c r="R222" s="21">
        <f t="shared" ca="1" si="46"/>
        <v>17.649100000000001</v>
      </c>
      <c r="S222" s="307">
        <f t="shared" ca="1" si="37"/>
        <v>0</v>
      </c>
      <c r="T222" s="687"/>
    </row>
    <row r="223" spans="1:20">
      <c r="A223" s="631" t="str">
        <f>'5号楼'!B203</f>
        <v>B3020</v>
      </c>
      <c r="B223" s="631">
        <f>'5号楼'!C203</f>
        <v>52.93</v>
      </c>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t="s">
        <v>4859</v>
      </c>
      <c r="Q223" s="21">
        <f t="shared" si="45"/>
        <v>0.95</v>
      </c>
      <c r="R223" s="21">
        <f t="shared" ca="1" si="46"/>
        <v>17.649100000000001</v>
      </c>
      <c r="S223" s="307">
        <f t="shared" ca="1" si="37"/>
        <v>0</v>
      </c>
      <c r="T223" s="687"/>
    </row>
    <row r="224" spans="1:20">
      <c r="A224" s="631" t="str">
        <f>'5号楼'!B204</f>
        <v>B3021</v>
      </c>
      <c r="B224" s="631">
        <f>'5号楼'!C204</f>
        <v>52.93</v>
      </c>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t="s">
        <v>4859</v>
      </c>
      <c r="Q224" s="21">
        <f t="shared" si="45"/>
        <v>0.95</v>
      </c>
      <c r="R224" s="21">
        <f t="shared" ca="1" si="46"/>
        <v>17.649100000000001</v>
      </c>
      <c r="S224" s="307">
        <f t="shared" ca="1" si="37"/>
        <v>0</v>
      </c>
      <c r="T224" s="687"/>
    </row>
    <row r="225" spans="1:20">
      <c r="A225" s="631" t="str">
        <f>'5号楼'!B205</f>
        <v>B3022</v>
      </c>
      <c r="B225" s="631">
        <f>'5号楼'!C205</f>
        <v>52.93</v>
      </c>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t="s">
        <v>4859</v>
      </c>
      <c r="Q225" s="21">
        <f t="shared" si="45"/>
        <v>0.95</v>
      </c>
      <c r="R225" s="21">
        <f t="shared" ca="1" si="46"/>
        <v>17.649100000000001</v>
      </c>
      <c r="S225" s="307">
        <f t="shared" ca="1" si="37"/>
        <v>0</v>
      </c>
      <c r="T225" s="687"/>
    </row>
    <row r="226" spans="1:20">
      <c r="A226" s="631" t="str">
        <f>'5号楼'!B206</f>
        <v>B3023</v>
      </c>
      <c r="B226" s="631">
        <f>'5号楼'!C206</f>
        <v>52.93</v>
      </c>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t="s">
        <v>4859</v>
      </c>
      <c r="Q226" s="21">
        <f t="shared" si="45"/>
        <v>0.95</v>
      </c>
      <c r="R226" s="21">
        <f t="shared" ca="1" si="46"/>
        <v>17.649100000000001</v>
      </c>
      <c r="S226" s="307">
        <f t="shared" ca="1" si="37"/>
        <v>0</v>
      </c>
      <c r="T226" s="687"/>
    </row>
    <row r="227" spans="1:20">
      <c r="A227" s="631" t="str">
        <f>'5号楼'!B207</f>
        <v>B3024</v>
      </c>
      <c r="B227" s="631">
        <f>'5号楼'!C207</f>
        <v>52.93</v>
      </c>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t="s">
        <v>4859</v>
      </c>
      <c r="Q227" s="21">
        <f t="shared" si="45"/>
        <v>0.95</v>
      </c>
      <c r="R227" s="21">
        <f t="shared" ca="1" si="46"/>
        <v>17.649100000000001</v>
      </c>
      <c r="S227" s="307">
        <f t="shared" ca="1" si="37"/>
        <v>0</v>
      </c>
      <c r="T227" s="687"/>
    </row>
    <row r="228" spans="1:20">
      <c r="A228" s="631" t="str">
        <f>'5号楼'!B208</f>
        <v>B3025</v>
      </c>
      <c r="B228" s="631">
        <f>'5号楼'!C208</f>
        <v>52.93</v>
      </c>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t="s">
        <v>4859</v>
      </c>
      <c r="Q228" s="21">
        <f t="shared" si="45"/>
        <v>0.95</v>
      </c>
      <c r="R228" s="21">
        <f t="shared" ca="1" si="46"/>
        <v>17.649100000000001</v>
      </c>
      <c r="S228" s="307">
        <f t="shared" ca="1" si="37"/>
        <v>0</v>
      </c>
      <c r="T228" s="687"/>
    </row>
    <row r="229" spans="1:20">
      <c r="A229" s="631" t="str">
        <f>'5号楼'!B209</f>
        <v>B3026</v>
      </c>
      <c r="B229" s="631">
        <f>'5号楼'!C209</f>
        <v>52.93</v>
      </c>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t="s">
        <v>4859</v>
      </c>
      <c r="Q229" s="21">
        <f t="shared" si="45"/>
        <v>0.95</v>
      </c>
      <c r="R229" s="21">
        <f t="shared" ca="1" si="46"/>
        <v>17.649100000000001</v>
      </c>
      <c r="S229" s="307">
        <f t="shared" ca="1" si="37"/>
        <v>0</v>
      </c>
      <c r="T229" s="687"/>
    </row>
    <row r="230" spans="1:20">
      <c r="A230" s="631" t="str">
        <f>'5号楼'!B210</f>
        <v>B3027</v>
      </c>
      <c r="B230" s="631">
        <f>'5号楼'!C210</f>
        <v>52.93</v>
      </c>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t="s">
        <v>4859</v>
      </c>
      <c r="Q230" s="21">
        <f t="shared" si="45"/>
        <v>0.95</v>
      </c>
      <c r="R230" s="21">
        <f t="shared" ca="1" si="46"/>
        <v>17.649100000000001</v>
      </c>
      <c r="S230" s="307">
        <f t="shared" ca="1" si="37"/>
        <v>0</v>
      </c>
      <c r="T230" s="687"/>
    </row>
    <row r="231" spans="1:20">
      <c r="A231" s="631" t="str">
        <f>'5号楼'!B211</f>
        <v>B3028</v>
      </c>
      <c r="B231" s="631">
        <f>'5号楼'!C211</f>
        <v>52.93</v>
      </c>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t="s">
        <v>4859</v>
      </c>
      <c r="Q231" s="21">
        <f t="shared" si="45"/>
        <v>0.95</v>
      </c>
      <c r="R231" s="21">
        <f t="shared" ca="1" si="46"/>
        <v>17.649100000000001</v>
      </c>
      <c r="S231" s="307">
        <f t="shared" ca="1" si="37"/>
        <v>0</v>
      </c>
      <c r="T231" s="687"/>
    </row>
    <row r="232" spans="1:20">
      <c r="A232" s="631" t="str">
        <f>'5号楼'!B212</f>
        <v>B3029</v>
      </c>
      <c r="B232" s="631">
        <f>'5号楼'!C212</f>
        <v>52.93</v>
      </c>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t="s">
        <v>4859</v>
      </c>
      <c r="Q232" s="21">
        <f t="shared" si="45"/>
        <v>0.95</v>
      </c>
      <c r="R232" s="21">
        <f t="shared" ca="1" si="46"/>
        <v>17.649100000000001</v>
      </c>
      <c r="S232" s="307">
        <f t="shared" ca="1" si="37"/>
        <v>0</v>
      </c>
      <c r="T232" s="687"/>
    </row>
    <row r="233" spans="1:20">
      <c r="A233" s="631" t="str">
        <f>'5号楼'!B213</f>
        <v>B3030</v>
      </c>
      <c r="B233" s="631">
        <f>'5号楼'!C213</f>
        <v>52.93</v>
      </c>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t="s">
        <v>4859</v>
      </c>
      <c r="Q233" s="21">
        <f t="shared" si="45"/>
        <v>0.95</v>
      </c>
      <c r="R233" s="21">
        <f t="shared" ca="1" si="46"/>
        <v>17.649100000000001</v>
      </c>
      <c r="S233" s="307">
        <f t="shared" ca="1" si="37"/>
        <v>0</v>
      </c>
      <c r="T233" s="687"/>
    </row>
    <row r="234" spans="1:20">
      <c r="A234" s="631" t="str">
        <f>'5号楼'!B214</f>
        <v>B3031</v>
      </c>
      <c r="B234" s="631">
        <f>'5号楼'!C214</f>
        <v>52.93</v>
      </c>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t="s">
        <v>4859</v>
      </c>
      <c r="Q234" s="21">
        <f t="shared" si="45"/>
        <v>0.95</v>
      </c>
      <c r="R234" s="21">
        <f t="shared" ca="1" si="46"/>
        <v>17.649100000000001</v>
      </c>
      <c r="S234" s="307">
        <f t="shared" ca="1" si="37"/>
        <v>0</v>
      </c>
      <c r="T234" s="687"/>
    </row>
    <row r="235" spans="1:20">
      <c r="A235" s="631" t="str">
        <f>'5号楼'!B215</f>
        <v>B3032</v>
      </c>
      <c r="B235" s="631">
        <f>'5号楼'!C215</f>
        <v>52.93</v>
      </c>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t="s">
        <v>4859</v>
      </c>
      <c r="Q235" s="21">
        <f t="shared" si="45"/>
        <v>0.95</v>
      </c>
      <c r="R235" s="21">
        <f t="shared" ca="1" si="46"/>
        <v>17.649100000000001</v>
      </c>
      <c r="S235" s="307">
        <f t="shared" ca="1" si="37"/>
        <v>0</v>
      </c>
      <c r="T235" s="687"/>
    </row>
    <row r="236" spans="1:20">
      <c r="A236" s="631" t="str">
        <f>'5号楼'!B216</f>
        <v>B3033</v>
      </c>
      <c r="B236" s="631">
        <f>'5号楼'!C216</f>
        <v>52.93</v>
      </c>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t="s">
        <v>4859</v>
      </c>
      <c r="Q236" s="21">
        <f t="shared" si="45"/>
        <v>0.95</v>
      </c>
      <c r="R236" s="21">
        <f t="shared" ca="1" si="46"/>
        <v>17.649100000000001</v>
      </c>
      <c r="S236" s="307">
        <f t="shared" ca="1" si="37"/>
        <v>0</v>
      </c>
      <c r="T236" s="687"/>
    </row>
    <row r="237" spans="1:20">
      <c r="A237" s="631" t="str">
        <f>'5号楼'!B217</f>
        <v>B3034</v>
      </c>
      <c r="B237" s="631">
        <f>'5号楼'!C217</f>
        <v>52.93</v>
      </c>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t="s">
        <v>4859</v>
      </c>
      <c r="Q237" s="21">
        <f t="shared" si="45"/>
        <v>0.95</v>
      </c>
      <c r="R237" s="21">
        <f t="shared" ca="1" si="46"/>
        <v>17.649100000000001</v>
      </c>
      <c r="S237" s="307">
        <f t="shared" ca="1" si="37"/>
        <v>0</v>
      </c>
      <c r="T237" s="687"/>
    </row>
    <row r="238" spans="1:20">
      <c r="A238" s="631" t="str">
        <f>'5号楼'!B218</f>
        <v>B3035</v>
      </c>
      <c r="B238" s="631">
        <f>'5号楼'!C218</f>
        <v>59.92</v>
      </c>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t="s">
        <v>4859</v>
      </c>
      <c r="Q238" s="21">
        <f t="shared" si="45"/>
        <v>0.95</v>
      </c>
      <c r="R238" s="21">
        <f t="shared" ca="1" si="46"/>
        <v>17.649100000000001</v>
      </c>
      <c r="S238" s="307">
        <f t="shared" ca="1" si="37"/>
        <v>0</v>
      </c>
      <c r="T238" s="687"/>
    </row>
    <row r="239" spans="1:20">
      <c r="A239" s="631" t="str">
        <f>'5号楼'!B219</f>
        <v>B3036</v>
      </c>
      <c r="B239" s="631">
        <f>'5号楼'!C219</f>
        <v>59.92</v>
      </c>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t="s">
        <v>4859</v>
      </c>
      <c r="Q239" s="21">
        <f t="shared" si="45"/>
        <v>0.95</v>
      </c>
      <c r="R239" s="21">
        <f t="shared" ca="1" si="46"/>
        <v>17.649100000000001</v>
      </c>
      <c r="S239" s="307">
        <f t="shared" ca="1" si="37"/>
        <v>0</v>
      </c>
      <c r="T239" s="687"/>
    </row>
    <row r="240" spans="1:20">
      <c r="A240" s="631" t="str">
        <f>'5号楼'!B220</f>
        <v>B3037</v>
      </c>
      <c r="B240" s="631">
        <f>'5号楼'!C220</f>
        <v>59.92</v>
      </c>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t="s">
        <v>4859</v>
      </c>
      <c r="Q240" s="21">
        <f t="shared" si="45"/>
        <v>0.95</v>
      </c>
      <c r="R240" s="21">
        <f t="shared" ca="1" si="46"/>
        <v>17.649100000000001</v>
      </c>
      <c r="S240" s="307">
        <f t="shared" ca="1" si="37"/>
        <v>0</v>
      </c>
      <c r="T240" s="687"/>
    </row>
    <row r="241" spans="1:20">
      <c r="A241" s="631" t="str">
        <f>'5号楼'!B221</f>
        <v>B3038</v>
      </c>
      <c r="B241" s="631">
        <f>'5号楼'!C221</f>
        <v>59.92</v>
      </c>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t="s">
        <v>4859</v>
      </c>
      <c r="Q241" s="21">
        <f t="shared" si="45"/>
        <v>0.95</v>
      </c>
      <c r="R241" s="21">
        <f t="shared" ca="1" si="46"/>
        <v>17.649100000000001</v>
      </c>
      <c r="S241" s="307">
        <f t="shared" ca="1" si="37"/>
        <v>0</v>
      </c>
      <c r="T241" s="687"/>
    </row>
    <row r="242" spans="1:20">
      <c r="A242" s="631" t="str">
        <f>'5号楼'!B222</f>
        <v>B3039</v>
      </c>
      <c r="B242" s="631">
        <f>'5号楼'!C222</f>
        <v>59.92</v>
      </c>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t="s">
        <v>4859</v>
      </c>
      <c r="Q242" s="21">
        <f t="shared" si="45"/>
        <v>0.95</v>
      </c>
      <c r="R242" s="21">
        <f t="shared" ca="1" si="46"/>
        <v>17.649100000000001</v>
      </c>
      <c r="S242" s="307">
        <f t="shared" ca="1" si="37"/>
        <v>0</v>
      </c>
      <c r="T242" s="687"/>
    </row>
    <row r="243" spans="1:20">
      <c r="A243" s="631" t="str">
        <f>'5号楼'!B223</f>
        <v>B3040</v>
      </c>
      <c r="B243" s="631">
        <f>'5号楼'!C223</f>
        <v>52.93</v>
      </c>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t="s">
        <v>4859</v>
      </c>
      <c r="Q243" s="21">
        <f t="shared" si="45"/>
        <v>0.95</v>
      </c>
      <c r="R243" s="21">
        <f t="shared" ca="1" si="46"/>
        <v>17.649100000000001</v>
      </c>
      <c r="S243" s="307">
        <f t="shared" ca="1" si="37"/>
        <v>0</v>
      </c>
      <c r="T243" s="687"/>
    </row>
    <row r="244" spans="1:20">
      <c r="A244" s="631" t="str">
        <f>'5号楼'!B224</f>
        <v>B3041</v>
      </c>
      <c r="B244" s="631">
        <f>'5号楼'!C224</f>
        <v>52.93</v>
      </c>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t="s">
        <v>4859</v>
      </c>
      <c r="Q244" s="21">
        <f t="shared" si="45"/>
        <v>0.95</v>
      </c>
      <c r="R244" s="21">
        <f t="shared" ca="1" si="46"/>
        <v>17.649100000000001</v>
      </c>
      <c r="S244" s="307">
        <f t="shared" ca="1" si="37"/>
        <v>0</v>
      </c>
      <c r="T244" s="687"/>
    </row>
    <row r="245" spans="1:20">
      <c r="A245" s="631" t="str">
        <f>'5号楼'!B225</f>
        <v>B3042</v>
      </c>
      <c r="B245" s="631">
        <f>'5号楼'!C225</f>
        <v>52.93</v>
      </c>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t="s">
        <v>4859</v>
      </c>
      <c r="Q245" s="21">
        <f t="shared" si="45"/>
        <v>0.95</v>
      </c>
      <c r="R245" s="21">
        <f t="shared" ca="1" si="46"/>
        <v>17.649100000000001</v>
      </c>
      <c r="S245" s="307">
        <f t="shared" ca="1" si="37"/>
        <v>0</v>
      </c>
      <c r="T245" s="687"/>
    </row>
    <row r="246" spans="1:20">
      <c r="A246" s="631" t="str">
        <f>'5号楼'!B226</f>
        <v>B3043</v>
      </c>
      <c r="B246" s="631">
        <f>'5号楼'!C226</f>
        <v>52.93</v>
      </c>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t="s">
        <v>4859</v>
      </c>
      <c r="Q246" s="21">
        <f t="shared" si="45"/>
        <v>0.95</v>
      </c>
      <c r="R246" s="21">
        <f t="shared" ca="1" si="46"/>
        <v>17.649100000000001</v>
      </c>
      <c r="S246" s="307">
        <f t="shared" ca="1" si="37"/>
        <v>0</v>
      </c>
      <c r="T246" s="687"/>
    </row>
    <row r="247" spans="1:20">
      <c r="A247" s="631" t="str">
        <f>'5号楼'!B227</f>
        <v>B3044</v>
      </c>
      <c r="B247" s="631">
        <f>'5号楼'!C227</f>
        <v>52.93</v>
      </c>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t="s">
        <v>4859</v>
      </c>
      <c r="Q247" s="21">
        <f t="shared" si="45"/>
        <v>0.95</v>
      </c>
      <c r="R247" s="21">
        <f t="shared" ca="1" si="46"/>
        <v>17.649100000000001</v>
      </c>
      <c r="S247" s="307">
        <f t="shared" ca="1" si="37"/>
        <v>0</v>
      </c>
      <c r="T247" s="687"/>
    </row>
    <row r="248" spans="1:20">
      <c r="A248" s="631" t="str">
        <f>'5号楼'!B228</f>
        <v>B3045</v>
      </c>
      <c r="B248" s="631">
        <f>'5号楼'!C228</f>
        <v>59.92</v>
      </c>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t="s">
        <v>4859</v>
      </c>
      <c r="Q248" s="21">
        <f t="shared" si="45"/>
        <v>0.95</v>
      </c>
      <c r="R248" s="21">
        <f t="shared" ca="1" si="46"/>
        <v>17.649100000000001</v>
      </c>
      <c r="S248" s="307">
        <f t="shared" ca="1" si="37"/>
        <v>0</v>
      </c>
      <c r="T248" s="687"/>
    </row>
    <row r="249" spans="1:20">
      <c r="A249" s="631" t="str">
        <f>'5号楼'!B229</f>
        <v>B3046</v>
      </c>
      <c r="B249" s="631">
        <f>'5号楼'!C229</f>
        <v>59.92</v>
      </c>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t="s">
        <v>4859</v>
      </c>
      <c r="Q249" s="21">
        <f t="shared" si="45"/>
        <v>0.95</v>
      </c>
      <c r="R249" s="21">
        <f t="shared" ca="1" si="46"/>
        <v>17.649100000000001</v>
      </c>
      <c r="S249" s="307">
        <f t="shared" ca="1" si="37"/>
        <v>0</v>
      </c>
      <c r="T249" s="687"/>
    </row>
    <row r="250" spans="1:20">
      <c r="A250" s="631" t="str">
        <f>'5号楼'!B230</f>
        <v>B3047</v>
      </c>
      <c r="B250" s="631">
        <f>'5号楼'!C230</f>
        <v>59.92</v>
      </c>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t="s">
        <v>4859</v>
      </c>
      <c r="Q250" s="21">
        <f t="shared" si="45"/>
        <v>0.95</v>
      </c>
      <c r="R250" s="21">
        <f t="shared" ca="1" si="46"/>
        <v>17.649100000000001</v>
      </c>
      <c r="S250" s="307">
        <f t="shared" ca="1" si="37"/>
        <v>0</v>
      </c>
      <c r="T250" s="687"/>
    </row>
    <row r="251" spans="1:20">
      <c r="A251" s="631" t="str">
        <f>'5号楼'!B231</f>
        <v>B3048</v>
      </c>
      <c r="B251" s="631">
        <f>'5号楼'!C231</f>
        <v>59.92</v>
      </c>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t="s">
        <v>4859</v>
      </c>
      <c r="Q251" s="21">
        <f t="shared" si="45"/>
        <v>0.95</v>
      </c>
      <c r="R251" s="21">
        <f t="shared" ca="1" si="46"/>
        <v>17.649100000000001</v>
      </c>
      <c r="S251" s="307">
        <f t="shared" ca="1" si="37"/>
        <v>0</v>
      </c>
      <c r="T251" s="687"/>
    </row>
    <row r="252" spans="1:20">
      <c r="A252" s="631" t="str">
        <f>'5号楼'!B232</f>
        <v>B3049</v>
      </c>
      <c r="B252" s="631">
        <f>'5号楼'!C232</f>
        <v>50.93</v>
      </c>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t="s">
        <v>4859</v>
      </c>
      <c r="Q252" s="21">
        <f t="shared" si="45"/>
        <v>0.95</v>
      </c>
      <c r="R252" s="21">
        <f t="shared" ca="1" si="46"/>
        <v>17.649100000000001</v>
      </c>
      <c r="S252" s="307">
        <f t="shared" ca="1" si="37"/>
        <v>0</v>
      </c>
      <c r="T252" s="687"/>
    </row>
    <row r="253" spans="1:20">
      <c r="A253" s="631" t="str">
        <f>'5号楼'!B233</f>
        <v>B3050</v>
      </c>
      <c r="B253" s="631">
        <f>'5号楼'!C233</f>
        <v>50.93</v>
      </c>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t="s">
        <v>4859</v>
      </c>
      <c r="Q253" s="21">
        <f t="shared" si="45"/>
        <v>0.95</v>
      </c>
      <c r="R253" s="21">
        <f t="shared" ca="1" si="46"/>
        <v>17.649100000000001</v>
      </c>
      <c r="S253" s="307">
        <f t="shared" ca="1" si="37"/>
        <v>0</v>
      </c>
      <c r="T253" s="687"/>
    </row>
    <row r="254" spans="1:20">
      <c r="A254" s="631" t="str">
        <f>'5号楼'!B234</f>
        <v>B3051</v>
      </c>
      <c r="B254" s="631">
        <f>'5号楼'!C234</f>
        <v>50.93</v>
      </c>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t="s">
        <v>4859</v>
      </c>
      <c r="Q254" s="21">
        <f t="shared" si="45"/>
        <v>0.95</v>
      </c>
      <c r="R254" s="21">
        <f t="shared" ca="1" si="46"/>
        <v>17.649100000000001</v>
      </c>
      <c r="S254" s="307">
        <f t="shared" ca="1" si="37"/>
        <v>0</v>
      </c>
      <c r="T254" s="687"/>
    </row>
    <row r="255" spans="1:20">
      <c r="A255" s="631" t="str">
        <f>'5号楼'!B235</f>
        <v>B3052</v>
      </c>
      <c r="B255" s="631">
        <f>'5号楼'!C235</f>
        <v>50.93</v>
      </c>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t="s">
        <v>4859</v>
      </c>
      <c r="Q255" s="21">
        <f t="shared" si="45"/>
        <v>0.95</v>
      </c>
      <c r="R255" s="21">
        <f t="shared" ca="1" si="46"/>
        <v>17.649100000000001</v>
      </c>
      <c r="S255" s="307">
        <f t="shared" ca="1" si="37"/>
        <v>0</v>
      </c>
      <c r="T255" s="687"/>
    </row>
    <row r="256" spans="1:20">
      <c r="A256" s="631" t="str">
        <f>'5号楼'!B236</f>
        <v>B3053</v>
      </c>
      <c r="B256" s="631">
        <f>'5号楼'!C236</f>
        <v>50.93</v>
      </c>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t="s">
        <v>4859</v>
      </c>
      <c r="Q256" s="21">
        <f t="shared" si="45"/>
        <v>0.95</v>
      </c>
      <c r="R256" s="21">
        <f t="shared" ca="1" si="46"/>
        <v>17.649100000000001</v>
      </c>
      <c r="S256" s="307">
        <f t="shared" ca="1" si="37"/>
        <v>0</v>
      </c>
      <c r="T256" s="687"/>
    </row>
    <row r="257" spans="1:20">
      <c r="A257" s="631" t="str">
        <f>'5号楼'!B237</f>
        <v>B3054</v>
      </c>
      <c r="B257" s="631">
        <f>'5号楼'!C237</f>
        <v>50.93</v>
      </c>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t="s">
        <v>4859</v>
      </c>
      <c r="Q257" s="21">
        <f t="shared" si="45"/>
        <v>0.95</v>
      </c>
      <c r="R257" s="21">
        <f t="shared" ca="1" si="46"/>
        <v>17.649100000000001</v>
      </c>
      <c r="S257" s="307">
        <f t="shared" ca="1" si="37"/>
        <v>0</v>
      </c>
      <c r="T257" s="687"/>
    </row>
    <row r="258" spans="1:20">
      <c r="A258" s="631" t="str">
        <f>'5号楼'!B238</f>
        <v>B3055</v>
      </c>
      <c r="B258" s="631">
        <f>'5号楼'!C238</f>
        <v>50.93</v>
      </c>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t="s">
        <v>4859</v>
      </c>
      <c r="Q258" s="21">
        <f t="shared" si="45"/>
        <v>0.95</v>
      </c>
      <c r="R258" s="21">
        <f t="shared" ca="1" si="46"/>
        <v>17.649100000000001</v>
      </c>
      <c r="S258" s="307">
        <f t="shared" ca="1" si="37"/>
        <v>0</v>
      </c>
      <c r="T258" s="687"/>
    </row>
    <row r="259" spans="1:20">
      <c r="A259" s="631" t="str">
        <f>'5号楼'!B239</f>
        <v>B3056</v>
      </c>
      <c r="B259" s="631">
        <f>'5号楼'!C239</f>
        <v>50.93</v>
      </c>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t="s">
        <v>4859</v>
      </c>
      <c r="Q259" s="21">
        <f t="shared" si="45"/>
        <v>0.95</v>
      </c>
      <c r="R259" s="21">
        <f t="shared" ca="1" si="46"/>
        <v>17.649100000000001</v>
      </c>
      <c r="S259" s="307">
        <f t="shared" ca="1" si="37"/>
        <v>0</v>
      </c>
      <c r="T259" s="687"/>
    </row>
    <row r="260" spans="1:20">
      <c r="A260" s="631" t="str">
        <f>'5号楼'!B240</f>
        <v>B3057</v>
      </c>
      <c r="B260" s="631">
        <f>'5号楼'!C240</f>
        <v>50.93</v>
      </c>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t="s">
        <v>4859</v>
      </c>
      <c r="Q260" s="21">
        <f t="shared" si="45"/>
        <v>0.95</v>
      </c>
      <c r="R260" s="21">
        <f t="shared" ca="1" si="46"/>
        <v>17.649100000000001</v>
      </c>
      <c r="S260" s="307">
        <f t="shared" ca="1" si="37"/>
        <v>0</v>
      </c>
      <c r="T260" s="687"/>
    </row>
    <row r="261" spans="1:20">
      <c r="A261" s="631" t="str">
        <f>'5号楼'!B241</f>
        <v>B3058</v>
      </c>
      <c r="B261" s="631">
        <f>'5号楼'!C241</f>
        <v>50.93</v>
      </c>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t="s">
        <v>4859</v>
      </c>
      <c r="Q261" s="21">
        <f t="shared" si="45"/>
        <v>0.95</v>
      </c>
      <c r="R261" s="21">
        <f t="shared" ca="1" si="46"/>
        <v>17.649100000000001</v>
      </c>
      <c r="S261" s="307">
        <f t="shared" ca="1" si="37"/>
        <v>0</v>
      </c>
      <c r="T261" s="687"/>
    </row>
    <row r="262" spans="1:20">
      <c r="A262" s="631" t="str">
        <f>'5号楼'!B242</f>
        <v>B3059</v>
      </c>
      <c r="B262" s="631">
        <f>'5号楼'!C242</f>
        <v>59.92</v>
      </c>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t="s">
        <v>4859</v>
      </c>
      <c r="Q262" s="21">
        <f t="shared" si="45"/>
        <v>0.95</v>
      </c>
      <c r="R262" s="21">
        <f t="shared" ca="1" si="46"/>
        <v>17.649100000000001</v>
      </c>
      <c r="S262" s="307">
        <f t="shared" ca="1" si="37"/>
        <v>0</v>
      </c>
      <c r="T262" s="687"/>
    </row>
    <row r="263" spans="1:20">
      <c r="A263" s="631" t="str">
        <f>'5号楼'!B243</f>
        <v>B3060</v>
      </c>
      <c r="B263" s="631">
        <f>'5号楼'!C243</f>
        <v>50.93</v>
      </c>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t="s">
        <v>4859</v>
      </c>
      <c r="Q263" s="21">
        <f t="shared" si="45"/>
        <v>0.95</v>
      </c>
      <c r="R263" s="21">
        <f t="shared" ca="1" si="46"/>
        <v>17.649100000000001</v>
      </c>
      <c r="S263" s="307">
        <f t="shared" ca="1" si="37"/>
        <v>0</v>
      </c>
      <c r="T263" s="687"/>
    </row>
    <row r="264" spans="1:20">
      <c r="A264" s="631" t="str">
        <f>'5号楼'!B244</f>
        <v>B3061</v>
      </c>
      <c r="B264" s="631">
        <f>'5号楼'!C244</f>
        <v>50.93</v>
      </c>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t="s">
        <v>4859</v>
      </c>
      <c r="Q264" s="21">
        <f t="shared" si="45"/>
        <v>0.95</v>
      </c>
      <c r="R264" s="21">
        <f t="shared" ca="1" si="46"/>
        <v>17.649100000000001</v>
      </c>
      <c r="S264" s="307">
        <f t="shared" ca="1" si="37"/>
        <v>0</v>
      </c>
      <c r="T264" s="687"/>
    </row>
    <row r="265" spans="1:20">
      <c r="A265" s="631" t="str">
        <f>'5号楼'!B245</f>
        <v>B3062</v>
      </c>
      <c r="B265" s="631">
        <f>'5号楼'!C245</f>
        <v>50.93</v>
      </c>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t="s">
        <v>4859</v>
      </c>
      <c r="Q265" s="21">
        <f t="shared" si="45"/>
        <v>0.95</v>
      </c>
      <c r="R265" s="21">
        <f t="shared" ca="1" si="46"/>
        <v>17.649100000000001</v>
      </c>
      <c r="S265" s="307">
        <f t="shared" ca="1" si="37"/>
        <v>0</v>
      </c>
      <c r="T265" s="687"/>
    </row>
    <row r="266" spans="1:20">
      <c r="A266" s="631" t="str">
        <f>'5号楼'!B246</f>
        <v>B3063</v>
      </c>
      <c r="B266" s="631">
        <f>'5号楼'!C246</f>
        <v>50.93</v>
      </c>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t="s">
        <v>4859</v>
      </c>
      <c r="Q266" s="21">
        <f t="shared" si="45"/>
        <v>0.95</v>
      </c>
      <c r="R266" s="21">
        <f t="shared" ca="1" si="46"/>
        <v>17.649100000000001</v>
      </c>
      <c r="S266" s="307">
        <f t="shared" ca="1" si="37"/>
        <v>0</v>
      </c>
      <c r="T266" s="687"/>
    </row>
    <row r="267" spans="1:20">
      <c r="A267" s="631" t="str">
        <f>'5号楼'!B247</f>
        <v>B3064</v>
      </c>
      <c r="B267" s="631">
        <f>'5号楼'!C247</f>
        <v>50.93</v>
      </c>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t="s">
        <v>4859</v>
      </c>
      <c r="Q267" s="21">
        <f t="shared" si="45"/>
        <v>0.95</v>
      </c>
      <c r="R267" s="21">
        <f t="shared" ca="1" si="46"/>
        <v>17.649100000000001</v>
      </c>
      <c r="S267" s="307">
        <f t="shared" ca="1" si="37"/>
        <v>0</v>
      </c>
      <c r="T267" s="687"/>
    </row>
    <row r="268" spans="1:20">
      <c r="A268" s="631" t="str">
        <f>'5号楼'!B248</f>
        <v>B3065</v>
      </c>
      <c r="B268" s="631">
        <f>'5号楼'!C248</f>
        <v>50.93</v>
      </c>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t="s">
        <v>4859</v>
      </c>
      <c r="Q268" s="21">
        <f t="shared" si="45"/>
        <v>0.95</v>
      </c>
      <c r="R268" s="21">
        <f t="shared" ca="1" si="46"/>
        <v>17.649100000000001</v>
      </c>
      <c r="S268" s="307">
        <f t="shared" ca="1" si="37"/>
        <v>0</v>
      </c>
      <c r="T268" s="687"/>
    </row>
    <row r="269" spans="1:20">
      <c r="A269" s="631" t="str">
        <f>'5号楼'!B249</f>
        <v>B3066</v>
      </c>
      <c r="B269" s="631">
        <f>'5号楼'!C249</f>
        <v>50.93</v>
      </c>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t="s">
        <v>4859</v>
      </c>
      <c r="Q269" s="21">
        <f t="shared" si="45"/>
        <v>0.95</v>
      </c>
      <c r="R269" s="21">
        <f t="shared" ca="1" si="46"/>
        <v>17.649100000000001</v>
      </c>
      <c r="S269" s="307">
        <f t="shared" ca="1" si="37"/>
        <v>0</v>
      </c>
      <c r="T269" s="687"/>
    </row>
    <row r="270" spans="1:20">
      <c r="A270" s="631" t="str">
        <f>'5号楼'!B250</f>
        <v>B3067</v>
      </c>
      <c r="B270" s="631">
        <f>'5号楼'!C250</f>
        <v>50.93</v>
      </c>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t="s">
        <v>4859</v>
      </c>
      <c r="Q270" s="21">
        <f t="shared" si="45"/>
        <v>0.95</v>
      </c>
      <c r="R270" s="21">
        <f t="shared" ca="1" si="46"/>
        <v>17.649100000000001</v>
      </c>
      <c r="S270" s="307">
        <f t="shared" ca="1" si="37"/>
        <v>0</v>
      </c>
      <c r="T270" s="687"/>
    </row>
    <row r="271" spans="1:20">
      <c r="A271" s="631" t="str">
        <f>'5号楼'!B251</f>
        <v>B3068</v>
      </c>
      <c r="B271" s="631">
        <f>'5号楼'!C251</f>
        <v>50.93</v>
      </c>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t="s">
        <v>4859</v>
      </c>
      <c r="Q271" s="21">
        <f t="shared" si="45"/>
        <v>0.95</v>
      </c>
      <c r="R271" s="21">
        <f t="shared" ca="1" si="46"/>
        <v>17.649100000000001</v>
      </c>
      <c r="S271" s="307">
        <f t="shared" ca="1" si="37"/>
        <v>0</v>
      </c>
      <c r="T271" s="687"/>
    </row>
    <row r="272" spans="1:20">
      <c r="A272" s="631" t="str">
        <f>'5号楼'!B252</f>
        <v>B3069</v>
      </c>
      <c r="B272" s="631">
        <f>'5号楼'!C252</f>
        <v>50.93</v>
      </c>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t="s">
        <v>4859</v>
      </c>
      <c r="Q272" s="21">
        <f t="shared" si="45"/>
        <v>0.95</v>
      </c>
      <c r="R272" s="21">
        <f t="shared" ca="1" si="46"/>
        <v>17.649100000000001</v>
      </c>
      <c r="S272" s="307">
        <f t="shared" ca="1" si="37"/>
        <v>0</v>
      </c>
      <c r="T272" s="687"/>
    </row>
    <row r="273" spans="1:20">
      <c r="A273" s="631" t="str">
        <f>'5号楼'!B253</f>
        <v>B3070</v>
      </c>
      <c r="B273" s="631">
        <f>'5号楼'!C253</f>
        <v>52.93</v>
      </c>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t="s">
        <v>4859</v>
      </c>
      <c r="Q273" s="21">
        <f t="shared" si="45"/>
        <v>0.95</v>
      </c>
      <c r="R273" s="21">
        <f t="shared" ca="1" si="46"/>
        <v>17.649100000000001</v>
      </c>
      <c r="S273" s="307">
        <f t="shared" ca="1" si="37"/>
        <v>0</v>
      </c>
      <c r="T273" s="687"/>
    </row>
    <row r="274" spans="1:20">
      <c r="A274" s="631" t="str">
        <f>'5号楼'!B254</f>
        <v>B3071</v>
      </c>
      <c r="B274" s="631">
        <f>'5号楼'!C254</f>
        <v>59.92</v>
      </c>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t="s">
        <v>4859</v>
      </c>
      <c r="Q274" s="21">
        <f t="shared" si="45"/>
        <v>0.95</v>
      </c>
      <c r="R274" s="21">
        <f t="shared" ca="1" si="46"/>
        <v>17.649100000000001</v>
      </c>
      <c r="S274" s="307">
        <f t="shared" ca="1" si="37"/>
        <v>0</v>
      </c>
      <c r="T274" s="687"/>
    </row>
    <row r="275" spans="1:20">
      <c r="A275" s="631" t="str">
        <f>'5号楼'!B255</f>
        <v>B3072</v>
      </c>
      <c r="B275" s="631">
        <f>'5号楼'!C255</f>
        <v>59.92</v>
      </c>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t="s">
        <v>4859</v>
      </c>
      <c r="Q275" s="21">
        <f t="shared" si="45"/>
        <v>0.95</v>
      </c>
      <c r="R275" s="21">
        <f t="shared" ca="1" si="46"/>
        <v>17.649100000000001</v>
      </c>
      <c r="S275" s="307">
        <f t="shared" ca="1" si="37"/>
        <v>0</v>
      </c>
      <c r="T275" s="687"/>
    </row>
    <row r="276" spans="1:20">
      <c r="A276" s="631" t="str">
        <f>'5号楼'!B256</f>
        <v>B3073</v>
      </c>
      <c r="B276" s="631">
        <f>'5号楼'!C256</f>
        <v>59.92</v>
      </c>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t="s">
        <v>4859</v>
      </c>
      <c r="Q276" s="21">
        <f t="shared" si="45"/>
        <v>0.95</v>
      </c>
      <c r="R276" s="21">
        <f t="shared" ca="1" si="46"/>
        <v>17.649100000000001</v>
      </c>
      <c r="S276" s="307">
        <f t="shared" ca="1" si="37"/>
        <v>0</v>
      </c>
      <c r="T276" s="687"/>
    </row>
    <row r="277" spans="1:20">
      <c r="A277" s="631" t="str">
        <f>'5号楼'!B257</f>
        <v>B3074</v>
      </c>
      <c r="B277" s="631">
        <f>'5号楼'!C257</f>
        <v>52.93</v>
      </c>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t="s">
        <v>4859</v>
      </c>
      <c r="Q277" s="21">
        <f t="shared" si="45"/>
        <v>0.95</v>
      </c>
      <c r="R277" s="21">
        <f t="shared" ca="1" si="46"/>
        <v>17.649100000000001</v>
      </c>
      <c r="S277" s="307">
        <f t="shared" ca="1" si="37"/>
        <v>0</v>
      </c>
      <c r="T277" s="687"/>
    </row>
    <row r="278" spans="1:20">
      <c r="A278" s="631" t="str">
        <f>'5号楼'!B258</f>
        <v>B3075</v>
      </c>
      <c r="B278" s="631">
        <f>'5号楼'!C258</f>
        <v>52.93</v>
      </c>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t="s">
        <v>4859</v>
      </c>
      <c r="Q278" s="21">
        <f t="shared" si="45"/>
        <v>0.95</v>
      </c>
      <c r="R278" s="21">
        <f t="shared" ca="1" si="46"/>
        <v>17.649100000000001</v>
      </c>
      <c r="S278" s="307">
        <f t="shared" ca="1" si="37"/>
        <v>0</v>
      </c>
      <c r="T278" s="687"/>
    </row>
    <row r="279" spans="1:20">
      <c r="A279" s="631" t="str">
        <f>'5号楼'!B259</f>
        <v>B3076</v>
      </c>
      <c r="B279" s="631">
        <f>'5号楼'!C259</f>
        <v>52.93</v>
      </c>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t="s">
        <v>4859</v>
      </c>
      <c r="Q279" s="21">
        <f t="shared" si="45"/>
        <v>0.95</v>
      </c>
      <c r="R279" s="21">
        <f t="shared" ca="1" si="46"/>
        <v>17.649100000000001</v>
      </c>
      <c r="S279" s="307">
        <f t="shared" ca="1" si="37"/>
        <v>0</v>
      </c>
      <c r="T279" s="687"/>
    </row>
    <row r="280" spans="1:20">
      <c r="A280" s="631" t="str">
        <f>'5号楼'!B260</f>
        <v>B3077</v>
      </c>
      <c r="B280" s="631">
        <f>'5号楼'!C260</f>
        <v>52.93</v>
      </c>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t="s">
        <v>4859</v>
      </c>
      <c r="Q280" s="21">
        <f t="shared" si="45"/>
        <v>0.95</v>
      </c>
      <c r="R280" s="21">
        <f t="shared" ca="1" si="46"/>
        <v>17.649100000000001</v>
      </c>
      <c r="S280" s="307">
        <f t="shared" ref="S280:S343" ca="1" si="47">ROUND(R280*B280/10000,0)</f>
        <v>0</v>
      </c>
      <c r="T280" s="687"/>
    </row>
    <row r="281" spans="1:20">
      <c r="A281" s="631" t="str">
        <f>'5号楼'!B261</f>
        <v>B3078</v>
      </c>
      <c r="B281" s="631">
        <f>'5号楼'!C261</f>
        <v>52.93</v>
      </c>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t="s">
        <v>4859</v>
      </c>
      <c r="Q281" s="21">
        <f t="shared" si="45"/>
        <v>0.95</v>
      </c>
      <c r="R281" s="21">
        <f t="shared" ca="1" si="46"/>
        <v>17.649100000000001</v>
      </c>
      <c r="S281" s="307">
        <f t="shared" ca="1" si="47"/>
        <v>0</v>
      </c>
      <c r="T281" s="687"/>
    </row>
    <row r="282" spans="1:20">
      <c r="A282" s="631" t="str">
        <f>'5号楼'!B262</f>
        <v>B3079</v>
      </c>
      <c r="B282" s="631">
        <f>'5号楼'!C262</f>
        <v>52.93</v>
      </c>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t="s">
        <v>4859</v>
      </c>
      <c r="Q282" s="21">
        <f t="shared" ref="Q282:Q345" si="55">(SUMIF($17:$17,P282,$18:$18)-SUMIF($17:$17,$P$24,$18:$18)+100)/100</f>
        <v>0.95</v>
      </c>
      <c r="R282" s="21">
        <f t="shared" ref="R282:R345" ca="1" si="56">IF(B282="",0,ROUND($R$24*C282*E282*G282*I282*K282*M282*O282*Q282,4))</f>
        <v>17.649100000000001</v>
      </c>
      <c r="S282" s="307">
        <f t="shared" ca="1" si="47"/>
        <v>0</v>
      </c>
      <c r="T282" s="687"/>
    </row>
    <row r="283" spans="1:20">
      <c r="A283" s="631" t="str">
        <f>'5号楼'!B263</f>
        <v>B3080</v>
      </c>
      <c r="B283" s="631">
        <f>'5号楼'!C263</f>
        <v>52.93</v>
      </c>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t="s">
        <v>4859</v>
      </c>
      <c r="Q283" s="21">
        <f t="shared" si="55"/>
        <v>0.95</v>
      </c>
      <c r="R283" s="21">
        <f t="shared" ca="1" si="56"/>
        <v>17.649100000000001</v>
      </c>
      <c r="S283" s="307">
        <f t="shared" ca="1" si="47"/>
        <v>0</v>
      </c>
      <c r="T283" s="687"/>
    </row>
    <row r="284" spans="1:20">
      <c r="A284" s="631" t="str">
        <f>'5号楼'!B264</f>
        <v>B3081</v>
      </c>
      <c r="B284" s="631">
        <f>'5号楼'!C264</f>
        <v>52.93</v>
      </c>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t="s">
        <v>4859</v>
      </c>
      <c r="Q284" s="21">
        <f t="shared" si="55"/>
        <v>0.95</v>
      </c>
      <c r="R284" s="21">
        <f t="shared" ca="1" si="56"/>
        <v>17.649100000000001</v>
      </c>
      <c r="S284" s="307">
        <f t="shared" ca="1" si="47"/>
        <v>0</v>
      </c>
      <c r="T284" s="687"/>
    </row>
    <row r="285" spans="1:20">
      <c r="A285" s="631" t="str">
        <f>'5号楼'!B265</f>
        <v>B3082</v>
      </c>
      <c r="B285" s="631">
        <f>'5号楼'!C265</f>
        <v>50.93</v>
      </c>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t="s">
        <v>4859</v>
      </c>
      <c r="Q285" s="21">
        <f t="shared" si="55"/>
        <v>0.95</v>
      </c>
      <c r="R285" s="21">
        <f t="shared" ca="1" si="56"/>
        <v>17.649100000000001</v>
      </c>
      <c r="S285" s="307">
        <f t="shared" ca="1" si="47"/>
        <v>0</v>
      </c>
      <c r="T285" s="687"/>
    </row>
    <row r="286" spans="1:20">
      <c r="A286" s="631" t="str">
        <f>'5号楼'!B266</f>
        <v>B3083</v>
      </c>
      <c r="B286" s="631">
        <f>'5号楼'!C266</f>
        <v>50.93</v>
      </c>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t="s">
        <v>4859</v>
      </c>
      <c r="Q286" s="21">
        <f t="shared" si="55"/>
        <v>0.95</v>
      </c>
      <c r="R286" s="21">
        <f t="shared" ca="1" si="56"/>
        <v>17.649100000000001</v>
      </c>
      <c r="S286" s="307">
        <f t="shared" ca="1" si="47"/>
        <v>0</v>
      </c>
      <c r="T286" s="687"/>
    </row>
    <row r="287" spans="1:20">
      <c r="A287" s="631" t="str">
        <f>'5号楼'!B267</f>
        <v>B3084</v>
      </c>
      <c r="B287" s="631">
        <f>'5号楼'!C267</f>
        <v>50.93</v>
      </c>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t="s">
        <v>4859</v>
      </c>
      <c r="Q287" s="21">
        <f t="shared" si="55"/>
        <v>0.95</v>
      </c>
      <c r="R287" s="21">
        <f t="shared" ca="1" si="56"/>
        <v>17.649100000000001</v>
      </c>
      <c r="S287" s="307">
        <f t="shared" ca="1" si="47"/>
        <v>0</v>
      </c>
      <c r="T287" s="687"/>
    </row>
    <row r="288" spans="1:20">
      <c r="A288" s="631" t="str">
        <f>'5号楼'!B268</f>
        <v>B3085</v>
      </c>
      <c r="B288" s="631">
        <f>'5号楼'!C268</f>
        <v>50.93</v>
      </c>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t="s">
        <v>4859</v>
      </c>
      <c r="Q288" s="21">
        <f t="shared" si="55"/>
        <v>0.95</v>
      </c>
      <c r="R288" s="21">
        <f t="shared" ca="1" si="56"/>
        <v>17.649100000000001</v>
      </c>
      <c r="S288" s="307">
        <f t="shared" ca="1" si="47"/>
        <v>0</v>
      </c>
      <c r="T288" s="687"/>
    </row>
    <row r="289" spans="1:20">
      <c r="A289" s="631" t="str">
        <f>'5号楼'!B269</f>
        <v>B3086</v>
      </c>
      <c r="B289" s="631">
        <f>'5号楼'!C269</f>
        <v>50.93</v>
      </c>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t="s">
        <v>4859</v>
      </c>
      <c r="Q289" s="21">
        <f t="shared" si="55"/>
        <v>0.95</v>
      </c>
      <c r="R289" s="21">
        <f t="shared" ca="1" si="56"/>
        <v>17.649100000000001</v>
      </c>
      <c r="S289" s="307">
        <f t="shared" ca="1" si="47"/>
        <v>0</v>
      </c>
      <c r="T289" s="687"/>
    </row>
    <row r="290" spans="1:20">
      <c r="A290" s="631" t="str">
        <f>'5号楼'!B270</f>
        <v>B3087</v>
      </c>
      <c r="B290" s="631">
        <f>'5号楼'!C270</f>
        <v>50.93</v>
      </c>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t="s">
        <v>4859</v>
      </c>
      <c r="Q290" s="21">
        <f t="shared" si="55"/>
        <v>0.95</v>
      </c>
      <c r="R290" s="21">
        <f t="shared" ca="1" si="56"/>
        <v>17.649100000000001</v>
      </c>
      <c r="S290" s="307">
        <f t="shared" ca="1" si="47"/>
        <v>0</v>
      </c>
      <c r="T290" s="687"/>
    </row>
    <row r="291" spans="1:20">
      <c r="A291" s="631" t="str">
        <f>'5号楼'!B271</f>
        <v>B3088</v>
      </c>
      <c r="B291" s="631">
        <f>'5号楼'!C271</f>
        <v>59.92</v>
      </c>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t="s">
        <v>4859</v>
      </c>
      <c r="Q291" s="21">
        <f t="shared" si="55"/>
        <v>0.95</v>
      </c>
      <c r="R291" s="21">
        <f t="shared" ca="1" si="56"/>
        <v>17.649100000000001</v>
      </c>
      <c r="S291" s="307">
        <f t="shared" ca="1" si="47"/>
        <v>0</v>
      </c>
      <c r="T291" s="687"/>
    </row>
    <row r="292" spans="1:20">
      <c r="A292" s="631" t="str">
        <f>'5号楼'!B272</f>
        <v>B3089</v>
      </c>
      <c r="B292" s="631">
        <f>'5号楼'!C272</f>
        <v>59.92</v>
      </c>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t="s">
        <v>4859</v>
      </c>
      <c r="Q292" s="21">
        <f t="shared" si="55"/>
        <v>0.95</v>
      </c>
      <c r="R292" s="21">
        <f t="shared" ca="1" si="56"/>
        <v>17.649100000000001</v>
      </c>
      <c r="S292" s="307">
        <f t="shared" ca="1" si="47"/>
        <v>0</v>
      </c>
      <c r="T292" s="687"/>
    </row>
    <row r="293" spans="1:20">
      <c r="A293" s="631" t="str">
        <f>'5号楼'!B273</f>
        <v>B3090</v>
      </c>
      <c r="B293" s="631">
        <f>'5号楼'!C273</f>
        <v>59.92</v>
      </c>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t="s">
        <v>4859</v>
      </c>
      <c r="Q293" s="21">
        <f t="shared" si="55"/>
        <v>0.95</v>
      </c>
      <c r="R293" s="21">
        <f t="shared" ca="1" si="56"/>
        <v>17.649100000000001</v>
      </c>
      <c r="S293" s="307">
        <f t="shared" ca="1" si="47"/>
        <v>0</v>
      </c>
      <c r="T293" s="687"/>
    </row>
    <row r="294" spans="1:20">
      <c r="A294" s="631" t="str">
        <f>'5号楼'!B274</f>
        <v>B3091</v>
      </c>
      <c r="B294" s="631">
        <f>'5号楼'!C274</f>
        <v>59.92</v>
      </c>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t="s">
        <v>4859</v>
      </c>
      <c r="Q294" s="21">
        <f t="shared" si="55"/>
        <v>0.95</v>
      </c>
      <c r="R294" s="21">
        <f t="shared" ca="1" si="56"/>
        <v>17.649100000000001</v>
      </c>
      <c r="S294" s="307">
        <f t="shared" ca="1" si="47"/>
        <v>0</v>
      </c>
      <c r="T294" s="687"/>
    </row>
    <row r="295" spans="1:20">
      <c r="A295" s="631" t="str">
        <f>'5号楼'!B275</f>
        <v>B3092</v>
      </c>
      <c r="B295" s="631">
        <f>'5号楼'!C275</f>
        <v>59.92</v>
      </c>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t="s">
        <v>4859</v>
      </c>
      <c r="Q295" s="21">
        <f t="shared" si="55"/>
        <v>0.95</v>
      </c>
      <c r="R295" s="21">
        <f t="shared" ca="1" si="56"/>
        <v>17.649100000000001</v>
      </c>
      <c r="S295" s="307">
        <f t="shared" ca="1" si="47"/>
        <v>0</v>
      </c>
      <c r="T295" s="687"/>
    </row>
    <row r="296" spans="1:20">
      <c r="A296" s="631" t="str">
        <f>'5号楼'!B276</f>
        <v>B3093</v>
      </c>
      <c r="B296" s="631">
        <f>'5号楼'!C276</f>
        <v>50.93</v>
      </c>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t="s">
        <v>4859</v>
      </c>
      <c r="Q296" s="21">
        <f t="shared" si="55"/>
        <v>0.95</v>
      </c>
      <c r="R296" s="21">
        <f t="shared" ca="1" si="56"/>
        <v>17.649100000000001</v>
      </c>
      <c r="S296" s="307">
        <f t="shared" ca="1" si="47"/>
        <v>0</v>
      </c>
      <c r="T296" s="687"/>
    </row>
    <row r="297" spans="1:20">
      <c r="A297" s="631" t="str">
        <f>'5号楼'!B277</f>
        <v>B3094</v>
      </c>
      <c r="B297" s="631">
        <f>'5号楼'!C277</f>
        <v>50.93</v>
      </c>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t="s">
        <v>4859</v>
      </c>
      <c r="Q297" s="21">
        <f t="shared" si="55"/>
        <v>0.95</v>
      </c>
      <c r="R297" s="21">
        <f t="shared" ca="1" si="56"/>
        <v>17.649100000000001</v>
      </c>
      <c r="S297" s="307">
        <f t="shared" ca="1" si="47"/>
        <v>0</v>
      </c>
      <c r="T297" s="687"/>
    </row>
    <row r="298" spans="1:20">
      <c r="A298" s="631" t="str">
        <f>'5号楼'!B278</f>
        <v>B3095</v>
      </c>
      <c r="B298" s="631">
        <f>'5号楼'!C278</f>
        <v>50.93</v>
      </c>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t="s">
        <v>4859</v>
      </c>
      <c r="Q298" s="21">
        <f t="shared" si="55"/>
        <v>0.95</v>
      </c>
      <c r="R298" s="21">
        <f t="shared" ca="1" si="56"/>
        <v>17.649100000000001</v>
      </c>
      <c r="S298" s="307">
        <f t="shared" ca="1" si="47"/>
        <v>0</v>
      </c>
      <c r="T298" s="687"/>
    </row>
    <row r="299" spans="1:20">
      <c r="A299" s="631" t="str">
        <f>'5号楼'!B279</f>
        <v>B3096</v>
      </c>
      <c r="B299" s="631">
        <f>'5号楼'!C279</f>
        <v>50.93</v>
      </c>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t="s">
        <v>4859</v>
      </c>
      <c r="Q299" s="21">
        <f t="shared" si="55"/>
        <v>0.95</v>
      </c>
      <c r="R299" s="21">
        <f t="shared" ca="1" si="56"/>
        <v>17.649100000000001</v>
      </c>
      <c r="S299" s="307">
        <f t="shared" ca="1" si="47"/>
        <v>0</v>
      </c>
      <c r="T299" s="687"/>
    </row>
    <row r="300" spans="1:20">
      <c r="A300" s="631" t="str">
        <f>'5号楼'!B280</f>
        <v>B3097</v>
      </c>
      <c r="B300" s="631">
        <f>'5号楼'!C280</f>
        <v>50.93</v>
      </c>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t="s">
        <v>4859</v>
      </c>
      <c r="Q300" s="21">
        <f t="shared" si="55"/>
        <v>0.95</v>
      </c>
      <c r="R300" s="21">
        <f t="shared" ca="1" si="56"/>
        <v>17.649100000000001</v>
      </c>
      <c r="S300" s="307">
        <f t="shared" ca="1" si="47"/>
        <v>0</v>
      </c>
      <c r="T300" s="687"/>
    </row>
    <row r="301" spans="1:20">
      <c r="A301" s="631" t="str">
        <f>'5号楼'!B281</f>
        <v>B3098</v>
      </c>
      <c r="B301" s="631">
        <f>'5号楼'!C281</f>
        <v>50.93</v>
      </c>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t="s">
        <v>4859</v>
      </c>
      <c r="Q301" s="21">
        <f t="shared" si="55"/>
        <v>0.95</v>
      </c>
      <c r="R301" s="21">
        <f t="shared" ca="1" si="56"/>
        <v>17.649100000000001</v>
      </c>
      <c r="S301" s="307">
        <f t="shared" ca="1" si="47"/>
        <v>0</v>
      </c>
      <c r="T301" s="687"/>
    </row>
    <row r="302" spans="1:20">
      <c r="A302" s="631" t="str">
        <f>'5号楼'!B282</f>
        <v>B3099</v>
      </c>
      <c r="B302" s="631">
        <f>'5号楼'!C282</f>
        <v>50.93</v>
      </c>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t="s">
        <v>4859</v>
      </c>
      <c r="Q302" s="21">
        <f t="shared" si="55"/>
        <v>0.95</v>
      </c>
      <c r="R302" s="21">
        <f t="shared" ca="1" si="56"/>
        <v>17.649100000000001</v>
      </c>
      <c r="S302" s="307">
        <f t="shared" ca="1" si="47"/>
        <v>0</v>
      </c>
      <c r="T302" s="687"/>
    </row>
    <row r="303" spans="1:20">
      <c r="A303" s="631" t="str">
        <f>'5号楼'!B283</f>
        <v>B3100</v>
      </c>
      <c r="B303" s="631">
        <f>'5号楼'!C283</f>
        <v>50.93</v>
      </c>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t="s">
        <v>4859</v>
      </c>
      <c r="Q303" s="21">
        <f t="shared" si="55"/>
        <v>0.95</v>
      </c>
      <c r="R303" s="21">
        <f t="shared" ca="1" si="56"/>
        <v>17.649100000000001</v>
      </c>
      <c r="S303" s="307">
        <f t="shared" ca="1" si="47"/>
        <v>0</v>
      </c>
      <c r="T303" s="687"/>
    </row>
    <row r="304" spans="1:20">
      <c r="A304" s="631" t="str">
        <f>'5号楼'!B284</f>
        <v>B3101</v>
      </c>
      <c r="B304" s="631">
        <f>'5号楼'!C284</f>
        <v>50.93</v>
      </c>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t="s">
        <v>4859</v>
      </c>
      <c r="Q304" s="21">
        <f t="shared" si="55"/>
        <v>0.95</v>
      </c>
      <c r="R304" s="21">
        <f t="shared" ca="1" si="56"/>
        <v>17.649100000000001</v>
      </c>
      <c r="S304" s="307">
        <f t="shared" ca="1" si="47"/>
        <v>0</v>
      </c>
      <c r="T304" s="687"/>
    </row>
    <row r="305" spans="1:20">
      <c r="A305" s="631" t="str">
        <f>'5号楼'!B285</f>
        <v>B3102</v>
      </c>
      <c r="B305" s="631">
        <f>'5号楼'!C285</f>
        <v>50.93</v>
      </c>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t="s">
        <v>4859</v>
      </c>
      <c r="Q305" s="21">
        <f t="shared" si="55"/>
        <v>0.95</v>
      </c>
      <c r="R305" s="21">
        <f t="shared" ca="1" si="56"/>
        <v>17.649100000000001</v>
      </c>
      <c r="S305" s="307">
        <f t="shared" ca="1" si="47"/>
        <v>0</v>
      </c>
      <c r="T305" s="687"/>
    </row>
    <row r="306" spans="1:20">
      <c r="A306" s="631" t="str">
        <f>'5号楼'!B286</f>
        <v>B3103</v>
      </c>
      <c r="B306" s="631">
        <f>'5号楼'!C286</f>
        <v>89.38</v>
      </c>
      <c r="C306" s="21">
        <f t="shared" si="48"/>
        <v>1.3</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t="s">
        <v>4859</v>
      </c>
      <c r="Q306" s="21">
        <f t="shared" si="55"/>
        <v>0.95</v>
      </c>
      <c r="R306" s="21">
        <f t="shared" ca="1" si="56"/>
        <v>22.9438</v>
      </c>
      <c r="S306" s="307">
        <f t="shared" ca="1" si="47"/>
        <v>0</v>
      </c>
      <c r="T306" s="687"/>
    </row>
    <row r="307" spans="1:20">
      <c r="A307" s="631" t="str">
        <f>'5号楼'!B287</f>
        <v>B3104</v>
      </c>
      <c r="B307" s="631">
        <f>'5号楼'!C287</f>
        <v>59.92</v>
      </c>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t="s">
        <v>4859</v>
      </c>
      <c r="Q307" s="21">
        <f t="shared" si="55"/>
        <v>0.95</v>
      </c>
      <c r="R307" s="21">
        <f t="shared" ca="1" si="56"/>
        <v>17.649100000000001</v>
      </c>
      <c r="S307" s="307">
        <f t="shared" ca="1" si="47"/>
        <v>0</v>
      </c>
      <c r="T307" s="687"/>
    </row>
    <row r="308" spans="1:20">
      <c r="A308" s="631" t="str">
        <f>'5号楼'!B288</f>
        <v>B3105</v>
      </c>
      <c r="B308" s="631">
        <f>'5号楼'!C288</f>
        <v>59.92</v>
      </c>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t="s">
        <v>4859</v>
      </c>
      <c r="Q308" s="21">
        <f t="shared" si="55"/>
        <v>0.95</v>
      </c>
      <c r="R308" s="21">
        <f t="shared" ca="1" si="56"/>
        <v>17.649100000000001</v>
      </c>
      <c r="S308" s="307">
        <f t="shared" ca="1" si="47"/>
        <v>0</v>
      </c>
      <c r="T308" s="687"/>
    </row>
    <row r="309" spans="1:20">
      <c r="A309" s="631" t="str">
        <f>'5号楼'!B289</f>
        <v>B3106</v>
      </c>
      <c r="B309" s="631">
        <f>'5号楼'!C289</f>
        <v>52.93</v>
      </c>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t="s">
        <v>4859</v>
      </c>
      <c r="Q309" s="21">
        <f t="shared" si="55"/>
        <v>0.95</v>
      </c>
      <c r="R309" s="21">
        <f t="shared" ca="1" si="56"/>
        <v>17.649100000000001</v>
      </c>
      <c r="S309" s="307">
        <f t="shared" ca="1" si="47"/>
        <v>0</v>
      </c>
      <c r="T309" s="687"/>
    </row>
    <row r="310" spans="1:20">
      <c r="A310" s="631" t="str">
        <f>'5号楼'!B290</f>
        <v>B3107</v>
      </c>
      <c r="B310" s="631">
        <f>'5号楼'!C290</f>
        <v>52.93</v>
      </c>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t="s">
        <v>4859</v>
      </c>
      <c r="Q310" s="21">
        <f t="shared" si="55"/>
        <v>0.95</v>
      </c>
      <c r="R310" s="21">
        <f t="shared" ca="1" si="56"/>
        <v>17.649100000000001</v>
      </c>
      <c r="S310" s="307">
        <f t="shared" ca="1" si="47"/>
        <v>0</v>
      </c>
      <c r="T310" s="687"/>
    </row>
    <row r="311" spans="1:20">
      <c r="A311" s="631" t="str">
        <f>'5号楼'!B291</f>
        <v>B3108</v>
      </c>
      <c r="B311" s="631">
        <f>'5号楼'!C291</f>
        <v>59.92</v>
      </c>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t="s">
        <v>4859</v>
      </c>
      <c r="Q311" s="21">
        <f t="shared" si="55"/>
        <v>0.95</v>
      </c>
      <c r="R311" s="21">
        <f t="shared" ca="1" si="56"/>
        <v>17.649100000000001</v>
      </c>
      <c r="S311" s="307">
        <f t="shared" ca="1" si="47"/>
        <v>0</v>
      </c>
      <c r="T311" s="687"/>
    </row>
    <row r="312" spans="1:20">
      <c r="A312" s="631" t="str">
        <f>'5号楼'!B292</f>
        <v>B3109</v>
      </c>
      <c r="B312" s="631">
        <f>'5号楼'!C292</f>
        <v>52.93</v>
      </c>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t="s">
        <v>4859</v>
      </c>
      <c r="Q312" s="21">
        <f t="shared" si="55"/>
        <v>0.95</v>
      </c>
      <c r="R312" s="21">
        <f t="shared" ca="1" si="56"/>
        <v>17.649100000000001</v>
      </c>
      <c r="S312" s="307">
        <f t="shared" ca="1" si="47"/>
        <v>0</v>
      </c>
      <c r="T312" s="687"/>
    </row>
    <row r="313" spans="1:20">
      <c r="A313" s="631" t="str">
        <f>'5号楼'!B293</f>
        <v>B3110</v>
      </c>
      <c r="B313" s="631">
        <f>'5号楼'!C293</f>
        <v>52.93</v>
      </c>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t="s">
        <v>4859</v>
      </c>
      <c r="Q313" s="21">
        <f t="shared" si="55"/>
        <v>0.95</v>
      </c>
      <c r="R313" s="21">
        <f t="shared" ca="1" si="56"/>
        <v>17.649100000000001</v>
      </c>
      <c r="S313" s="307">
        <f t="shared" ca="1" si="47"/>
        <v>0</v>
      </c>
      <c r="T313" s="687"/>
    </row>
    <row r="314" spans="1:20">
      <c r="A314" s="631" t="str">
        <f>'5号楼'!B294</f>
        <v>B3111</v>
      </c>
      <c r="B314" s="631">
        <f>'5号楼'!C294</f>
        <v>52.93</v>
      </c>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t="s">
        <v>4859</v>
      </c>
      <c r="Q314" s="21">
        <f t="shared" si="55"/>
        <v>0.95</v>
      </c>
      <c r="R314" s="21">
        <f t="shared" ca="1" si="56"/>
        <v>17.649100000000001</v>
      </c>
      <c r="S314" s="307">
        <f t="shared" ca="1" si="47"/>
        <v>0</v>
      </c>
      <c r="T314" s="687"/>
    </row>
    <row r="315" spans="1:20">
      <c r="A315" s="631" t="str">
        <f>'5号楼'!B295</f>
        <v>B3112</v>
      </c>
      <c r="B315" s="631">
        <f>'5号楼'!C295</f>
        <v>52.93</v>
      </c>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t="s">
        <v>4859</v>
      </c>
      <c r="Q315" s="21">
        <f t="shared" si="55"/>
        <v>0.95</v>
      </c>
      <c r="R315" s="21">
        <f t="shared" ca="1" si="56"/>
        <v>17.649100000000001</v>
      </c>
      <c r="S315" s="307">
        <f t="shared" ca="1" si="47"/>
        <v>0</v>
      </c>
      <c r="T315" s="687"/>
    </row>
    <row r="316" spans="1:20">
      <c r="A316" s="631" t="str">
        <f>'5号楼'!B296</f>
        <v>B3113</v>
      </c>
      <c r="B316" s="631">
        <f>'5号楼'!C296</f>
        <v>59.92</v>
      </c>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t="s">
        <v>4859</v>
      </c>
      <c r="Q316" s="21">
        <f t="shared" si="55"/>
        <v>0.95</v>
      </c>
      <c r="R316" s="21">
        <f t="shared" ca="1" si="56"/>
        <v>17.649100000000001</v>
      </c>
      <c r="S316" s="307">
        <f t="shared" ca="1" si="47"/>
        <v>0</v>
      </c>
      <c r="T316" s="687"/>
    </row>
    <row r="317" spans="1:20">
      <c r="A317" s="631" t="str">
        <f>'5号楼'!B297</f>
        <v>B3114</v>
      </c>
      <c r="B317" s="631">
        <f>'5号楼'!C297</f>
        <v>50.93</v>
      </c>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t="s">
        <v>4859</v>
      </c>
      <c r="Q317" s="21">
        <f t="shared" si="55"/>
        <v>0.95</v>
      </c>
      <c r="R317" s="21">
        <f t="shared" ca="1" si="56"/>
        <v>17.649100000000001</v>
      </c>
      <c r="S317" s="307">
        <f t="shared" ca="1" si="47"/>
        <v>0</v>
      </c>
      <c r="T317" s="687"/>
    </row>
    <row r="318" spans="1:20">
      <c r="A318" s="631" t="str">
        <f>'5号楼'!B298</f>
        <v>B3115</v>
      </c>
      <c r="B318" s="631">
        <f>'5号楼'!C298</f>
        <v>52.93</v>
      </c>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t="s">
        <v>4859</v>
      </c>
      <c r="Q318" s="21">
        <f t="shared" si="55"/>
        <v>0.95</v>
      </c>
      <c r="R318" s="21">
        <f t="shared" ca="1" si="56"/>
        <v>17.649100000000001</v>
      </c>
      <c r="S318" s="307">
        <f t="shared" ca="1" si="47"/>
        <v>0</v>
      </c>
      <c r="T318" s="687"/>
    </row>
    <row r="319" spans="1:20">
      <c r="A319" s="631" t="str">
        <f>'5号楼'!B299</f>
        <v>B3116</v>
      </c>
      <c r="B319" s="631">
        <f>'5号楼'!C299</f>
        <v>52.93</v>
      </c>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t="s">
        <v>4859</v>
      </c>
      <c r="Q319" s="21">
        <f t="shared" si="55"/>
        <v>0.95</v>
      </c>
      <c r="R319" s="21">
        <f t="shared" ca="1" si="56"/>
        <v>17.649100000000001</v>
      </c>
      <c r="S319" s="307">
        <f t="shared" ca="1" si="47"/>
        <v>0</v>
      </c>
      <c r="T319" s="687"/>
    </row>
    <row r="320" spans="1:20">
      <c r="A320" s="631" t="str">
        <f>'5号楼'!B300</f>
        <v>B3117</v>
      </c>
      <c r="B320" s="631">
        <f>'5号楼'!C300</f>
        <v>52.93</v>
      </c>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t="s">
        <v>4859</v>
      </c>
      <c r="Q320" s="21">
        <f t="shared" si="55"/>
        <v>0.95</v>
      </c>
      <c r="R320" s="21">
        <f t="shared" ca="1" si="56"/>
        <v>17.649100000000001</v>
      </c>
      <c r="S320" s="307">
        <f t="shared" ca="1" si="47"/>
        <v>0</v>
      </c>
      <c r="T320" s="687"/>
    </row>
    <row r="321" spans="1:20">
      <c r="A321" s="631" t="str">
        <f>'5号楼'!B301</f>
        <v>B3118</v>
      </c>
      <c r="B321" s="631">
        <f>'5号楼'!C301</f>
        <v>52.93</v>
      </c>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t="s">
        <v>4859</v>
      </c>
      <c r="Q321" s="21">
        <f t="shared" si="55"/>
        <v>0.95</v>
      </c>
      <c r="R321" s="21">
        <f t="shared" ca="1" si="56"/>
        <v>17.649100000000001</v>
      </c>
      <c r="S321" s="307">
        <f t="shared" ca="1" si="47"/>
        <v>0</v>
      </c>
      <c r="T321" s="687"/>
    </row>
    <row r="322" spans="1:20">
      <c r="A322" s="631" t="str">
        <f>'5号楼'!B302</f>
        <v>B3119</v>
      </c>
      <c r="B322" s="631">
        <f>'5号楼'!C302</f>
        <v>52.93</v>
      </c>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t="s">
        <v>4859</v>
      </c>
      <c r="Q322" s="21">
        <f t="shared" si="55"/>
        <v>0.95</v>
      </c>
      <c r="R322" s="21">
        <f t="shared" ca="1" si="56"/>
        <v>17.649100000000001</v>
      </c>
      <c r="S322" s="307">
        <f t="shared" ca="1" si="47"/>
        <v>0</v>
      </c>
      <c r="T322" s="687"/>
    </row>
    <row r="323" spans="1:20">
      <c r="A323" s="631" t="str">
        <f>'5号楼'!B303</f>
        <v>B3120</v>
      </c>
      <c r="B323" s="631">
        <f>'5号楼'!C303</f>
        <v>52.93</v>
      </c>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t="s">
        <v>4859</v>
      </c>
      <c r="Q323" s="21">
        <f t="shared" si="55"/>
        <v>0.95</v>
      </c>
      <c r="R323" s="21">
        <f t="shared" ca="1" si="56"/>
        <v>17.649100000000001</v>
      </c>
      <c r="S323" s="307">
        <f t="shared" ca="1" si="47"/>
        <v>0</v>
      </c>
      <c r="T323" s="687"/>
    </row>
    <row r="324" spans="1:20">
      <c r="A324" s="631" t="str">
        <f>'5号楼'!B304</f>
        <v>B3121</v>
      </c>
      <c r="B324" s="631">
        <f>'5号楼'!C304</f>
        <v>52.93</v>
      </c>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t="s">
        <v>4859</v>
      </c>
      <c r="Q324" s="21">
        <f t="shared" si="55"/>
        <v>0.95</v>
      </c>
      <c r="R324" s="21">
        <f t="shared" ca="1" si="56"/>
        <v>17.649100000000001</v>
      </c>
      <c r="S324" s="307">
        <f t="shared" ca="1" si="47"/>
        <v>0</v>
      </c>
      <c r="T324" s="687"/>
    </row>
    <row r="325" spans="1:20">
      <c r="A325" s="631" t="str">
        <f>'5号楼'!B305</f>
        <v>B3122</v>
      </c>
      <c r="B325" s="631">
        <f>'5号楼'!C305</f>
        <v>52.93</v>
      </c>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t="s">
        <v>4859</v>
      </c>
      <c r="Q325" s="21">
        <f t="shared" si="55"/>
        <v>0.95</v>
      </c>
      <c r="R325" s="21">
        <f t="shared" ca="1" si="56"/>
        <v>17.649100000000001</v>
      </c>
      <c r="S325" s="307">
        <f t="shared" ca="1" si="47"/>
        <v>0</v>
      </c>
      <c r="T325" s="687"/>
    </row>
    <row r="326" spans="1:20">
      <c r="A326" s="631" t="str">
        <f>'5号楼'!B306</f>
        <v>B3123</v>
      </c>
      <c r="B326" s="631">
        <f>'5号楼'!C306</f>
        <v>52.93</v>
      </c>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t="s">
        <v>4859</v>
      </c>
      <c r="Q326" s="21">
        <f t="shared" si="55"/>
        <v>0.95</v>
      </c>
      <c r="R326" s="21">
        <f t="shared" ca="1" si="56"/>
        <v>17.649100000000001</v>
      </c>
      <c r="S326" s="307">
        <f t="shared" ca="1" si="47"/>
        <v>0</v>
      </c>
      <c r="T326" s="687"/>
    </row>
    <row r="327" spans="1:20">
      <c r="A327" s="631" t="str">
        <f>'5号楼'!B307</f>
        <v>B3124</v>
      </c>
      <c r="B327" s="631">
        <f>'5号楼'!C307</f>
        <v>52.93</v>
      </c>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t="s">
        <v>4859</v>
      </c>
      <c r="Q327" s="21">
        <f t="shared" si="55"/>
        <v>0.95</v>
      </c>
      <c r="R327" s="21">
        <f t="shared" ca="1" si="56"/>
        <v>17.649100000000001</v>
      </c>
      <c r="S327" s="307">
        <f t="shared" ca="1" si="47"/>
        <v>0</v>
      </c>
      <c r="T327" s="687"/>
    </row>
    <row r="328" spans="1:20">
      <c r="A328" s="631" t="str">
        <f>'5号楼'!B308</f>
        <v>B3125</v>
      </c>
      <c r="B328" s="631">
        <f>'5号楼'!C308</f>
        <v>52.93</v>
      </c>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t="s">
        <v>4859</v>
      </c>
      <c r="Q328" s="21">
        <f t="shared" si="55"/>
        <v>0.95</v>
      </c>
      <c r="R328" s="21">
        <f t="shared" ca="1" si="56"/>
        <v>17.649100000000001</v>
      </c>
      <c r="S328" s="307">
        <f t="shared" ca="1" si="47"/>
        <v>0</v>
      </c>
      <c r="T328" s="687"/>
    </row>
    <row r="329" spans="1:20">
      <c r="A329" s="631" t="str">
        <f>'5号楼'!B309</f>
        <v>B3126</v>
      </c>
      <c r="B329" s="631">
        <f>'5号楼'!C309</f>
        <v>52.93</v>
      </c>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t="s">
        <v>4859</v>
      </c>
      <c r="Q329" s="21">
        <f t="shared" si="55"/>
        <v>0.95</v>
      </c>
      <c r="R329" s="21">
        <f t="shared" ca="1" si="56"/>
        <v>17.649100000000001</v>
      </c>
      <c r="S329" s="307">
        <f t="shared" ca="1" si="47"/>
        <v>0</v>
      </c>
      <c r="T329" s="687"/>
    </row>
    <row r="330" spans="1:20">
      <c r="A330" s="631" t="str">
        <f>'5号楼'!B310</f>
        <v>B3127</v>
      </c>
      <c r="B330" s="631">
        <f>'5号楼'!C310</f>
        <v>52.93</v>
      </c>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t="s">
        <v>4859</v>
      </c>
      <c r="Q330" s="21">
        <f t="shared" si="55"/>
        <v>0.95</v>
      </c>
      <c r="R330" s="21">
        <f t="shared" ca="1" si="56"/>
        <v>17.649100000000001</v>
      </c>
      <c r="S330" s="307">
        <f t="shared" ca="1" si="47"/>
        <v>0</v>
      </c>
      <c r="T330" s="687"/>
    </row>
    <row r="331" spans="1:20">
      <c r="A331" s="631" t="str">
        <f>'5号楼'!B311</f>
        <v>B3128</v>
      </c>
      <c r="B331" s="631">
        <f>'5号楼'!C311</f>
        <v>52.93</v>
      </c>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t="s">
        <v>4859</v>
      </c>
      <c r="Q331" s="21">
        <f t="shared" si="55"/>
        <v>0.95</v>
      </c>
      <c r="R331" s="21">
        <f t="shared" ca="1" si="56"/>
        <v>17.649100000000001</v>
      </c>
      <c r="S331" s="307">
        <f t="shared" ca="1" si="47"/>
        <v>0</v>
      </c>
      <c r="T331" s="687"/>
    </row>
    <row r="332" spans="1:20">
      <c r="A332" s="631" t="str">
        <f>'5号楼'!B312</f>
        <v>B3129</v>
      </c>
      <c r="B332" s="631">
        <f>'5号楼'!C312</f>
        <v>50.93</v>
      </c>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t="s">
        <v>4859</v>
      </c>
      <c r="Q332" s="21">
        <f t="shared" si="55"/>
        <v>0.95</v>
      </c>
      <c r="R332" s="21">
        <f t="shared" ca="1" si="56"/>
        <v>17.649100000000001</v>
      </c>
      <c r="S332" s="307">
        <f t="shared" ca="1" si="47"/>
        <v>0</v>
      </c>
      <c r="T332" s="687"/>
    </row>
    <row r="333" spans="1:20">
      <c r="A333" s="631" t="str">
        <f>'5号楼'!B313</f>
        <v>B3130</v>
      </c>
      <c r="B333" s="631">
        <f>'5号楼'!C313</f>
        <v>50.93</v>
      </c>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t="s">
        <v>4859</v>
      </c>
      <c r="Q333" s="21">
        <f t="shared" si="55"/>
        <v>0.95</v>
      </c>
      <c r="R333" s="21">
        <f t="shared" ca="1" si="56"/>
        <v>17.649100000000001</v>
      </c>
      <c r="S333" s="307">
        <f t="shared" ca="1" si="47"/>
        <v>0</v>
      </c>
      <c r="T333" s="687"/>
    </row>
    <row r="334" spans="1:20">
      <c r="A334" s="631" t="str">
        <f>'5号楼'!B314</f>
        <v>B3131</v>
      </c>
      <c r="B334" s="631">
        <f>'5号楼'!C314</f>
        <v>50.93</v>
      </c>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t="s">
        <v>4859</v>
      </c>
      <c r="Q334" s="21">
        <f t="shared" si="55"/>
        <v>0.95</v>
      </c>
      <c r="R334" s="21">
        <f t="shared" ca="1" si="56"/>
        <v>17.649100000000001</v>
      </c>
      <c r="S334" s="307">
        <f t="shared" ca="1" si="47"/>
        <v>0</v>
      </c>
      <c r="T334" s="687"/>
    </row>
    <row r="335" spans="1:20">
      <c r="A335" s="631" t="str">
        <f>'5号楼'!B315</f>
        <v>B3132</v>
      </c>
      <c r="B335" s="631">
        <f>'5号楼'!C315</f>
        <v>50.93</v>
      </c>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t="s">
        <v>4859</v>
      </c>
      <c r="Q335" s="21">
        <f t="shared" si="55"/>
        <v>0.95</v>
      </c>
      <c r="R335" s="21">
        <f t="shared" ca="1" si="56"/>
        <v>17.649100000000001</v>
      </c>
      <c r="S335" s="307">
        <f t="shared" ca="1" si="47"/>
        <v>0</v>
      </c>
      <c r="T335" s="687"/>
    </row>
    <row r="336" spans="1:20">
      <c r="A336" s="631" t="str">
        <f>'5号楼'!B316</f>
        <v>B3133</v>
      </c>
      <c r="B336" s="631">
        <f>'5号楼'!C316</f>
        <v>50.93</v>
      </c>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t="s">
        <v>4859</v>
      </c>
      <c r="Q336" s="21">
        <f t="shared" si="55"/>
        <v>0.95</v>
      </c>
      <c r="R336" s="21">
        <f t="shared" ca="1" si="56"/>
        <v>17.649100000000001</v>
      </c>
      <c r="S336" s="307">
        <f t="shared" ca="1" si="47"/>
        <v>0</v>
      </c>
      <c r="T336" s="687"/>
    </row>
    <row r="337" spans="1:20">
      <c r="A337" s="631" t="str">
        <f>'5号楼'!B317</f>
        <v>B3134</v>
      </c>
      <c r="B337" s="631">
        <f>'5号楼'!C317</f>
        <v>50.93</v>
      </c>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t="s">
        <v>4859</v>
      </c>
      <c r="Q337" s="21">
        <f t="shared" si="55"/>
        <v>0.95</v>
      </c>
      <c r="R337" s="21">
        <f t="shared" ca="1" si="56"/>
        <v>17.649100000000001</v>
      </c>
      <c r="S337" s="307">
        <f t="shared" ca="1" si="47"/>
        <v>0</v>
      </c>
      <c r="T337" s="687"/>
    </row>
    <row r="338" spans="1:20">
      <c r="A338" s="631" t="str">
        <f>'5号楼'!B318</f>
        <v>B3135</v>
      </c>
      <c r="B338" s="631">
        <f>'5号楼'!C318</f>
        <v>50.93</v>
      </c>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t="s">
        <v>4859</v>
      </c>
      <c r="Q338" s="21">
        <f t="shared" si="55"/>
        <v>0.95</v>
      </c>
      <c r="R338" s="21">
        <f t="shared" ca="1" si="56"/>
        <v>17.649100000000001</v>
      </c>
      <c r="S338" s="307">
        <f t="shared" ca="1" si="47"/>
        <v>0</v>
      </c>
      <c r="T338" s="687"/>
    </row>
    <row r="339" spans="1:20">
      <c r="A339" s="631" t="str">
        <f>'5号楼'!B319</f>
        <v>B3136</v>
      </c>
      <c r="B339" s="631">
        <f>'5号楼'!C319</f>
        <v>52.93</v>
      </c>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t="s">
        <v>4859</v>
      </c>
      <c r="Q339" s="21">
        <f t="shared" si="55"/>
        <v>0.95</v>
      </c>
      <c r="R339" s="21">
        <f t="shared" ca="1" si="56"/>
        <v>17.649100000000001</v>
      </c>
      <c r="S339" s="307">
        <f t="shared" ca="1" si="47"/>
        <v>0</v>
      </c>
      <c r="T339" s="687"/>
    </row>
    <row r="340" spans="1:20">
      <c r="A340" s="631" t="str">
        <f>'5号楼'!B320</f>
        <v>B3137</v>
      </c>
      <c r="B340" s="631">
        <f>'5号楼'!C320</f>
        <v>52.93</v>
      </c>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t="s">
        <v>4859</v>
      </c>
      <c r="Q340" s="21">
        <f t="shared" si="55"/>
        <v>0.95</v>
      </c>
      <c r="R340" s="21">
        <f t="shared" ca="1" si="56"/>
        <v>17.649100000000001</v>
      </c>
      <c r="S340" s="307">
        <f t="shared" ca="1" si="47"/>
        <v>0</v>
      </c>
      <c r="T340" s="687"/>
    </row>
    <row r="341" spans="1:20">
      <c r="A341" s="631" t="str">
        <f>'5号楼'!B321</f>
        <v>B3138</v>
      </c>
      <c r="B341" s="631">
        <f>'5号楼'!C321</f>
        <v>52.93</v>
      </c>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t="s">
        <v>4859</v>
      </c>
      <c r="Q341" s="21">
        <f t="shared" si="55"/>
        <v>0.95</v>
      </c>
      <c r="R341" s="21">
        <f t="shared" ca="1" si="56"/>
        <v>17.649100000000001</v>
      </c>
      <c r="S341" s="307">
        <f t="shared" ca="1" si="47"/>
        <v>0</v>
      </c>
      <c r="T341" s="687"/>
    </row>
    <row r="342" spans="1:20">
      <c r="A342" s="631" t="str">
        <f>'5号楼'!B322</f>
        <v>B3139</v>
      </c>
      <c r="B342" s="631">
        <f>'5号楼'!C322</f>
        <v>50.93</v>
      </c>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t="s">
        <v>4859</v>
      </c>
      <c r="Q342" s="21">
        <f t="shared" si="55"/>
        <v>0.95</v>
      </c>
      <c r="R342" s="21">
        <f t="shared" ca="1" si="56"/>
        <v>17.649100000000001</v>
      </c>
      <c r="S342" s="307">
        <f t="shared" ca="1" si="47"/>
        <v>0</v>
      </c>
      <c r="T342" s="687"/>
    </row>
    <row r="343" spans="1:20">
      <c r="A343" s="631" t="str">
        <f>'5号楼'!B323</f>
        <v>B3140</v>
      </c>
      <c r="B343" s="631">
        <f>'5号楼'!C323</f>
        <v>50.93</v>
      </c>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t="s">
        <v>4859</v>
      </c>
      <c r="Q343" s="21">
        <f t="shared" si="55"/>
        <v>0.95</v>
      </c>
      <c r="R343" s="21">
        <f t="shared" ca="1" si="56"/>
        <v>17.649100000000001</v>
      </c>
      <c r="S343" s="307">
        <f t="shared" ca="1" si="47"/>
        <v>0</v>
      </c>
      <c r="T343" s="687"/>
    </row>
    <row r="344" spans="1:20">
      <c r="A344" s="631" t="str">
        <f>'5号楼'!B324</f>
        <v>B3141</v>
      </c>
      <c r="B344" s="631">
        <f>'5号楼'!C324</f>
        <v>50.93</v>
      </c>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t="s">
        <v>4859</v>
      </c>
      <c r="Q344" s="21">
        <f t="shared" si="55"/>
        <v>0.95</v>
      </c>
      <c r="R344" s="21">
        <f t="shared" ca="1" si="56"/>
        <v>17.649100000000001</v>
      </c>
      <c r="S344" s="307">
        <f t="shared" ref="S344:S407" ca="1" si="57">ROUND(R344*B344/10000,0)</f>
        <v>0</v>
      </c>
      <c r="T344" s="687"/>
    </row>
    <row r="345" spans="1:20">
      <c r="A345" s="631" t="str">
        <f>'5号楼'!B325</f>
        <v>B3142</v>
      </c>
      <c r="B345" s="631">
        <f>'5号楼'!C325</f>
        <v>50.93</v>
      </c>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t="s">
        <v>4859</v>
      </c>
      <c r="Q345" s="21">
        <f t="shared" si="55"/>
        <v>0.95</v>
      </c>
      <c r="R345" s="21">
        <f t="shared" ca="1" si="56"/>
        <v>17.649100000000001</v>
      </c>
      <c r="S345" s="307">
        <f t="shared" ca="1" si="57"/>
        <v>0</v>
      </c>
      <c r="T345" s="687"/>
    </row>
    <row r="346" spans="1:20">
      <c r="A346" s="631" t="str">
        <f>'5号楼'!B326</f>
        <v>B3143</v>
      </c>
      <c r="B346" s="631">
        <f>'5号楼'!C326</f>
        <v>50.93</v>
      </c>
      <c r="C346" s="21">
        <f t="shared" ref="C346:C409" si="58">IF(B346="",1,(LOOKUP(B346,$3:$3,$4:$4)-LOOKUP($B$24,$3:$3,$4:$4)+100)/100)</f>
        <v>1</v>
      </c>
      <c r="D346" s="633"/>
      <c r="E346" s="21">
        <f t="shared" ref="E346:E409" si="59">(SUMIF($5:$5,D346,$6:$6)-SUMIF($5:$5,$D$24,$6:$6)+100)/100</f>
        <v>1</v>
      </c>
      <c r="F346" s="633"/>
      <c r="G346" s="21">
        <f t="shared" ref="G346:G409" si="60">(SUMIF($7:$7,F346,$8:$8)-SUMIF($7:$7,$F$24,$8:$8)+100)/100</f>
        <v>1</v>
      </c>
      <c r="H346" s="633"/>
      <c r="I346" s="21">
        <f t="shared" ref="I346:I409" si="61">(SUMIF($9:$9,H346,$10:$10)-SUMIF($9:$9,$H$24,$10:$10)+100)/100</f>
        <v>1</v>
      </c>
      <c r="J346" s="633"/>
      <c r="K346" s="21">
        <f t="shared" ref="K346:K409" si="62">(SUMIF($11:$11,J346,$12:$12)-SUMIF($11:$11,$J$24,$12:$12)+100)/100</f>
        <v>1</v>
      </c>
      <c r="L346" s="633"/>
      <c r="M346" s="21">
        <f t="shared" ref="M346:M409" si="63">(SUMIF($13:$13,L346,$14:$14)-SUMIF($13:$13,$L$24,$14:$14)+100)/100</f>
        <v>1</v>
      </c>
      <c r="N346" s="633"/>
      <c r="O346" s="21">
        <f t="shared" ref="O346:O409" si="64">(SUMIF($15:$15,N346,$16:$16)-SUMIF($15:$15,$N$24,$16:$16)+100)/100</f>
        <v>1</v>
      </c>
      <c r="P346" s="633" t="s">
        <v>4859</v>
      </c>
      <c r="Q346" s="21">
        <f t="shared" ref="Q346:Q409" si="65">(SUMIF($17:$17,P346,$18:$18)-SUMIF($17:$17,$P$24,$18:$18)+100)/100</f>
        <v>0.95</v>
      </c>
      <c r="R346" s="21">
        <f t="shared" ref="R346:R409" ca="1" si="66">IF(B346="",0,ROUND($R$24*C346*E346*G346*I346*K346*M346*O346*Q346,4))</f>
        <v>17.649100000000001</v>
      </c>
      <c r="S346" s="307">
        <f t="shared" ca="1" si="57"/>
        <v>0</v>
      </c>
      <c r="T346" s="687"/>
    </row>
    <row r="347" spans="1:20">
      <c r="A347" s="631" t="str">
        <f>'5号楼'!B327</f>
        <v>B3144</v>
      </c>
      <c r="B347" s="631">
        <f>'5号楼'!C327</f>
        <v>50.93</v>
      </c>
      <c r="C347" s="21">
        <f t="shared" si="58"/>
        <v>1</v>
      </c>
      <c r="D347" s="633"/>
      <c r="E347" s="21">
        <f t="shared" si="59"/>
        <v>1</v>
      </c>
      <c r="F347" s="633"/>
      <c r="G347" s="21">
        <f t="shared" si="60"/>
        <v>1</v>
      </c>
      <c r="H347" s="633"/>
      <c r="I347" s="21">
        <f t="shared" si="61"/>
        <v>1</v>
      </c>
      <c r="J347" s="633"/>
      <c r="K347" s="21">
        <f t="shared" si="62"/>
        <v>1</v>
      </c>
      <c r="L347" s="633"/>
      <c r="M347" s="21">
        <f t="shared" si="63"/>
        <v>1</v>
      </c>
      <c r="N347" s="633"/>
      <c r="O347" s="21">
        <f t="shared" si="64"/>
        <v>1</v>
      </c>
      <c r="P347" s="633" t="s">
        <v>4859</v>
      </c>
      <c r="Q347" s="21">
        <f t="shared" si="65"/>
        <v>0.95</v>
      </c>
      <c r="R347" s="21">
        <f t="shared" ca="1" si="66"/>
        <v>17.649100000000001</v>
      </c>
      <c r="S347" s="307">
        <f t="shared" ca="1" si="57"/>
        <v>0</v>
      </c>
      <c r="T347" s="687"/>
    </row>
    <row r="348" spans="1:20">
      <c r="A348" s="631" t="str">
        <f>'5号楼'!B328</f>
        <v>B3145</v>
      </c>
      <c r="B348" s="631">
        <f>'5号楼'!C328</f>
        <v>50.93</v>
      </c>
      <c r="C348" s="21">
        <f t="shared" si="58"/>
        <v>1</v>
      </c>
      <c r="D348" s="633"/>
      <c r="E348" s="21">
        <f t="shared" si="59"/>
        <v>1</v>
      </c>
      <c r="F348" s="633"/>
      <c r="G348" s="21">
        <f t="shared" si="60"/>
        <v>1</v>
      </c>
      <c r="H348" s="633"/>
      <c r="I348" s="21">
        <f t="shared" si="61"/>
        <v>1</v>
      </c>
      <c r="J348" s="633"/>
      <c r="K348" s="21">
        <f t="shared" si="62"/>
        <v>1</v>
      </c>
      <c r="L348" s="633"/>
      <c r="M348" s="21">
        <f t="shared" si="63"/>
        <v>1</v>
      </c>
      <c r="N348" s="633"/>
      <c r="O348" s="21">
        <f t="shared" si="64"/>
        <v>1</v>
      </c>
      <c r="P348" s="633" t="s">
        <v>4859</v>
      </c>
      <c r="Q348" s="21">
        <f t="shared" si="65"/>
        <v>0.95</v>
      </c>
      <c r="R348" s="21">
        <f t="shared" ca="1" si="66"/>
        <v>17.649100000000001</v>
      </c>
      <c r="S348" s="307">
        <f t="shared" ca="1" si="57"/>
        <v>0</v>
      </c>
      <c r="T348" s="687"/>
    </row>
    <row r="349" spans="1:20">
      <c r="A349" s="631" t="str">
        <f>'5号楼'!B329</f>
        <v>B3146</v>
      </c>
      <c r="B349" s="631">
        <f>'5号楼'!C329</f>
        <v>50.93</v>
      </c>
      <c r="C349" s="21">
        <f t="shared" si="58"/>
        <v>1</v>
      </c>
      <c r="D349" s="633"/>
      <c r="E349" s="21">
        <f t="shared" si="59"/>
        <v>1</v>
      </c>
      <c r="F349" s="633"/>
      <c r="G349" s="21">
        <f t="shared" si="60"/>
        <v>1</v>
      </c>
      <c r="H349" s="633"/>
      <c r="I349" s="21">
        <f t="shared" si="61"/>
        <v>1</v>
      </c>
      <c r="J349" s="633"/>
      <c r="K349" s="21">
        <f t="shared" si="62"/>
        <v>1</v>
      </c>
      <c r="L349" s="633"/>
      <c r="M349" s="21">
        <f t="shared" si="63"/>
        <v>1</v>
      </c>
      <c r="N349" s="633"/>
      <c r="O349" s="21">
        <f t="shared" si="64"/>
        <v>1</v>
      </c>
      <c r="P349" s="633" t="s">
        <v>4859</v>
      </c>
      <c r="Q349" s="21">
        <f t="shared" si="65"/>
        <v>0.95</v>
      </c>
      <c r="R349" s="21">
        <f t="shared" ca="1" si="66"/>
        <v>17.649100000000001</v>
      </c>
      <c r="S349" s="307">
        <f t="shared" ca="1" si="57"/>
        <v>0</v>
      </c>
      <c r="T349" s="687"/>
    </row>
    <row r="350" spans="1:20">
      <c r="A350" s="631" t="str">
        <f>'5号楼'!B330</f>
        <v>B3147</v>
      </c>
      <c r="B350" s="631">
        <f>'5号楼'!C330</f>
        <v>50.93</v>
      </c>
      <c r="C350" s="21">
        <f t="shared" si="58"/>
        <v>1</v>
      </c>
      <c r="D350" s="633"/>
      <c r="E350" s="21">
        <f t="shared" si="59"/>
        <v>1</v>
      </c>
      <c r="F350" s="633"/>
      <c r="G350" s="21">
        <f t="shared" si="60"/>
        <v>1</v>
      </c>
      <c r="H350" s="633"/>
      <c r="I350" s="21">
        <f t="shared" si="61"/>
        <v>1</v>
      </c>
      <c r="J350" s="633"/>
      <c r="K350" s="21">
        <f t="shared" si="62"/>
        <v>1</v>
      </c>
      <c r="L350" s="633"/>
      <c r="M350" s="21">
        <f t="shared" si="63"/>
        <v>1</v>
      </c>
      <c r="N350" s="633"/>
      <c r="O350" s="21">
        <f t="shared" si="64"/>
        <v>1</v>
      </c>
      <c r="P350" s="633" t="s">
        <v>4859</v>
      </c>
      <c r="Q350" s="21">
        <f t="shared" si="65"/>
        <v>0.95</v>
      </c>
      <c r="R350" s="21">
        <f t="shared" ca="1" si="66"/>
        <v>17.649100000000001</v>
      </c>
      <c r="S350" s="307">
        <f t="shared" ca="1" si="57"/>
        <v>0</v>
      </c>
      <c r="T350" s="687"/>
    </row>
    <row r="351" spans="1:20">
      <c r="A351" s="631" t="str">
        <f>'5号楼'!B331</f>
        <v>B3148</v>
      </c>
      <c r="B351" s="631">
        <f>'5号楼'!C331</f>
        <v>50.93</v>
      </c>
      <c r="C351" s="21">
        <f t="shared" si="58"/>
        <v>1</v>
      </c>
      <c r="D351" s="633"/>
      <c r="E351" s="21">
        <f t="shared" si="59"/>
        <v>1</v>
      </c>
      <c r="F351" s="633"/>
      <c r="G351" s="21">
        <f t="shared" si="60"/>
        <v>1</v>
      </c>
      <c r="H351" s="633"/>
      <c r="I351" s="21">
        <f t="shared" si="61"/>
        <v>1</v>
      </c>
      <c r="J351" s="633"/>
      <c r="K351" s="21">
        <f t="shared" si="62"/>
        <v>1</v>
      </c>
      <c r="L351" s="633"/>
      <c r="M351" s="21">
        <f t="shared" si="63"/>
        <v>1</v>
      </c>
      <c r="N351" s="633"/>
      <c r="O351" s="21">
        <f t="shared" si="64"/>
        <v>1</v>
      </c>
      <c r="P351" s="633" t="s">
        <v>4859</v>
      </c>
      <c r="Q351" s="21">
        <f t="shared" si="65"/>
        <v>0.95</v>
      </c>
      <c r="R351" s="21">
        <f t="shared" ca="1" si="66"/>
        <v>17.649100000000001</v>
      </c>
      <c r="S351" s="307">
        <f t="shared" ca="1" si="57"/>
        <v>0</v>
      </c>
      <c r="T351" s="687"/>
    </row>
    <row r="352" spans="1:20">
      <c r="A352" s="631" t="str">
        <f>'5号楼'!B332</f>
        <v>B3149</v>
      </c>
      <c r="B352" s="631">
        <f>'5号楼'!C332</f>
        <v>50.93</v>
      </c>
      <c r="C352" s="21">
        <f t="shared" si="58"/>
        <v>1</v>
      </c>
      <c r="D352" s="633"/>
      <c r="E352" s="21">
        <f t="shared" si="59"/>
        <v>1</v>
      </c>
      <c r="F352" s="633"/>
      <c r="G352" s="21">
        <f t="shared" si="60"/>
        <v>1</v>
      </c>
      <c r="H352" s="633"/>
      <c r="I352" s="21">
        <f t="shared" si="61"/>
        <v>1</v>
      </c>
      <c r="J352" s="633"/>
      <c r="K352" s="21">
        <f t="shared" si="62"/>
        <v>1</v>
      </c>
      <c r="L352" s="633"/>
      <c r="M352" s="21">
        <f t="shared" si="63"/>
        <v>1</v>
      </c>
      <c r="N352" s="633"/>
      <c r="O352" s="21">
        <f t="shared" si="64"/>
        <v>1</v>
      </c>
      <c r="P352" s="633" t="s">
        <v>4859</v>
      </c>
      <c r="Q352" s="21">
        <f t="shared" si="65"/>
        <v>0.95</v>
      </c>
      <c r="R352" s="21">
        <f t="shared" ca="1" si="66"/>
        <v>17.649100000000001</v>
      </c>
      <c r="S352" s="307">
        <f t="shared" ca="1" si="57"/>
        <v>0</v>
      </c>
      <c r="T352" s="687"/>
    </row>
    <row r="353" spans="1:20">
      <c r="A353" s="631" t="str">
        <f>'5号楼'!B333</f>
        <v>B3150</v>
      </c>
      <c r="B353" s="631">
        <f>'5号楼'!C333</f>
        <v>50.93</v>
      </c>
      <c r="C353" s="21">
        <f t="shared" si="58"/>
        <v>1</v>
      </c>
      <c r="D353" s="633"/>
      <c r="E353" s="21">
        <f t="shared" si="59"/>
        <v>1</v>
      </c>
      <c r="F353" s="633"/>
      <c r="G353" s="21">
        <f t="shared" si="60"/>
        <v>1</v>
      </c>
      <c r="H353" s="633"/>
      <c r="I353" s="21">
        <f t="shared" si="61"/>
        <v>1</v>
      </c>
      <c r="J353" s="633"/>
      <c r="K353" s="21">
        <f t="shared" si="62"/>
        <v>1</v>
      </c>
      <c r="L353" s="633"/>
      <c r="M353" s="21">
        <f t="shared" si="63"/>
        <v>1</v>
      </c>
      <c r="N353" s="633"/>
      <c r="O353" s="21">
        <f t="shared" si="64"/>
        <v>1</v>
      </c>
      <c r="P353" s="633" t="s">
        <v>4859</v>
      </c>
      <c r="Q353" s="21">
        <f t="shared" si="65"/>
        <v>0.95</v>
      </c>
      <c r="R353" s="21">
        <f t="shared" ca="1" si="66"/>
        <v>17.649100000000001</v>
      </c>
      <c r="S353" s="307">
        <f t="shared" ca="1" si="57"/>
        <v>0</v>
      </c>
      <c r="T353" s="687"/>
    </row>
    <row r="354" spans="1:20">
      <c r="A354" s="631" t="str">
        <f>'5号楼'!B334</f>
        <v>B3151</v>
      </c>
      <c r="B354" s="631">
        <f>'5号楼'!C334</f>
        <v>50.93</v>
      </c>
      <c r="C354" s="21">
        <f t="shared" si="58"/>
        <v>1</v>
      </c>
      <c r="D354" s="633"/>
      <c r="E354" s="21">
        <f t="shared" si="59"/>
        <v>1</v>
      </c>
      <c r="F354" s="633"/>
      <c r="G354" s="21">
        <f t="shared" si="60"/>
        <v>1</v>
      </c>
      <c r="H354" s="633"/>
      <c r="I354" s="21">
        <f t="shared" si="61"/>
        <v>1</v>
      </c>
      <c r="J354" s="633"/>
      <c r="K354" s="21">
        <f t="shared" si="62"/>
        <v>1</v>
      </c>
      <c r="L354" s="633"/>
      <c r="M354" s="21">
        <f t="shared" si="63"/>
        <v>1</v>
      </c>
      <c r="N354" s="633"/>
      <c r="O354" s="21">
        <f t="shared" si="64"/>
        <v>1</v>
      </c>
      <c r="P354" s="633" t="s">
        <v>4859</v>
      </c>
      <c r="Q354" s="21">
        <f t="shared" si="65"/>
        <v>0.95</v>
      </c>
      <c r="R354" s="21">
        <f t="shared" ca="1" si="66"/>
        <v>17.649100000000001</v>
      </c>
      <c r="S354" s="307">
        <f t="shared" ca="1" si="57"/>
        <v>0</v>
      </c>
      <c r="T354" s="687"/>
    </row>
    <row r="355" spans="1:20">
      <c r="A355" s="631" t="str">
        <f>'5号楼'!B335</f>
        <v>B3152</v>
      </c>
      <c r="B355" s="631">
        <f>'5号楼'!C335</f>
        <v>50.93</v>
      </c>
      <c r="C355" s="21">
        <f t="shared" si="58"/>
        <v>1</v>
      </c>
      <c r="D355" s="633"/>
      <c r="E355" s="21">
        <f t="shared" si="59"/>
        <v>1</v>
      </c>
      <c r="F355" s="633"/>
      <c r="G355" s="21">
        <f t="shared" si="60"/>
        <v>1</v>
      </c>
      <c r="H355" s="633"/>
      <c r="I355" s="21">
        <f t="shared" si="61"/>
        <v>1</v>
      </c>
      <c r="J355" s="633"/>
      <c r="K355" s="21">
        <f t="shared" si="62"/>
        <v>1</v>
      </c>
      <c r="L355" s="633"/>
      <c r="M355" s="21">
        <f t="shared" si="63"/>
        <v>1</v>
      </c>
      <c r="N355" s="633"/>
      <c r="O355" s="21">
        <f t="shared" si="64"/>
        <v>1</v>
      </c>
      <c r="P355" s="633" t="s">
        <v>4859</v>
      </c>
      <c r="Q355" s="21">
        <f t="shared" si="65"/>
        <v>0.95</v>
      </c>
      <c r="R355" s="21">
        <f t="shared" ca="1" si="66"/>
        <v>17.649100000000001</v>
      </c>
      <c r="S355" s="307">
        <f t="shared" ca="1" si="57"/>
        <v>0</v>
      </c>
      <c r="T355" s="687"/>
    </row>
    <row r="356" spans="1:20">
      <c r="A356" s="631" t="str">
        <f>'5号楼'!B336</f>
        <v>B3153</v>
      </c>
      <c r="B356" s="631">
        <f>'5号楼'!C336</f>
        <v>50.93</v>
      </c>
      <c r="C356" s="21">
        <f t="shared" si="58"/>
        <v>1</v>
      </c>
      <c r="D356" s="633"/>
      <c r="E356" s="21">
        <f t="shared" si="59"/>
        <v>1</v>
      </c>
      <c r="F356" s="633"/>
      <c r="G356" s="21">
        <f t="shared" si="60"/>
        <v>1</v>
      </c>
      <c r="H356" s="633"/>
      <c r="I356" s="21">
        <f t="shared" si="61"/>
        <v>1</v>
      </c>
      <c r="J356" s="633"/>
      <c r="K356" s="21">
        <f t="shared" si="62"/>
        <v>1</v>
      </c>
      <c r="L356" s="633"/>
      <c r="M356" s="21">
        <f t="shared" si="63"/>
        <v>1</v>
      </c>
      <c r="N356" s="633"/>
      <c r="O356" s="21">
        <f t="shared" si="64"/>
        <v>1</v>
      </c>
      <c r="P356" s="633" t="s">
        <v>4859</v>
      </c>
      <c r="Q356" s="21">
        <f t="shared" si="65"/>
        <v>0.95</v>
      </c>
      <c r="R356" s="21">
        <f t="shared" ca="1" si="66"/>
        <v>17.649100000000001</v>
      </c>
      <c r="S356" s="307">
        <f t="shared" ca="1" si="57"/>
        <v>0</v>
      </c>
      <c r="T356" s="687"/>
    </row>
    <row r="357" spans="1:20">
      <c r="A357" s="631" t="str">
        <f>'5号楼'!B337</f>
        <v>B3154</v>
      </c>
      <c r="B357" s="631">
        <f>'5号楼'!C337</f>
        <v>50.93</v>
      </c>
      <c r="C357" s="21">
        <f t="shared" si="58"/>
        <v>1</v>
      </c>
      <c r="D357" s="633"/>
      <c r="E357" s="21">
        <f t="shared" si="59"/>
        <v>1</v>
      </c>
      <c r="F357" s="633"/>
      <c r="G357" s="21">
        <f t="shared" si="60"/>
        <v>1</v>
      </c>
      <c r="H357" s="633"/>
      <c r="I357" s="21">
        <f t="shared" si="61"/>
        <v>1</v>
      </c>
      <c r="J357" s="633"/>
      <c r="K357" s="21">
        <f t="shared" si="62"/>
        <v>1</v>
      </c>
      <c r="L357" s="633"/>
      <c r="M357" s="21">
        <f t="shared" si="63"/>
        <v>1</v>
      </c>
      <c r="N357" s="633"/>
      <c r="O357" s="21">
        <f t="shared" si="64"/>
        <v>1</v>
      </c>
      <c r="P357" s="633" t="s">
        <v>4859</v>
      </c>
      <c r="Q357" s="21">
        <f t="shared" si="65"/>
        <v>0.95</v>
      </c>
      <c r="R357" s="21">
        <f t="shared" ca="1" si="66"/>
        <v>17.649100000000001</v>
      </c>
      <c r="S357" s="307">
        <f t="shared" ca="1" si="57"/>
        <v>0</v>
      </c>
      <c r="T357" s="687"/>
    </row>
    <row r="358" spans="1:20">
      <c r="A358" s="631" t="str">
        <f>'5号楼'!B338</f>
        <v>B3155</v>
      </c>
      <c r="B358" s="631">
        <f>'5号楼'!C338</f>
        <v>50.93</v>
      </c>
      <c r="C358" s="21">
        <f t="shared" si="58"/>
        <v>1</v>
      </c>
      <c r="D358" s="633"/>
      <c r="E358" s="21">
        <f t="shared" si="59"/>
        <v>1</v>
      </c>
      <c r="F358" s="633"/>
      <c r="G358" s="21">
        <f t="shared" si="60"/>
        <v>1</v>
      </c>
      <c r="H358" s="633"/>
      <c r="I358" s="21">
        <f t="shared" si="61"/>
        <v>1</v>
      </c>
      <c r="J358" s="633"/>
      <c r="K358" s="21">
        <f t="shared" si="62"/>
        <v>1</v>
      </c>
      <c r="L358" s="633"/>
      <c r="M358" s="21">
        <f t="shared" si="63"/>
        <v>1</v>
      </c>
      <c r="N358" s="633"/>
      <c r="O358" s="21">
        <f t="shared" si="64"/>
        <v>1</v>
      </c>
      <c r="P358" s="633" t="s">
        <v>4859</v>
      </c>
      <c r="Q358" s="21">
        <f t="shared" si="65"/>
        <v>0.95</v>
      </c>
      <c r="R358" s="21">
        <f t="shared" ca="1" si="66"/>
        <v>17.649100000000001</v>
      </c>
      <c r="S358" s="307">
        <f t="shared" ca="1" si="57"/>
        <v>0</v>
      </c>
      <c r="T358" s="687"/>
    </row>
    <row r="359" spans="1:20">
      <c r="A359" s="631" t="str">
        <f>'5号楼'!B339</f>
        <v>B3156</v>
      </c>
      <c r="B359" s="631">
        <f>'5号楼'!C339</f>
        <v>50.93</v>
      </c>
      <c r="C359" s="21">
        <f t="shared" si="58"/>
        <v>1</v>
      </c>
      <c r="D359" s="633"/>
      <c r="E359" s="21">
        <f t="shared" si="59"/>
        <v>1</v>
      </c>
      <c r="F359" s="633"/>
      <c r="G359" s="21">
        <f t="shared" si="60"/>
        <v>1</v>
      </c>
      <c r="H359" s="633"/>
      <c r="I359" s="21">
        <f t="shared" si="61"/>
        <v>1</v>
      </c>
      <c r="J359" s="633"/>
      <c r="K359" s="21">
        <f t="shared" si="62"/>
        <v>1</v>
      </c>
      <c r="L359" s="633"/>
      <c r="M359" s="21">
        <f t="shared" si="63"/>
        <v>1</v>
      </c>
      <c r="N359" s="633"/>
      <c r="O359" s="21">
        <f t="shared" si="64"/>
        <v>1</v>
      </c>
      <c r="P359" s="633" t="s">
        <v>4859</v>
      </c>
      <c r="Q359" s="21">
        <f t="shared" si="65"/>
        <v>0.95</v>
      </c>
      <c r="R359" s="21">
        <f t="shared" ca="1" si="66"/>
        <v>17.649100000000001</v>
      </c>
      <c r="S359" s="307">
        <f t="shared" ca="1" si="57"/>
        <v>0</v>
      </c>
      <c r="T359" s="687"/>
    </row>
    <row r="360" spans="1:20">
      <c r="A360" s="631" t="str">
        <f>'5号楼'!B340</f>
        <v>B3157</v>
      </c>
      <c r="B360" s="631">
        <f>'5号楼'!C340</f>
        <v>50.93</v>
      </c>
      <c r="C360" s="21">
        <f t="shared" si="58"/>
        <v>1</v>
      </c>
      <c r="D360" s="633"/>
      <c r="E360" s="21">
        <f t="shared" si="59"/>
        <v>1</v>
      </c>
      <c r="F360" s="633"/>
      <c r="G360" s="21">
        <f t="shared" si="60"/>
        <v>1</v>
      </c>
      <c r="H360" s="633"/>
      <c r="I360" s="21">
        <f t="shared" si="61"/>
        <v>1</v>
      </c>
      <c r="J360" s="633"/>
      <c r="K360" s="21">
        <f t="shared" si="62"/>
        <v>1</v>
      </c>
      <c r="L360" s="633"/>
      <c r="M360" s="21">
        <f t="shared" si="63"/>
        <v>1</v>
      </c>
      <c r="N360" s="633"/>
      <c r="O360" s="21">
        <f t="shared" si="64"/>
        <v>1</v>
      </c>
      <c r="P360" s="633" t="s">
        <v>4859</v>
      </c>
      <c r="Q360" s="21">
        <f t="shared" si="65"/>
        <v>0.95</v>
      </c>
      <c r="R360" s="21">
        <f t="shared" ca="1" si="66"/>
        <v>17.649100000000001</v>
      </c>
      <c r="S360" s="307">
        <f t="shared" ca="1" si="57"/>
        <v>0</v>
      </c>
      <c r="T360" s="687"/>
    </row>
    <row r="361" spans="1:20">
      <c r="A361" s="631" t="str">
        <f>'5号楼'!B341</f>
        <v>B3158</v>
      </c>
      <c r="B361" s="631">
        <f>'5号楼'!C341</f>
        <v>50.93</v>
      </c>
      <c r="C361" s="21">
        <f t="shared" si="58"/>
        <v>1</v>
      </c>
      <c r="D361" s="633"/>
      <c r="E361" s="21">
        <f t="shared" si="59"/>
        <v>1</v>
      </c>
      <c r="F361" s="633"/>
      <c r="G361" s="21">
        <f t="shared" si="60"/>
        <v>1</v>
      </c>
      <c r="H361" s="633"/>
      <c r="I361" s="21">
        <f t="shared" si="61"/>
        <v>1</v>
      </c>
      <c r="J361" s="633"/>
      <c r="K361" s="21">
        <f t="shared" si="62"/>
        <v>1</v>
      </c>
      <c r="L361" s="633"/>
      <c r="M361" s="21">
        <f t="shared" si="63"/>
        <v>1</v>
      </c>
      <c r="N361" s="633"/>
      <c r="O361" s="21">
        <f t="shared" si="64"/>
        <v>1</v>
      </c>
      <c r="P361" s="633" t="s">
        <v>4859</v>
      </c>
      <c r="Q361" s="21">
        <f t="shared" si="65"/>
        <v>0.95</v>
      </c>
      <c r="R361" s="21">
        <f t="shared" ca="1" si="66"/>
        <v>17.649100000000001</v>
      </c>
      <c r="S361" s="307">
        <f t="shared" ca="1" si="57"/>
        <v>0</v>
      </c>
      <c r="T361" s="687"/>
    </row>
    <row r="362" spans="1:20">
      <c r="A362" s="631" t="str">
        <f>'5号楼'!B342</f>
        <v>B3159</v>
      </c>
      <c r="B362" s="631">
        <f>'5号楼'!C342</f>
        <v>50.93</v>
      </c>
      <c r="C362" s="21">
        <f t="shared" si="58"/>
        <v>1</v>
      </c>
      <c r="D362" s="633"/>
      <c r="E362" s="21">
        <f t="shared" si="59"/>
        <v>1</v>
      </c>
      <c r="F362" s="633"/>
      <c r="G362" s="21">
        <f t="shared" si="60"/>
        <v>1</v>
      </c>
      <c r="H362" s="633"/>
      <c r="I362" s="21">
        <f t="shared" si="61"/>
        <v>1</v>
      </c>
      <c r="J362" s="633"/>
      <c r="K362" s="21">
        <f t="shared" si="62"/>
        <v>1</v>
      </c>
      <c r="L362" s="633"/>
      <c r="M362" s="21">
        <f t="shared" si="63"/>
        <v>1</v>
      </c>
      <c r="N362" s="633"/>
      <c r="O362" s="21">
        <f t="shared" si="64"/>
        <v>1</v>
      </c>
      <c r="P362" s="633" t="s">
        <v>4859</v>
      </c>
      <c r="Q362" s="21">
        <f t="shared" si="65"/>
        <v>0.95</v>
      </c>
      <c r="R362" s="21">
        <f t="shared" ca="1" si="66"/>
        <v>17.649100000000001</v>
      </c>
      <c r="S362" s="307">
        <f t="shared" ca="1" si="57"/>
        <v>0</v>
      </c>
      <c r="T362" s="687"/>
    </row>
    <row r="363" spans="1:20">
      <c r="A363" s="631" t="str">
        <f>'5号楼'!B343</f>
        <v>B3160</v>
      </c>
      <c r="B363" s="631">
        <f>'5号楼'!C343</f>
        <v>50.93</v>
      </c>
      <c r="C363" s="21">
        <f t="shared" si="58"/>
        <v>1</v>
      </c>
      <c r="D363" s="633"/>
      <c r="E363" s="21">
        <f t="shared" si="59"/>
        <v>1</v>
      </c>
      <c r="F363" s="633"/>
      <c r="G363" s="21">
        <f t="shared" si="60"/>
        <v>1</v>
      </c>
      <c r="H363" s="633"/>
      <c r="I363" s="21">
        <f t="shared" si="61"/>
        <v>1</v>
      </c>
      <c r="J363" s="633"/>
      <c r="K363" s="21">
        <f t="shared" si="62"/>
        <v>1</v>
      </c>
      <c r="L363" s="633"/>
      <c r="M363" s="21">
        <f t="shared" si="63"/>
        <v>1</v>
      </c>
      <c r="N363" s="633"/>
      <c r="O363" s="21">
        <f t="shared" si="64"/>
        <v>1</v>
      </c>
      <c r="P363" s="633" t="s">
        <v>4859</v>
      </c>
      <c r="Q363" s="21">
        <f t="shared" si="65"/>
        <v>0.95</v>
      </c>
      <c r="R363" s="21">
        <f t="shared" ca="1" si="66"/>
        <v>17.649100000000001</v>
      </c>
      <c r="S363" s="307">
        <f t="shared" ca="1" si="57"/>
        <v>0</v>
      </c>
      <c r="T363" s="687"/>
    </row>
    <row r="364" spans="1:20">
      <c r="A364" s="631" t="str">
        <f>'5号楼'!B344</f>
        <v>B3161</v>
      </c>
      <c r="B364" s="631">
        <f>'5号楼'!C344</f>
        <v>50.93</v>
      </c>
      <c r="C364" s="21">
        <f t="shared" si="58"/>
        <v>1</v>
      </c>
      <c r="D364" s="633"/>
      <c r="E364" s="21">
        <f t="shared" si="59"/>
        <v>1</v>
      </c>
      <c r="F364" s="633"/>
      <c r="G364" s="21">
        <f t="shared" si="60"/>
        <v>1</v>
      </c>
      <c r="H364" s="633"/>
      <c r="I364" s="21">
        <f t="shared" si="61"/>
        <v>1</v>
      </c>
      <c r="J364" s="633"/>
      <c r="K364" s="21">
        <f t="shared" si="62"/>
        <v>1</v>
      </c>
      <c r="L364" s="633"/>
      <c r="M364" s="21">
        <f t="shared" si="63"/>
        <v>1</v>
      </c>
      <c r="N364" s="633"/>
      <c r="O364" s="21">
        <f t="shared" si="64"/>
        <v>1</v>
      </c>
      <c r="P364" s="633" t="s">
        <v>4859</v>
      </c>
      <c r="Q364" s="21">
        <f t="shared" si="65"/>
        <v>0.95</v>
      </c>
      <c r="R364" s="21">
        <f t="shared" ca="1" si="66"/>
        <v>17.649100000000001</v>
      </c>
      <c r="S364" s="307">
        <f t="shared" ca="1" si="57"/>
        <v>0</v>
      </c>
      <c r="T364" s="687"/>
    </row>
    <row r="365" spans="1:20">
      <c r="A365" s="631" t="str">
        <f>'5号楼'!B345</f>
        <v>B3162</v>
      </c>
      <c r="B365" s="631">
        <f>'5号楼'!C345</f>
        <v>50.93</v>
      </c>
      <c r="C365" s="21">
        <f t="shared" si="58"/>
        <v>1</v>
      </c>
      <c r="D365" s="633"/>
      <c r="E365" s="21">
        <f t="shared" si="59"/>
        <v>1</v>
      </c>
      <c r="F365" s="633"/>
      <c r="G365" s="21">
        <f t="shared" si="60"/>
        <v>1</v>
      </c>
      <c r="H365" s="633"/>
      <c r="I365" s="21">
        <f t="shared" si="61"/>
        <v>1</v>
      </c>
      <c r="J365" s="633"/>
      <c r="K365" s="21">
        <f t="shared" si="62"/>
        <v>1</v>
      </c>
      <c r="L365" s="633"/>
      <c r="M365" s="21">
        <f t="shared" si="63"/>
        <v>1</v>
      </c>
      <c r="N365" s="633"/>
      <c r="O365" s="21">
        <f t="shared" si="64"/>
        <v>1</v>
      </c>
      <c r="P365" s="633" t="s">
        <v>4859</v>
      </c>
      <c r="Q365" s="21">
        <f t="shared" si="65"/>
        <v>0.95</v>
      </c>
      <c r="R365" s="21">
        <f t="shared" ca="1" si="66"/>
        <v>17.649100000000001</v>
      </c>
      <c r="S365" s="307">
        <f t="shared" ca="1" si="57"/>
        <v>0</v>
      </c>
      <c r="T365" s="687"/>
    </row>
    <row r="366" spans="1:20">
      <c r="A366" s="631" t="str">
        <f>'5号楼'!B346</f>
        <v>B3163</v>
      </c>
      <c r="B366" s="631">
        <f>'5号楼'!C346</f>
        <v>50.93</v>
      </c>
      <c r="C366" s="21">
        <f t="shared" si="58"/>
        <v>1</v>
      </c>
      <c r="D366" s="633"/>
      <c r="E366" s="21">
        <f t="shared" si="59"/>
        <v>1</v>
      </c>
      <c r="F366" s="633"/>
      <c r="G366" s="21">
        <f t="shared" si="60"/>
        <v>1</v>
      </c>
      <c r="H366" s="633"/>
      <c r="I366" s="21">
        <f t="shared" si="61"/>
        <v>1</v>
      </c>
      <c r="J366" s="633"/>
      <c r="K366" s="21">
        <f t="shared" si="62"/>
        <v>1</v>
      </c>
      <c r="L366" s="633"/>
      <c r="M366" s="21">
        <f t="shared" si="63"/>
        <v>1</v>
      </c>
      <c r="N366" s="633"/>
      <c r="O366" s="21">
        <f t="shared" si="64"/>
        <v>1</v>
      </c>
      <c r="P366" s="633" t="s">
        <v>4859</v>
      </c>
      <c r="Q366" s="21">
        <f t="shared" si="65"/>
        <v>0.95</v>
      </c>
      <c r="R366" s="21">
        <f t="shared" ca="1" si="66"/>
        <v>17.649100000000001</v>
      </c>
      <c r="S366" s="307">
        <f t="shared" ca="1" si="57"/>
        <v>0</v>
      </c>
      <c r="T366" s="687"/>
    </row>
    <row r="367" spans="1:20">
      <c r="A367" s="631" t="str">
        <f>'5号楼'!B347</f>
        <v>B3164</v>
      </c>
      <c r="B367" s="631">
        <f>'5号楼'!C347</f>
        <v>50.93</v>
      </c>
      <c r="C367" s="21">
        <f t="shared" si="58"/>
        <v>1</v>
      </c>
      <c r="D367" s="633"/>
      <c r="E367" s="21">
        <f t="shared" si="59"/>
        <v>1</v>
      </c>
      <c r="F367" s="633"/>
      <c r="G367" s="21">
        <f t="shared" si="60"/>
        <v>1</v>
      </c>
      <c r="H367" s="633"/>
      <c r="I367" s="21">
        <f t="shared" si="61"/>
        <v>1</v>
      </c>
      <c r="J367" s="633"/>
      <c r="K367" s="21">
        <f t="shared" si="62"/>
        <v>1</v>
      </c>
      <c r="L367" s="633"/>
      <c r="M367" s="21">
        <f t="shared" si="63"/>
        <v>1</v>
      </c>
      <c r="N367" s="633"/>
      <c r="O367" s="21">
        <f t="shared" si="64"/>
        <v>1</v>
      </c>
      <c r="P367" s="633" t="s">
        <v>4859</v>
      </c>
      <c r="Q367" s="21">
        <f t="shared" si="65"/>
        <v>0.95</v>
      </c>
      <c r="R367" s="21">
        <f t="shared" ca="1" si="66"/>
        <v>17.649100000000001</v>
      </c>
      <c r="S367" s="307">
        <f t="shared" ca="1" si="57"/>
        <v>0</v>
      </c>
      <c r="T367" s="687"/>
    </row>
    <row r="368" spans="1:20">
      <c r="A368" s="631" t="str">
        <f>'5号楼'!B348</f>
        <v>B3165</v>
      </c>
      <c r="B368" s="631">
        <f>'5号楼'!C348</f>
        <v>50.93</v>
      </c>
      <c r="C368" s="21">
        <f t="shared" si="58"/>
        <v>1</v>
      </c>
      <c r="D368" s="633"/>
      <c r="E368" s="21">
        <f t="shared" si="59"/>
        <v>1</v>
      </c>
      <c r="F368" s="633"/>
      <c r="G368" s="21">
        <f t="shared" si="60"/>
        <v>1</v>
      </c>
      <c r="H368" s="633"/>
      <c r="I368" s="21">
        <f t="shared" si="61"/>
        <v>1</v>
      </c>
      <c r="J368" s="633"/>
      <c r="K368" s="21">
        <f t="shared" si="62"/>
        <v>1</v>
      </c>
      <c r="L368" s="633"/>
      <c r="M368" s="21">
        <f t="shared" si="63"/>
        <v>1</v>
      </c>
      <c r="N368" s="633"/>
      <c r="O368" s="21">
        <f t="shared" si="64"/>
        <v>1</v>
      </c>
      <c r="P368" s="633" t="s">
        <v>4859</v>
      </c>
      <c r="Q368" s="21">
        <f t="shared" si="65"/>
        <v>0.95</v>
      </c>
      <c r="R368" s="21">
        <f t="shared" ca="1" si="66"/>
        <v>17.649100000000001</v>
      </c>
      <c r="S368" s="307">
        <f t="shared" ca="1" si="57"/>
        <v>0</v>
      </c>
      <c r="T368" s="687"/>
    </row>
    <row r="369" spans="1:20">
      <c r="A369" s="631" t="str">
        <f>'5号楼'!B349</f>
        <v>B3166</v>
      </c>
      <c r="B369" s="631">
        <f>'5号楼'!C349</f>
        <v>52.93</v>
      </c>
      <c r="C369" s="21">
        <f t="shared" si="58"/>
        <v>1</v>
      </c>
      <c r="D369" s="633"/>
      <c r="E369" s="21">
        <f t="shared" si="59"/>
        <v>1</v>
      </c>
      <c r="F369" s="633"/>
      <c r="G369" s="21">
        <f t="shared" si="60"/>
        <v>1</v>
      </c>
      <c r="H369" s="633"/>
      <c r="I369" s="21">
        <f t="shared" si="61"/>
        <v>1</v>
      </c>
      <c r="J369" s="633"/>
      <c r="K369" s="21">
        <f t="shared" si="62"/>
        <v>1</v>
      </c>
      <c r="L369" s="633"/>
      <c r="M369" s="21">
        <f t="shared" si="63"/>
        <v>1</v>
      </c>
      <c r="N369" s="633"/>
      <c r="O369" s="21">
        <f t="shared" si="64"/>
        <v>1</v>
      </c>
      <c r="P369" s="633" t="s">
        <v>4859</v>
      </c>
      <c r="Q369" s="21">
        <f t="shared" si="65"/>
        <v>0.95</v>
      </c>
      <c r="R369" s="21">
        <f t="shared" ca="1" si="66"/>
        <v>17.649100000000001</v>
      </c>
      <c r="S369" s="307">
        <f t="shared" ca="1" si="57"/>
        <v>0</v>
      </c>
      <c r="T369" s="687"/>
    </row>
    <row r="370" spans="1:20">
      <c r="A370" s="631" t="str">
        <f>'5号楼'!B350</f>
        <v>B3167</v>
      </c>
      <c r="B370" s="631">
        <f>'5号楼'!C350</f>
        <v>52.93</v>
      </c>
      <c r="C370" s="21">
        <f t="shared" si="58"/>
        <v>1</v>
      </c>
      <c r="D370" s="633"/>
      <c r="E370" s="21">
        <f t="shared" si="59"/>
        <v>1</v>
      </c>
      <c r="F370" s="633"/>
      <c r="G370" s="21">
        <f t="shared" si="60"/>
        <v>1</v>
      </c>
      <c r="H370" s="633"/>
      <c r="I370" s="21">
        <f t="shared" si="61"/>
        <v>1</v>
      </c>
      <c r="J370" s="633"/>
      <c r="K370" s="21">
        <f t="shared" si="62"/>
        <v>1</v>
      </c>
      <c r="L370" s="633"/>
      <c r="M370" s="21">
        <f t="shared" si="63"/>
        <v>1</v>
      </c>
      <c r="N370" s="633"/>
      <c r="O370" s="21">
        <f t="shared" si="64"/>
        <v>1</v>
      </c>
      <c r="P370" s="633" t="s">
        <v>4859</v>
      </c>
      <c r="Q370" s="21">
        <f t="shared" si="65"/>
        <v>0.95</v>
      </c>
      <c r="R370" s="21">
        <f t="shared" ca="1" si="66"/>
        <v>17.649100000000001</v>
      </c>
      <c r="S370" s="307">
        <f t="shared" ca="1" si="57"/>
        <v>0</v>
      </c>
      <c r="T370" s="687"/>
    </row>
    <row r="371" spans="1:20">
      <c r="A371" s="631" t="str">
        <f>'5号楼'!B351</f>
        <v>B3168</v>
      </c>
      <c r="B371" s="631">
        <f>'5号楼'!C351</f>
        <v>52.93</v>
      </c>
      <c r="C371" s="21">
        <f t="shared" si="58"/>
        <v>1</v>
      </c>
      <c r="D371" s="633"/>
      <c r="E371" s="21">
        <f t="shared" si="59"/>
        <v>1</v>
      </c>
      <c r="F371" s="633"/>
      <c r="G371" s="21">
        <f t="shared" si="60"/>
        <v>1</v>
      </c>
      <c r="H371" s="633"/>
      <c r="I371" s="21">
        <f t="shared" si="61"/>
        <v>1</v>
      </c>
      <c r="J371" s="633"/>
      <c r="K371" s="21">
        <f t="shared" si="62"/>
        <v>1</v>
      </c>
      <c r="L371" s="633"/>
      <c r="M371" s="21">
        <f t="shared" si="63"/>
        <v>1</v>
      </c>
      <c r="N371" s="633"/>
      <c r="O371" s="21">
        <f t="shared" si="64"/>
        <v>1</v>
      </c>
      <c r="P371" s="633" t="s">
        <v>4859</v>
      </c>
      <c r="Q371" s="21">
        <f t="shared" si="65"/>
        <v>0.95</v>
      </c>
      <c r="R371" s="21">
        <f t="shared" ca="1" si="66"/>
        <v>17.649100000000001</v>
      </c>
      <c r="S371" s="307">
        <f t="shared" ca="1" si="57"/>
        <v>0</v>
      </c>
      <c r="T371" s="687"/>
    </row>
    <row r="372" spans="1:20">
      <c r="A372" s="631" t="str">
        <f>'5号楼'!B352</f>
        <v>B3169</v>
      </c>
      <c r="B372" s="631">
        <f>'5号楼'!C352</f>
        <v>50.93</v>
      </c>
      <c r="C372" s="21">
        <f t="shared" si="58"/>
        <v>1</v>
      </c>
      <c r="D372" s="633"/>
      <c r="E372" s="21">
        <f t="shared" si="59"/>
        <v>1</v>
      </c>
      <c r="F372" s="633"/>
      <c r="G372" s="21">
        <f t="shared" si="60"/>
        <v>1</v>
      </c>
      <c r="H372" s="633"/>
      <c r="I372" s="21">
        <f t="shared" si="61"/>
        <v>1</v>
      </c>
      <c r="J372" s="633"/>
      <c r="K372" s="21">
        <f t="shared" si="62"/>
        <v>1</v>
      </c>
      <c r="L372" s="633"/>
      <c r="M372" s="21">
        <f t="shared" si="63"/>
        <v>1</v>
      </c>
      <c r="N372" s="633"/>
      <c r="O372" s="21">
        <f t="shared" si="64"/>
        <v>1</v>
      </c>
      <c r="P372" s="633" t="s">
        <v>4859</v>
      </c>
      <c r="Q372" s="21">
        <f t="shared" si="65"/>
        <v>0.95</v>
      </c>
      <c r="R372" s="21">
        <f t="shared" ca="1" si="66"/>
        <v>17.649100000000001</v>
      </c>
      <c r="S372" s="307">
        <f t="shared" ca="1" si="57"/>
        <v>0</v>
      </c>
      <c r="T372" s="687"/>
    </row>
    <row r="373" spans="1:20">
      <c r="A373" s="631" t="str">
        <f>'5号楼'!B353</f>
        <v>B3170</v>
      </c>
      <c r="B373" s="631">
        <f>'5号楼'!C353</f>
        <v>50.93</v>
      </c>
      <c r="C373" s="21">
        <f t="shared" si="58"/>
        <v>1</v>
      </c>
      <c r="D373" s="633"/>
      <c r="E373" s="21">
        <f t="shared" si="59"/>
        <v>1</v>
      </c>
      <c r="F373" s="633"/>
      <c r="G373" s="21">
        <f t="shared" si="60"/>
        <v>1</v>
      </c>
      <c r="H373" s="633"/>
      <c r="I373" s="21">
        <f t="shared" si="61"/>
        <v>1</v>
      </c>
      <c r="J373" s="633"/>
      <c r="K373" s="21">
        <f t="shared" si="62"/>
        <v>1</v>
      </c>
      <c r="L373" s="633"/>
      <c r="M373" s="21">
        <f t="shared" si="63"/>
        <v>1</v>
      </c>
      <c r="N373" s="633"/>
      <c r="O373" s="21">
        <f t="shared" si="64"/>
        <v>1</v>
      </c>
      <c r="P373" s="633" t="s">
        <v>4859</v>
      </c>
      <c r="Q373" s="21">
        <f t="shared" si="65"/>
        <v>0.95</v>
      </c>
      <c r="R373" s="21">
        <f t="shared" ca="1" si="66"/>
        <v>17.649100000000001</v>
      </c>
      <c r="S373" s="307">
        <f t="shared" ca="1" si="57"/>
        <v>0</v>
      </c>
      <c r="T373" s="687"/>
    </row>
    <row r="374" spans="1:20">
      <c r="A374" s="631" t="str">
        <f>'5号楼'!B354</f>
        <v>B3171</v>
      </c>
      <c r="B374" s="631">
        <f>'5号楼'!C354</f>
        <v>50.93</v>
      </c>
      <c r="C374" s="21">
        <f t="shared" si="58"/>
        <v>1</v>
      </c>
      <c r="D374" s="633"/>
      <c r="E374" s="21">
        <f t="shared" si="59"/>
        <v>1</v>
      </c>
      <c r="F374" s="633"/>
      <c r="G374" s="21">
        <f t="shared" si="60"/>
        <v>1</v>
      </c>
      <c r="H374" s="633"/>
      <c r="I374" s="21">
        <f t="shared" si="61"/>
        <v>1</v>
      </c>
      <c r="J374" s="633"/>
      <c r="K374" s="21">
        <f t="shared" si="62"/>
        <v>1</v>
      </c>
      <c r="L374" s="633"/>
      <c r="M374" s="21">
        <f t="shared" si="63"/>
        <v>1</v>
      </c>
      <c r="N374" s="633"/>
      <c r="O374" s="21">
        <f t="shared" si="64"/>
        <v>1</v>
      </c>
      <c r="P374" s="633" t="s">
        <v>4859</v>
      </c>
      <c r="Q374" s="21">
        <f t="shared" si="65"/>
        <v>0.95</v>
      </c>
      <c r="R374" s="21">
        <f t="shared" ca="1" si="66"/>
        <v>17.649100000000001</v>
      </c>
      <c r="S374" s="307">
        <f t="shared" ca="1" si="57"/>
        <v>0</v>
      </c>
      <c r="T374" s="687"/>
    </row>
    <row r="375" spans="1:20">
      <c r="A375" s="631" t="str">
        <f>'5号楼'!B355</f>
        <v>B3172</v>
      </c>
      <c r="B375" s="631">
        <f>'5号楼'!C355</f>
        <v>50.93</v>
      </c>
      <c r="C375" s="21">
        <f t="shared" si="58"/>
        <v>1</v>
      </c>
      <c r="D375" s="633"/>
      <c r="E375" s="21">
        <f t="shared" si="59"/>
        <v>1</v>
      </c>
      <c r="F375" s="633"/>
      <c r="G375" s="21">
        <f t="shared" si="60"/>
        <v>1</v>
      </c>
      <c r="H375" s="633"/>
      <c r="I375" s="21">
        <f t="shared" si="61"/>
        <v>1</v>
      </c>
      <c r="J375" s="633"/>
      <c r="K375" s="21">
        <f t="shared" si="62"/>
        <v>1</v>
      </c>
      <c r="L375" s="633"/>
      <c r="M375" s="21">
        <f t="shared" si="63"/>
        <v>1</v>
      </c>
      <c r="N375" s="633"/>
      <c r="O375" s="21">
        <f t="shared" si="64"/>
        <v>1</v>
      </c>
      <c r="P375" s="633" t="s">
        <v>4859</v>
      </c>
      <c r="Q375" s="21">
        <f t="shared" si="65"/>
        <v>0.95</v>
      </c>
      <c r="R375" s="21">
        <f t="shared" ca="1" si="66"/>
        <v>17.649100000000001</v>
      </c>
      <c r="S375" s="307">
        <f t="shared" ca="1" si="57"/>
        <v>0</v>
      </c>
      <c r="T375" s="687"/>
    </row>
    <row r="376" spans="1:20">
      <c r="A376" s="631" t="str">
        <f>'5号楼'!B356</f>
        <v>B3173</v>
      </c>
      <c r="B376" s="631">
        <f>'5号楼'!C356</f>
        <v>50.93</v>
      </c>
      <c r="C376" s="21">
        <f t="shared" si="58"/>
        <v>1</v>
      </c>
      <c r="D376" s="633"/>
      <c r="E376" s="21">
        <f t="shared" si="59"/>
        <v>1</v>
      </c>
      <c r="F376" s="633"/>
      <c r="G376" s="21">
        <f t="shared" si="60"/>
        <v>1</v>
      </c>
      <c r="H376" s="633"/>
      <c r="I376" s="21">
        <f t="shared" si="61"/>
        <v>1</v>
      </c>
      <c r="J376" s="633"/>
      <c r="K376" s="21">
        <f t="shared" si="62"/>
        <v>1</v>
      </c>
      <c r="L376" s="633"/>
      <c r="M376" s="21">
        <f t="shared" si="63"/>
        <v>1</v>
      </c>
      <c r="N376" s="633"/>
      <c r="O376" s="21">
        <f t="shared" si="64"/>
        <v>1</v>
      </c>
      <c r="P376" s="633" t="s">
        <v>4859</v>
      </c>
      <c r="Q376" s="21">
        <f t="shared" si="65"/>
        <v>0.95</v>
      </c>
      <c r="R376" s="21">
        <f t="shared" ca="1" si="66"/>
        <v>17.649100000000001</v>
      </c>
      <c r="S376" s="307">
        <f t="shared" ca="1" si="57"/>
        <v>0</v>
      </c>
      <c r="T376" s="687"/>
    </row>
    <row r="377" spans="1:20">
      <c r="A377" s="631" t="str">
        <f>'5号楼'!B357</f>
        <v>B3174</v>
      </c>
      <c r="B377" s="631">
        <f>'5号楼'!C357</f>
        <v>50.93</v>
      </c>
      <c r="C377" s="21">
        <f t="shared" si="58"/>
        <v>1</v>
      </c>
      <c r="D377" s="633"/>
      <c r="E377" s="21">
        <f t="shared" si="59"/>
        <v>1</v>
      </c>
      <c r="F377" s="633"/>
      <c r="G377" s="21">
        <f t="shared" si="60"/>
        <v>1</v>
      </c>
      <c r="H377" s="633"/>
      <c r="I377" s="21">
        <f t="shared" si="61"/>
        <v>1</v>
      </c>
      <c r="J377" s="633"/>
      <c r="K377" s="21">
        <f t="shared" si="62"/>
        <v>1</v>
      </c>
      <c r="L377" s="633"/>
      <c r="M377" s="21">
        <f t="shared" si="63"/>
        <v>1</v>
      </c>
      <c r="N377" s="633"/>
      <c r="O377" s="21">
        <f t="shared" si="64"/>
        <v>1</v>
      </c>
      <c r="P377" s="633" t="s">
        <v>4859</v>
      </c>
      <c r="Q377" s="21">
        <f t="shared" si="65"/>
        <v>0.95</v>
      </c>
      <c r="R377" s="21">
        <f t="shared" ca="1" si="66"/>
        <v>17.649100000000001</v>
      </c>
      <c r="S377" s="307">
        <f t="shared" ca="1" si="57"/>
        <v>0</v>
      </c>
      <c r="T377" s="687"/>
    </row>
    <row r="378" spans="1:20">
      <c r="A378" s="631" t="str">
        <f>'5号楼'!B358</f>
        <v>B3175</v>
      </c>
      <c r="B378" s="631">
        <f>'5号楼'!C358</f>
        <v>50.93</v>
      </c>
      <c r="C378" s="21">
        <f t="shared" si="58"/>
        <v>1</v>
      </c>
      <c r="D378" s="633"/>
      <c r="E378" s="21">
        <f t="shared" si="59"/>
        <v>1</v>
      </c>
      <c r="F378" s="633"/>
      <c r="G378" s="21">
        <f t="shared" si="60"/>
        <v>1</v>
      </c>
      <c r="H378" s="633"/>
      <c r="I378" s="21">
        <f t="shared" si="61"/>
        <v>1</v>
      </c>
      <c r="J378" s="633"/>
      <c r="K378" s="21">
        <f t="shared" si="62"/>
        <v>1</v>
      </c>
      <c r="L378" s="633"/>
      <c r="M378" s="21">
        <f t="shared" si="63"/>
        <v>1</v>
      </c>
      <c r="N378" s="633"/>
      <c r="O378" s="21">
        <f t="shared" si="64"/>
        <v>1</v>
      </c>
      <c r="P378" s="633" t="s">
        <v>4859</v>
      </c>
      <c r="Q378" s="21">
        <f t="shared" si="65"/>
        <v>0.95</v>
      </c>
      <c r="R378" s="21">
        <f t="shared" ca="1" si="66"/>
        <v>17.649100000000001</v>
      </c>
      <c r="S378" s="307">
        <f t="shared" ca="1" si="57"/>
        <v>0</v>
      </c>
      <c r="T378" s="687"/>
    </row>
    <row r="379" spans="1:20">
      <c r="A379" s="631" t="str">
        <f>'5号楼'!B359</f>
        <v>B3176</v>
      </c>
      <c r="B379" s="631">
        <f>'5号楼'!C359</f>
        <v>59.92</v>
      </c>
      <c r="C379" s="21">
        <f t="shared" si="58"/>
        <v>1</v>
      </c>
      <c r="D379" s="633"/>
      <c r="E379" s="21">
        <f t="shared" si="59"/>
        <v>1</v>
      </c>
      <c r="F379" s="633"/>
      <c r="G379" s="21">
        <f t="shared" si="60"/>
        <v>1</v>
      </c>
      <c r="H379" s="633"/>
      <c r="I379" s="21">
        <f t="shared" si="61"/>
        <v>1</v>
      </c>
      <c r="J379" s="633"/>
      <c r="K379" s="21">
        <f t="shared" si="62"/>
        <v>1</v>
      </c>
      <c r="L379" s="633"/>
      <c r="M379" s="21">
        <f t="shared" si="63"/>
        <v>1</v>
      </c>
      <c r="N379" s="633"/>
      <c r="O379" s="21">
        <f t="shared" si="64"/>
        <v>1</v>
      </c>
      <c r="P379" s="633" t="s">
        <v>4859</v>
      </c>
      <c r="Q379" s="21">
        <f t="shared" si="65"/>
        <v>0.95</v>
      </c>
      <c r="R379" s="21">
        <f t="shared" ca="1" si="66"/>
        <v>17.649100000000001</v>
      </c>
      <c r="S379" s="307">
        <f t="shared" ca="1" si="57"/>
        <v>0</v>
      </c>
      <c r="T379" s="687"/>
    </row>
    <row r="380" spans="1:20">
      <c r="A380" s="631" t="str">
        <f>'5号楼'!B360</f>
        <v>B3177</v>
      </c>
      <c r="B380" s="631">
        <f>'5号楼'!C360</f>
        <v>59.92</v>
      </c>
      <c r="C380" s="21">
        <f t="shared" si="58"/>
        <v>1</v>
      </c>
      <c r="D380" s="633"/>
      <c r="E380" s="21">
        <f t="shared" si="59"/>
        <v>1</v>
      </c>
      <c r="F380" s="633"/>
      <c r="G380" s="21">
        <f t="shared" si="60"/>
        <v>1</v>
      </c>
      <c r="H380" s="633"/>
      <c r="I380" s="21">
        <f t="shared" si="61"/>
        <v>1</v>
      </c>
      <c r="J380" s="633"/>
      <c r="K380" s="21">
        <f t="shared" si="62"/>
        <v>1</v>
      </c>
      <c r="L380" s="633"/>
      <c r="M380" s="21">
        <f t="shared" si="63"/>
        <v>1</v>
      </c>
      <c r="N380" s="633"/>
      <c r="O380" s="21">
        <f t="shared" si="64"/>
        <v>1</v>
      </c>
      <c r="P380" s="633" t="s">
        <v>4859</v>
      </c>
      <c r="Q380" s="21">
        <f t="shared" si="65"/>
        <v>0.95</v>
      </c>
      <c r="R380" s="21">
        <f t="shared" ca="1" si="66"/>
        <v>17.649100000000001</v>
      </c>
      <c r="S380" s="307">
        <f t="shared" ca="1" si="57"/>
        <v>0</v>
      </c>
      <c r="T380" s="687"/>
    </row>
    <row r="381" spans="1:20">
      <c r="A381" s="631" t="str">
        <f>'5号楼'!B361</f>
        <v>B3178</v>
      </c>
      <c r="B381" s="631">
        <f>'5号楼'!C361</f>
        <v>59.92</v>
      </c>
      <c r="C381" s="21">
        <f t="shared" si="58"/>
        <v>1</v>
      </c>
      <c r="D381" s="633"/>
      <c r="E381" s="21">
        <f t="shared" si="59"/>
        <v>1</v>
      </c>
      <c r="F381" s="633"/>
      <c r="G381" s="21">
        <f t="shared" si="60"/>
        <v>1</v>
      </c>
      <c r="H381" s="633"/>
      <c r="I381" s="21">
        <f t="shared" si="61"/>
        <v>1</v>
      </c>
      <c r="J381" s="633"/>
      <c r="K381" s="21">
        <f t="shared" si="62"/>
        <v>1</v>
      </c>
      <c r="L381" s="633"/>
      <c r="M381" s="21">
        <f t="shared" si="63"/>
        <v>1</v>
      </c>
      <c r="N381" s="633"/>
      <c r="O381" s="21">
        <f t="shared" si="64"/>
        <v>1</v>
      </c>
      <c r="P381" s="633" t="s">
        <v>4859</v>
      </c>
      <c r="Q381" s="21">
        <f t="shared" si="65"/>
        <v>0.95</v>
      </c>
      <c r="R381" s="21">
        <f t="shared" ca="1" si="66"/>
        <v>17.649100000000001</v>
      </c>
      <c r="S381" s="307">
        <f t="shared" ca="1" si="57"/>
        <v>0</v>
      </c>
      <c r="T381" s="687"/>
    </row>
    <row r="382" spans="1:20">
      <c r="A382" s="631" t="str">
        <f>'5号楼'!B362</f>
        <v>B3179</v>
      </c>
      <c r="B382" s="631">
        <f>'5号楼'!C362</f>
        <v>59.92</v>
      </c>
      <c r="C382" s="21">
        <f t="shared" si="58"/>
        <v>1</v>
      </c>
      <c r="D382" s="633"/>
      <c r="E382" s="21">
        <f t="shared" si="59"/>
        <v>1</v>
      </c>
      <c r="F382" s="633"/>
      <c r="G382" s="21">
        <f t="shared" si="60"/>
        <v>1</v>
      </c>
      <c r="H382" s="633"/>
      <c r="I382" s="21">
        <f t="shared" si="61"/>
        <v>1</v>
      </c>
      <c r="J382" s="633"/>
      <c r="K382" s="21">
        <f t="shared" si="62"/>
        <v>1</v>
      </c>
      <c r="L382" s="633"/>
      <c r="M382" s="21">
        <f t="shared" si="63"/>
        <v>1</v>
      </c>
      <c r="N382" s="633"/>
      <c r="O382" s="21">
        <f t="shared" si="64"/>
        <v>1</v>
      </c>
      <c r="P382" s="633" t="s">
        <v>4859</v>
      </c>
      <c r="Q382" s="21">
        <f t="shared" si="65"/>
        <v>0.95</v>
      </c>
      <c r="R382" s="21">
        <f t="shared" ca="1" si="66"/>
        <v>17.649100000000001</v>
      </c>
      <c r="S382" s="307">
        <f t="shared" ca="1" si="57"/>
        <v>0</v>
      </c>
      <c r="T382" s="687"/>
    </row>
    <row r="383" spans="1:20">
      <c r="A383" s="631" t="str">
        <f>'5号楼'!B363</f>
        <v>B3180</v>
      </c>
      <c r="B383" s="631">
        <f>'5号楼'!C363</f>
        <v>52.93</v>
      </c>
      <c r="C383" s="21">
        <f t="shared" si="58"/>
        <v>1</v>
      </c>
      <c r="D383" s="633"/>
      <c r="E383" s="21">
        <f t="shared" si="59"/>
        <v>1</v>
      </c>
      <c r="F383" s="633"/>
      <c r="G383" s="21">
        <f t="shared" si="60"/>
        <v>1</v>
      </c>
      <c r="H383" s="633"/>
      <c r="I383" s="21">
        <f t="shared" si="61"/>
        <v>1</v>
      </c>
      <c r="J383" s="633"/>
      <c r="K383" s="21">
        <f t="shared" si="62"/>
        <v>1</v>
      </c>
      <c r="L383" s="633"/>
      <c r="M383" s="21">
        <f t="shared" si="63"/>
        <v>1</v>
      </c>
      <c r="N383" s="633"/>
      <c r="O383" s="21">
        <f t="shared" si="64"/>
        <v>1</v>
      </c>
      <c r="P383" s="633" t="s">
        <v>4859</v>
      </c>
      <c r="Q383" s="21">
        <f t="shared" si="65"/>
        <v>0.95</v>
      </c>
      <c r="R383" s="21">
        <f t="shared" ca="1" si="66"/>
        <v>17.649100000000001</v>
      </c>
      <c r="S383" s="307">
        <f t="shared" ca="1" si="57"/>
        <v>0</v>
      </c>
      <c r="T383" s="687"/>
    </row>
    <row r="384" spans="1:20">
      <c r="A384" s="631" t="str">
        <f>'5号楼'!B364</f>
        <v>B3181</v>
      </c>
      <c r="B384" s="631">
        <f>'5号楼'!C364</f>
        <v>52.93</v>
      </c>
      <c r="C384" s="21">
        <f t="shared" si="58"/>
        <v>1</v>
      </c>
      <c r="D384" s="633"/>
      <c r="E384" s="21">
        <f t="shared" si="59"/>
        <v>1</v>
      </c>
      <c r="F384" s="633"/>
      <c r="G384" s="21">
        <f t="shared" si="60"/>
        <v>1</v>
      </c>
      <c r="H384" s="633"/>
      <c r="I384" s="21">
        <f t="shared" si="61"/>
        <v>1</v>
      </c>
      <c r="J384" s="633"/>
      <c r="K384" s="21">
        <f t="shared" si="62"/>
        <v>1</v>
      </c>
      <c r="L384" s="633"/>
      <c r="M384" s="21">
        <f t="shared" si="63"/>
        <v>1</v>
      </c>
      <c r="N384" s="633"/>
      <c r="O384" s="21">
        <f t="shared" si="64"/>
        <v>1</v>
      </c>
      <c r="P384" s="633" t="s">
        <v>4859</v>
      </c>
      <c r="Q384" s="21">
        <f t="shared" si="65"/>
        <v>0.95</v>
      </c>
      <c r="R384" s="21">
        <f t="shared" ca="1" si="66"/>
        <v>17.649100000000001</v>
      </c>
      <c r="S384" s="307">
        <f t="shared" ca="1" si="57"/>
        <v>0</v>
      </c>
      <c r="T384" s="687"/>
    </row>
    <row r="385" spans="1:20">
      <c r="A385" s="631" t="str">
        <f>'5号楼'!B365</f>
        <v>B3182</v>
      </c>
      <c r="B385" s="631">
        <f>'5号楼'!C365</f>
        <v>52.93</v>
      </c>
      <c r="C385" s="21">
        <f t="shared" si="58"/>
        <v>1</v>
      </c>
      <c r="D385" s="633"/>
      <c r="E385" s="21">
        <f t="shared" si="59"/>
        <v>1</v>
      </c>
      <c r="F385" s="633"/>
      <c r="G385" s="21">
        <f t="shared" si="60"/>
        <v>1</v>
      </c>
      <c r="H385" s="633"/>
      <c r="I385" s="21">
        <f t="shared" si="61"/>
        <v>1</v>
      </c>
      <c r="J385" s="633"/>
      <c r="K385" s="21">
        <f t="shared" si="62"/>
        <v>1</v>
      </c>
      <c r="L385" s="633"/>
      <c r="M385" s="21">
        <f t="shared" si="63"/>
        <v>1</v>
      </c>
      <c r="N385" s="633"/>
      <c r="O385" s="21">
        <f t="shared" si="64"/>
        <v>1</v>
      </c>
      <c r="P385" s="633" t="s">
        <v>4859</v>
      </c>
      <c r="Q385" s="21">
        <f t="shared" si="65"/>
        <v>0.95</v>
      </c>
      <c r="R385" s="21">
        <f t="shared" ca="1" si="66"/>
        <v>17.649100000000001</v>
      </c>
      <c r="S385" s="307">
        <f t="shared" ca="1" si="57"/>
        <v>0</v>
      </c>
      <c r="T385" s="687"/>
    </row>
    <row r="386" spans="1:20">
      <c r="A386" s="631" t="str">
        <f>'5号楼'!B366</f>
        <v>B3183</v>
      </c>
      <c r="B386" s="631">
        <f>'5号楼'!C366</f>
        <v>52.93</v>
      </c>
      <c r="C386" s="21">
        <f t="shared" si="58"/>
        <v>1</v>
      </c>
      <c r="D386" s="633"/>
      <c r="E386" s="21">
        <f t="shared" si="59"/>
        <v>1</v>
      </c>
      <c r="F386" s="633"/>
      <c r="G386" s="21">
        <f t="shared" si="60"/>
        <v>1</v>
      </c>
      <c r="H386" s="633"/>
      <c r="I386" s="21">
        <f t="shared" si="61"/>
        <v>1</v>
      </c>
      <c r="J386" s="633"/>
      <c r="K386" s="21">
        <f t="shared" si="62"/>
        <v>1</v>
      </c>
      <c r="L386" s="633"/>
      <c r="M386" s="21">
        <f t="shared" si="63"/>
        <v>1</v>
      </c>
      <c r="N386" s="633"/>
      <c r="O386" s="21">
        <f t="shared" si="64"/>
        <v>1</v>
      </c>
      <c r="P386" s="633" t="s">
        <v>4859</v>
      </c>
      <c r="Q386" s="21">
        <f t="shared" si="65"/>
        <v>0.95</v>
      </c>
      <c r="R386" s="21">
        <f t="shared" ca="1" si="66"/>
        <v>17.649100000000001</v>
      </c>
      <c r="S386" s="307">
        <f t="shared" ca="1" si="57"/>
        <v>0</v>
      </c>
      <c r="T386" s="687"/>
    </row>
    <row r="387" spans="1:20">
      <c r="A387" s="631" t="str">
        <f>'5号楼'!B367</f>
        <v>B3184</v>
      </c>
      <c r="B387" s="631">
        <f>'5号楼'!C367</f>
        <v>52.93</v>
      </c>
      <c r="C387" s="21">
        <f t="shared" si="58"/>
        <v>1</v>
      </c>
      <c r="D387" s="633"/>
      <c r="E387" s="21">
        <f t="shared" si="59"/>
        <v>1</v>
      </c>
      <c r="F387" s="633"/>
      <c r="G387" s="21">
        <f t="shared" si="60"/>
        <v>1</v>
      </c>
      <c r="H387" s="633"/>
      <c r="I387" s="21">
        <f t="shared" si="61"/>
        <v>1</v>
      </c>
      <c r="J387" s="633"/>
      <c r="K387" s="21">
        <f t="shared" si="62"/>
        <v>1</v>
      </c>
      <c r="L387" s="633"/>
      <c r="M387" s="21">
        <f t="shared" si="63"/>
        <v>1</v>
      </c>
      <c r="N387" s="633"/>
      <c r="O387" s="21">
        <f t="shared" si="64"/>
        <v>1</v>
      </c>
      <c r="P387" s="633" t="s">
        <v>4859</v>
      </c>
      <c r="Q387" s="21">
        <f t="shared" si="65"/>
        <v>0.95</v>
      </c>
      <c r="R387" s="21">
        <f t="shared" ca="1" si="66"/>
        <v>17.649100000000001</v>
      </c>
      <c r="S387" s="307">
        <f t="shared" ca="1" si="57"/>
        <v>0</v>
      </c>
      <c r="T387" s="687"/>
    </row>
    <row r="388" spans="1:20">
      <c r="A388" s="631" t="str">
        <f>'5号楼'!B368</f>
        <v>B3185</v>
      </c>
      <c r="B388" s="631">
        <f>'5号楼'!C368</f>
        <v>50.93</v>
      </c>
      <c r="C388" s="21">
        <f t="shared" si="58"/>
        <v>1</v>
      </c>
      <c r="D388" s="633"/>
      <c r="E388" s="21">
        <f t="shared" si="59"/>
        <v>1</v>
      </c>
      <c r="F388" s="633"/>
      <c r="G388" s="21">
        <f t="shared" si="60"/>
        <v>1</v>
      </c>
      <c r="H388" s="633"/>
      <c r="I388" s="21">
        <f t="shared" si="61"/>
        <v>1</v>
      </c>
      <c r="J388" s="633"/>
      <c r="K388" s="21">
        <f t="shared" si="62"/>
        <v>1</v>
      </c>
      <c r="L388" s="633"/>
      <c r="M388" s="21">
        <f t="shared" si="63"/>
        <v>1</v>
      </c>
      <c r="N388" s="633"/>
      <c r="O388" s="21">
        <f t="shared" si="64"/>
        <v>1</v>
      </c>
      <c r="P388" s="633" t="s">
        <v>4859</v>
      </c>
      <c r="Q388" s="21">
        <f t="shared" si="65"/>
        <v>0.95</v>
      </c>
      <c r="R388" s="21">
        <f t="shared" ca="1" si="66"/>
        <v>17.649100000000001</v>
      </c>
      <c r="S388" s="307">
        <f t="shared" ca="1" si="57"/>
        <v>0</v>
      </c>
      <c r="T388" s="687"/>
    </row>
    <row r="389" spans="1:20">
      <c r="A389" s="631" t="str">
        <f>'5号楼'!B369</f>
        <v>B3186</v>
      </c>
      <c r="B389" s="631">
        <f>'5号楼'!C369</f>
        <v>50.93</v>
      </c>
      <c r="C389" s="21">
        <f t="shared" si="58"/>
        <v>1</v>
      </c>
      <c r="D389" s="633"/>
      <c r="E389" s="21">
        <f t="shared" si="59"/>
        <v>1</v>
      </c>
      <c r="F389" s="633"/>
      <c r="G389" s="21">
        <f t="shared" si="60"/>
        <v>1</v>
      </c>
      <c r="H389" s="633"/>
      <c r="I389" s="21">
        <f t="shared" si="61"/>
        <v>1</v>
      </c>
      <c r="J389" s="633"/>
      <c r="K389" s="21">
        <f t="shared" si="62"/>
        <v>1</v>
      </c>
      <c r="L389" s="633"/>
      <c r="M389" s="21">
        <f t="shared" si="63"/>
        <v>1</v>
      </c>
      <c r="N389" s="633"/>
      <c r="O389" s="21">
        <f t="shared" si="64"/>
        <v>1</v>
      </c>
      <c r="P389" s="633" t="s">
        <v>4859</v>
      </c>
      <c r="Q389" s="21">
        <f t="shared" si="65"/>
        <v>0.95</v>
      </c>
      <c r="R389" s="21">
        <f t="shared" ca="1" si="66"/>
        <v>17.649100000000001</v>
      </c>
      <c r="S389" s="307">
        <f t="shared" ca="1" si="57"/>
        <v>0</v>
      </c>
      <c r="T389" s="687"/>
    </row>
    <row r="390" spans="1:20">
      <c r="A390" s="631" t="str">
        <f>'5号楼'!B370</f>
        <v>B3187</v>
      </c>
      <c r="B390" s="631">
        <f>'5号楼'!C370</f>
        <v>50.93</v>
      </c>
      <c r="C390" s="21">
        <f t="shared" si="58"/>
        <v>1</v>
      </c>
      <c r="D390" s="633"/>
      <c r="E390" s="21">
        <f t="shared" si="59"/>
        <v>1</v>
      </c>
      <c r="F390" s="633"/>
      <c r="G390" s="21">
        <f t="shared" si="60"/>
        <v>1</v>
      </c>
      <c r="H390" s="633"/>
      <c r="I390" s="21">
        <f t="shared" si="61"/>
        <v>1</v>
      </c>
      <c r="J390" s="633"/>
      <c r="K390" s="21">
        <f t="shared" si="62"/>
        <v>1</v>
      </c>
      <c r="L390" s="633"/>
      <c r="M390" s="21">
        <f t="shared" si="63"/>
        <v>1</v>
      </c>
      <c r="N390" s="633"/>
      <c r="O390" s="21">
        <f t="shared" si="64"/>
        <v>1</v>
      </c>
      <c r="P390" s="633" t="s">
        <v>4859</v>
      </c>
      <c r="Q390" s="21">
        <f t="shared" si="65"/>
        <v>0.95</v>
      </c>
      <c r="R390" s="21">
        <f t="shared" ca="1" si="66"/>
        <v>17.649100000000001</v>
      </c>
      <c r="S390" s="307">
        <f t="shared" ca="1" si="57"/>
        <v>0</v>
      </c>
      <c r="T390" s="687"/>
    </row>
    <row r="391" spans="1:20">
      <c r="A391" s="631" t="str">
        <f>'5号楼'!B371</f>
        <v>B3188</v>
      </c>
      <c r="B391" s="631">
        <f>'5号楼'!C371</f>
        <v>50.93</v>
      </c>
      <c r="C391" s="21">
        <f t="shared" si="58"/>
        <v>1</v>
      </c>
      <c r="D391" s="633"/>
      <c r="E391" s="21">
        <f t="shared" si="59"/>
        <v>1</v>
      </c>
      <c r="F391" s="633"/>
      <c r="G391" s="21">
        <f t="shared" si="60"/>
        <v>1</v>
      </c>
      <c r="H391" s="633"/>
      <c r="I391" s="21">
        <f t="shared" si="61"/>
        <v>1</v>
      </c>
      <c r="J391" s="633"/>
      <c r="K391" s="21">
        <f t="shared" si="62"/>
        <v>1</v>
      </c>
      <c r="L391" s="633"/>
      <c r="M391" s="21">
        <f t="shared" si="63"/>
        <v>1</v>
      </c>
      <c r="N391" s="633"/>
      <c r="O391" s="21">
        <f t="shared" si="64"/>
        <v>1</v>
      </c>
      <c r="P391" s="633" t="s">
        <v>4859</v>
      </c>
      <c r="Q391" s="21">
        <f t="shared" si="65"/>
        <v>0.95</v>
      </c>
      <c r="R391" s="21">
        <f t="shared" ca="1" si="66"/>
        <v>17.649100000000001</v>
      </c>
      <c r="S391" s="307">
        <f t="shared" ca="1" si="57"/>
        <v>0</v>
      </c>
      <c r="T391" s="687"/>
    </row>
    <row r="392" spans="1:20">
      <c r="A392" s="631" t="str">
        <f>'5号楼'!B372</f>
        <v>B3189</v>
      </c>
      <c r="B392" s="631">
        <f>'5号楼'!C372</f>
        <v>50.93</v>
      </c>
      <c r="C392" s="21">
        <f t="shared" si="58"/>
        <v>1</v>
      </c>
      <c r="D392" s="633"/>
      <c r="E392" s="21">
        <f t="shared" si="59"/>
        <v>1</v>
      </c>
      <c r="F392" s="633"/>
      <c r="G392" s="21">
        <f t="shared" si="60"/>
        <v>1</v>
      </c>
      <c r="H392" s="633"/>
      <c r="I392" s="21">
        <f t="shared" si="61"/>
        <v>1</v>
      </c>
      <c r="J392" s="633"/>
      <c r="K392" s="21">
        <f t="shared" si="62"/>
        <v>1</v>
      </c>
      <c r="L392" s="633"/>
      <c r="M392" s="21">
        <f t="shared" si="63"/>
        <v>1</v>
      </c>
      <c r="N392" s="633"/>
      <c r="O392" s="21">
        <f t="shared" si="64"/>
        <v>1</v>
      </c>
      <c r="P392" s="633" t="s">
        <v>4859</v>
      </c>
      <c r="Q392" s="21">
        <f t="shared" si="65"/>
        <v>0.95</v>
      </c>
      <c r="R392" s="21">
        <f t="shared" ca="1" si="66"/>
        <v>17.649100000000001</v>
      </c>
      <c r="S392" s="307">
        <f t="shared" ca="1" si="57"/>
        <v>0</v>
      </c>
      <c r="T392" s="687"/>
    </row>
    <row r="393" spans="1:20">
      <c r="A393" s="631" t="str">
        <f>'5号楼'!B373</f>
        <v>B3190</v>
      </c>
      <c r="B393" s="631">
        <f>'5号楼'!C373</f>
        <v>50.93</v>
      </c>
      <c r="C393" s="21">
        <f t="shared" si="58"/>
        <v>1</v>
      </c>
      <c r="D393" s="633"/>
      <c r="E393" s="21">
        <f t="shared" si="59"/>
        <v>1</v>
      </c>
      <c r="F393" s="633"/>
      <c r="G393" s="21">
        <f t="shared" si="60"/>
        <v>1</v>
      </c>
      <c r="H393" s="633"/>
      <c r="I393" s="21">
        <f t="shared" si="61"/>
        <v>1</v>
      </c>
      <c r="J393" s="633"/>
      <c r="K393" s="21">
        <f t="shared" si="62"/>
        <v>1</v>
      </c>
      <c r="L393" s="633"/>
      <c r="M393" s="21">
        <f t="shared" si="63"/>
        <v>1</v>
      </c>
      <c r="N393" s="633"/>
      <c r="O393" s="21">
        <f t="shared" si="64"/>
        <v>1</v>
      </c>
      <c r="P393" s="633" t="s">
        <v>4859</v>
      </c>
      <c r="Q393" s="21">
        <f t="shared" si="65"/>
        <v>0.95</v>
      </c>
      <c r="R393" s="21">
        <f t="shared" ca="1" si="66"/>
        <v>17.649100000000001</v>
      </c>
      <c r="S393" s="307">
        <f t="shared" ca="1" si="57"/>
        <v>0</v>
      </c>
      <c r="T393" s="687"/>
    </row>
    <row r="394" spans="1:20">
      <c r="A394" s="631" t="str">
        <f>'5号楼'!B374</f>
        <v>B3191</v>
      </c>
      <c r="B394" s="631">
        <f>'5号楼'!C374</f>
        <v>50.93</v>
      </c>
      <c r="C394" s="21">
        <f t="shared" si="58"/>
        <v>1</v>
      </c>
      <c r="D394" s="633"/>
      <c r="E394" s="21">
        <f t="shared" si="59"/>
        <v>1</v>
      </c>
      <c r="F394" s="633"/>
      <c r="G394" s="21">
        <f t="shared" si="60"/>
        <v>1</v>
      </c>
      <c r="H394" s="633"/>
      <c r="I394" s="21">
        <f t="shared" si="61"/>
        <v>1</v>
      </c>
      <c r="J394" s="633"/>
      <c r="K394" s="21">
        <f t="shared" si="62"/>
        <v>1</v>
      </c>
      <c r="L394" s="633"/>
      <c r="M394" s="21">
        <f t="shared" si="63"/>
        <v>1</v>
      </c>
      <c r="N394" s="633"/>
      <c r="O394" s="21">
        <f t="shared" si="64"/>
        <v>1</v>
      </c>
      <c r="P394" s="633" t="s">
        <v>4859</v>
      </c>
      <c r="Q394" s="21">
        <f t="shared" si="65"/>
        <v>0.95</v>
      </c>
      <c r="R394" s="21">
        <f t="shared" ca="1" si="66"/>
        <v>17.649100000000001</v>
      </c>
      <c r="S394" s="307">
        <f t="shared" ca="1" si="57"/>
        <v>0</v>
      </c>
      <c r="T394" s="687"/>
    </row>
    <row r="395" spans="1:20">
      <c r="A395" s="631" t="str">
        <f>'5号楼'!B375</f>
        <v>B3192</v>
      </c>
      <c r="B395" s="631">
        <f>'5号楼'!C375</f>
        <v>50.93</v>
      </c>
      <c r="C395" s="21">
        <f t="shared" si="58"/>
        <v>1</v>
      </c>
      <c r="D395" s="633"/>
      <c r="E395" s="21">
        <f t="shared" si="59"/>
        <v>1</v>
      </c>
      <c r="F395" s="633"/>
      <c r="G395" s="21">
        <f t="shared" si="60"/>
        <v>1</v>
      </c>
      <c r="H395" s="633"/>
      <c r="I395" s="21">
        <f t="shared" si="61"/>
        <v>1</v>
      </c>
      <c r="J395" s="633"/>
      <c r="K395" s="21">
        <f t="shared" si="62"/>
        <v>1</v>
      </c>
      <c r="L395" s="633"/>
      <c r="M395" s="21">
        <f t="shared" si="63"/>
        <v>1</v>
      </c>
      <c r="N395" s="633"/>
      <c r="O395" s="21">
        <f t="shared" si="64"/>
        <v>1</v>
      </c>
      <c r="P395" s="633" t="s">
        <v>4859</v>
      </c>
      <c r="Q395" s="21">
        <f t="shared" si="65"/>
        <v>0.95</v>
      </c>
      <c r="R395" s="21">
        <f t="shared" ca="1" si="66"/>
        <v>17.649100000000001</v>
      </c>
      <c r="S395" s="307">
        <f t="shared" ca="1" si="57"/>
        <v>0</v>
      </c>
      <c r="T395" s="687"/>
    </row>
    <row r="396" spans="1:20">
      <c r="A396" s="631" t="str">
        <f>'5号楼'!B376</f>
        <v>B3193</v>
      </c>
      <c r="B396" s="631">
        <f>'5号楼'!C376</f>
        <v>50.93</v>
      </c>
      <c r="C396" s="21">
        <f t="shared" si="58"/>
        <v>1</v>
      </c>
      <c r="D396" s="633"/>
      <c r="E396" s="21">
        <f t="shared" si="59"/>
        <v>1</v>
      </c>
      <c r="F396" s="633"/>
      <c r="G396" s="21">
        <f t="shared" si="60"/>
        <v>1</v>
      </c>
      <c r="H396" s="633"/>
      <c r="I396" s="21">
        <f t="shared" si="61"/>
        <v>1</v>
      </c>
      <c r="J396" s="633"/>
      <c r="K396" s="21">
        <f t="shared" si="62"/>
        <v>1</v>
      </c>
      <c r="L396" s="633"/>
      <c r="M396" s="21">
        <f t="shared" si="63"/>
        <v>1</v>
      </c>
      <c r="N396" s="633"/>
      <c r="O396" s="21">
        <f t="shared" si="64"/>
        <v>1</v>
      </c>
      <c r="P396" s="633" t="s">
        <v>4859</v>
      </c>
      <c r="Q396" s="21">
        <f t="shared" si="65"/>
        <v>0.95</v>
      </c>
      <c r="R396" s="21">
        <f t="shared" ca="1" si="66"/>
        <v>17.649100000000001</v>
      </c>
      <c r="S396" s="307">
        <f t="shared" ca="1" si="57"/>
        <v>0</v>
      </c>
      <c r="T396" s="687"/>
    </row>
    <row r="397" spans="1:20">
      <c r="A397" s="631" t="str">
        <f>'5号楼'!B377</f>
        <v>B3194</v>
      </c>
      <c r="B397" s="631">
        <f>'5号楼'!C377</f>
        <v>50.93</v>
      </c>
      <c r="C397" s="21">
        <f t="shared" si="58"/>
        <v>1</v>
      </c>
      <c r="D397" s="633"/>
      <c r="E397" s="21">
        <f t="shared" si="59"/>
        <v>1</v>
      </c>
      <c r="F397" s="633"/>
      <c r="G397" s="21">
        <f t="shared" si="60"/>
        <v>1</v>
      </c>
      <c r="H397" s="633"/>
      <c r="I397" s="21">
        <f t="shared" si="61"/>
        <v>1</v>
      </c>
      <c r="J397" s="633"/>
      <c r="K397" s="21">
        <f t="shared" si="62"/>
        <v>1</v>
      </c>
      <c r="L397" s="633"/>
      <c r="M397" s="21">
        <f t="shared" si="63"/>
        <v>1</v>
      </c>
      <c r="N397" s="633"/>
      <c r="O397" s="21">
        <f t="shared" si="64"/>
        <v>1</v>
      </c>
      <c r="P397" s="633" t="s">
        <v>4859</v>
      </c>
      <c r="Q397" s="21">
        <f t="shared" si="65"/>
        <v>0.95</v>
      </c>
      <c r="R397" s="21">
        <f t="shared" ca="1" si="66"/>
        <v>17.649100000000001</v>
      </c>
      <c r="S397" s="307">
        <f t="shared" ca="1" si="57"/>
        <v>0</v>
      </c>
      <c r="T397" s="687"/>
    </row>
    <row r="398" spans="1:20">
      <c r="A398" s="631" t="str">
        <f>'5号楼'!B378</f>
        <v>B3195</v>
      </c>
      <c r="B398" s="631">
        <f>'5号楼'!C378</f>
        <v>50.93</v>
      </c>
      <c r="C398" s="21">
        <f t="shared" si="58"/>
        <v>1</v>
      </c>
      <c r="D398" s="633"/>
      <c r="E398" s="21">
        <f t="shared" si="59"/>
        <v>1</v>
      </c>
      <c r="F398" s="633"/>
      <c r="G398" s="21">
        <f t="shared" si="60"/>
        <v>1</v>
      </c>
      <c r="H398" s="633"/>
      <c r="I398" s="21">
        <f t="shared" si="61"/>
        <v>1</v>
      </c>
      <c r="J398" s="633"/>
      <c r="K398" s="21">
        <f t="shared" si="62"/>
        <v>1</v>
      </c>
      <c r="L398" s="633"/>
      <c r="M398" s="21">
        <f t="shared" si="63"/>
        <v>1</v>
      </c>
      <c r="N398" s="633"/>
      <c r="O398" s="21">
        <f t="shared" si="64"/>
        <v>1</v>
      </c>
      <c r="P398" s="633" t="s">
        <v>4859</v>
      </c>
      <c r="Q398" s="21">
        <f t="shared" si="65"/>
        <v>0.95</v>
      </c>
      <c r="R398" s="21">
        <f t="shared" ca="1" si="66"/>
        <v>17.649100000000001</v>
      </c>
      <c r="S398" s="307">
        <f t="shared" ca="1" si="57"/>
        <v>0</v>
      </c>
      <c r="T398" s="687"/>
    </row>
    <row r="399" spans="1:20">
      <c r="A399" s="631" t="str">
        <f>'5号楼'!B379</f>
        <v>B3196</v>
      </c>
      <c r="B399" s="631">
        <f>'5号楼'!C379</f>
        <v>50.93</v>
      </c>
      <c r="C399" s="21">
        <f t="shared" si="58"/>
        <v>1</v>
      </c>
      <c r="D399" s="633"/>
      <c r="E399" s="21">
        <f t="shared" si="59"/>
        <v>1</v>
      </c>
      <c r="F399" s="633"/>
      <c r="G399" s="21">
        <f t="shared" si="60"/>
        <v>1</v>
      </c>
      <c r="H399" s="633"/>
      <c r="I399" s="21">
        <f t="shared" si="61"/>
        <v>1</v>
      </c>
      <c r="J399" s="633"/>
      <c r="K399" s="21">
        <f t="shared" si="62"/>
        <v>1</v>
      </c>
      <c r="L399" s="633"/>
      <c r="M399" s="21">
        <f t="shared" si="63"/>
        <v>1</v>
      </c>
      <c r="N399" s="633"/>
      <c r="O399" s="21">
        <f t="shared" si="64"/>
        <v>1</v>
      </c>
      <c r="P399" s="633" t="s">
        <v>4859</v>
      </c>
      <c r="Q399" s="21">
        <f t="shared" si="65"/>
        <v>0.95</v>
      </c>
      <c r="R399" s="21">
        <f t="shared" ca="1" si="66"/>
        <v>17.649100000000001</v>
      </c>
      <c r="S399" s="307">
        <f t="shared" ca="1" si="57"/>
        <v>0</v>
      </c>
      <c r="T399" s="687"/>
    </row>
    <row r="400" spans="1:20">
      <c r="A400" s="631" t="str">
        <f>'5号楼'!B380</f>
        <v>B3197</v>
      </c>
      <c r="B400" s="631">
        <f>'5号楼'!C380</f>
        <v>50.93</v>
      </c>
      <c r="C400" s="21">
        <f t="shared" si="58"/>
        <v>1</v>
      </c>
      <c r="D400" s="633"/>
      <c r="E400" s="21">
        <f t="shared" si="59"/>
        <v>1</v>
      </c>
      <c r="F400" s="633"/>
      <c r="G400" s="21">
        <f t="shared" si="60"/>
        <v>1</v>
      </c>
      <c r="H400" s="633"/>
      <c r="I400" s="21">
        <f t="shared" si="61"/>
        <v>1</v>
      </c>
      <c r="J400" s="633"/>
      <c r="K400" s="21">
        <f t="shared" si="62"/>
        <v>1</v>
      </c>
      <c r="L400" s="633"/>
      <c r="M400" s="21">
        <f t="shared" si="63"/>
        <v>1</v>
      </c>
      <c r="N400" s="633"/>
      <c r="O400" s="21">
        <f t="shared" si="64"/>
        <v>1</v>
      </c>
      <c r="P400" s="633" t="s">
        <v>4859</v>
      </c>
      <c r="Q400" s="21">
        <f t="shared" si="65"/>
        <v>0.95</v>
      </c>
      <c r="R400" s="21">
        <f t="shared" ca="1" si="66"/>
        <v>17.649100000000001</v>
      </c>
      <c r="S400" s="307">
        <f t="shared" ca="1" si="57"/>
        <v>0</v>
      </c>
      <c r="T400" s="687"/>
    </row>
    <row r="401" spans="1:20">
      <c r="A401" s="631" t="str">
        <f>'5号楼'!B381</f>
        <v>B3198</v>
      </c>
      <c r="B401" s="631">
        <f>'5号楼'!C381</f>
        <v>50.93</v>
      </c>
      <c r="C401" s="21">
        <f t="shared" si="58"/>
        <v>1</v>
      </c>
      <c r="D401" s="633"/>
      <c r="E401" s="21">
        <f t="shared" si="59"/>
        <v>1</v>
      </c>
      <c r="F401" s="633"/>
      <c r="G401" s="21">
        <f t="shared" si="60"/>
        <v>1</v>
      </c>
      <c r="H401" s="633"/>
      <c r="I401" s="21">
        <f t="shared" si="61"/>
        <v>1</v>
      </c>
      <c r="J401" s="633"/>
      <c r="K401" s="21">
        <f t="shared" si="62"/>
        <v>1</v>
      </c>
      <c r="L401" s="633"/>
      <c r="M401" s="21">
        <f t="shared" si="63"/>
        <v>1</v>
      </c>
      <c r="N401" s="633"/>
      <c r="O401" s="21">
        <f t="shared" si="64"/>
        <v>1</v>
      </c>
      <c r="P401" s="633" t="s">
        <v>4859</v>
      </c>
      <c r="Q401" s="21">
        <f t="shared" si="65"/>
        <v>0.95</v>
      </c>
      <c r="R401" s="21">
        <f t="shared" ca="1" si="66"/>
        <v>17.649100000000001</v>
      </c>
      <c r="S401" s="307">
        <f t="shared" ca="1" si="57"/>
        <v>0</v>
      </c>
      <c r="T401" s="687"/>
    </row>
    <row r="402" spans="1:20">
      <c r="A402" s="631" t="str">
        <f>'5号楼'!B382</f>
        <v>B3199</v>
      </c>
      <c r="B402" s="631">
        <f>'5号楼'!C382</f>
        <v>50.93</v>
      </c>
      <c r="C402" s="21">
        <f t="shared" si="58"/>
        <v>1</v>
      </c>
      <c r="D402" s="633"/>
      <c r="E402" s="21">
        <f t="shared" si="59"/>
        <v>1</v>
      </c>
      <c r="F402" s="633"/>
      <c r="G402" s="21">
        <f t="shared" si="60"/>
        <v>1</v>
      </c>
      <c r="H402" s="633"/>
      <c r="I402" s="21">
        <f t="shared" si="61"/>
        <v>1</v>
      </c>
      <c r="J402" s="633"/>
      <c r="K402" s="21">
        <f t="shared" si="62"/>
        <v>1</v>
      </c>
      <c r="L402" s="633"/>
      <c r="M402" s="21">
        <f t="shared" si="63"/>
        <v>1</v>
      </c>
      <c r="N402" s="633"/>
      <c r="O402" s="21">
        <f t="shared" si="64"/>
        <v>1</v>
      </c>
      <c r="P402" s="633" t="s">
        <v>4859</v>
      </c>
      <c r="Q402" s="21">
        <f t="shared" si="65"/>
        <v>0.95</v>
      </c>
      <c r="R402" s="21">
        <f t="shared" ca="1" si="66"/>
        <v>17.649100000000001</v>
      </c>
      <c r="S402" s="307">
        <f t="shared" ca="1" si="57"/>
        <v>0</v>
      </c>
      <c r="T402" s="687"/>
    </row>
    <row r="403" spans="1:20">
      <c r="A403" s="631" t="str">
        <f>'5号楼'!B383</f>
        <v>B3200</v>
      </c>
      <c r="B403" s="631">
        <f>'5号楼'!C383</f>
        <v>50.93</v>
      </c>
      <c r="C403" s="21">
        <f t="shared" si="58"/>
        <v>1</v>
      </c>
      <c r="D403" s="633"/>
      <c r="E403" s="21">
        <f t="shared" si="59"/>
        <v>1</v>
      </c>
      <c r="F403" s="633"/>
      <c r="G403" s="21">
        <f t="shared" si="60"/>
        <v>1</v>
      </c>
      <c r="H403" s="633"/>
      <c r="I403" s="21">
        <f t="shared" si="61"/>
        <v>1</v>
      </c>
      <c r="J403" s="633"/>
      <c r="K403" s="21">
        <f t="shared" si="62"/>
        <v>1</v>
      </c>
      <c r="L403" s="633"/>
      <c r="M403" s="21">
        <f t="shared" si="63"/>
        <v>1</v>
      </c>
      <c r="N403" s="633"/>
      <c r="O403" s="21">
        <f t="shared" si="64"/>
        <v>1</v>
      </c>
      <c r="P403" s="633" t="s">
        <v>4859</v>
      </c>
      <c r="Q403" s="21">
        <f t="shared" si="65"/>
        <v>0.95</v>
      </c>
      <c r="R403" s="21">
        <f t="shared" ca="1" si="66"/>
        <v>17.649100000000001</v>
      </c>
      <c r="S403" s="307">
        <f t="shared" ca="1" si="57"/>
        <v>0</v>
      </c>
      <c r="T403" s="687"/>
    </row>
    <row r="404" spans="1:20">
      <c r="A404" s="631" t="str">
        <f>'5号楼'!B384</f>
        <v>B3201</v>
      </c>
      <c r="B404" s="631">
        <f>'5号楼'!C384</f>
        <v>50.93</v>
      </c>
      <c r="C404" s="21">
        <f t="shared" si="58"/>
        <v>1</v>
      </c>
      <c r="D404" s="633"/>
      <c r="E404" s="21">
        <f t="shared" si="59"/>
        <v>1</v>
      </c>
      <c r="F404" s="633"/>
      <c r="G404" s="21">
        <f t="shared" si="60"/>
        <v>1</v>
      </c>
      <c r="H404" s="633"/>
      <c r="I404" s="21">
        <f t="shared" si="61"/>
        <v>1</v>
      </c>
      <c r="J404" s="633"/>
      <c r="K404" s="21">
        <f t="shared" si="62"/>
        <v>1</v>
      </c>
      <c r="L404" s="633"/>
      <c r="M404" s="21">
        <f t="shared" si="63"/>
        <v>1</v>
      </c>
      <c r="N404" s="633"/>
      <c r="O404" s="21">
        <f t="shared" si="64"/>
        <v>1</v>
      </c>
      <c r="P404" s="633" t="s">
        <v>4859</v>
      </c>
      <c r="Q404" s="21">
        <f t="shared" si="65"/>
        <v>0.95</v>
      </c>
      <c r="R404" s="21">
        <f t="shared" ca="1" si="66"/>
        <v>17.649100000000001</v>
      </c>
      <c r="S404" s="307">
        <f t="shared" ca="1" si="57"/>
        <v>0</v>
      </c>
      <c r="T404" s="687"/>
    </row>
    <row r="405" spans="1:20">
      <c r="A405" s="631" t="str">
        <f>'5号楼'!B385</f>
        <v>B3202</v>
      </c>
      <c r="B405" s="631">
        <f>'5号楼'!C385</f>
        <v>50.93</v>
      </c>
      <c r="C405" s="21">
        <f t="shared" si="58"/>
        <v>1</v>
      </c>
      <c r="D405" s="633"/>
      <c r="E405" s="21">
        <f t="shared" si="59"/>
        <v>1</v>
      </c>
      <c r="F405" s="633"/>
      <c r="G405" s="21">
        <f t="shared" si="60"/>
        <v>1</v>
      </c>
      <c r="H405" s="633"/>
      <c r="I405" s="21">
        <f t="shared" si="61"/>
        <v>1</v>
      </c>
      <c r="J405" s="633"/>
      <c r="K405" s="21">
        <f t="shared" si="62"/>
        <v>1</v>
      </c>
      <c r="L405" s="633"/>
      <c r="M405" s="21">
        <f t="shared" si="63"/>
        <v>1</v>
      </c>
      <c r="N405" s="633"/>
      <c r="O405" s="21">
        <f t="shared" si="64"/>
        <v>1</v>
      </c>
      <c r="P405" s="633" t="s">
        <v>4859</v>
      </c>
      <c r="Q405" s="21">
        <f t="shared" si="65"/>
        <v>0.95</v>
      </c>
      <c r="R405" s="21">
        <f t="shared" ca="1" si="66"/>
        <v>17.649100000000001</v>
      </c>
      <c r="S405" s="307">
        <f t="shared" ca="1" si="57"/>
        <v>0</v>
      </c>
      <c r="T405" s="687"/>
    </row>
    <row r="406" spans="1:20">
      <c r="A406" s="631" t="str">
        <f>'5号楼'!B386</f>
        <v>B3203</v>
      </c>
      <c r="B406" s="631">
        <f>'5号楼'!C386</f>
        <v>50.93</v>
      </c>
      <c r="C406" s="21">
        <f t="shared" si="58"/>
        <v>1</v>
      </c>
      <c r="D406" s="633"/>
      <c r="E406" s="21">
        <f t="shared" si="59"/>
        <v>1</v>
      </c>
      <c r="F406" s="633"/>
      <c r="G406" s="21">
        <f t="shared" si="60"/>
        <v>1</v>
      </c>
      <c r="H406" s="633"/>
      <c r="I406" s="21">
        <f t="shared" si="61"/>
        <v>1</v>
      </c>
      <c r="J406" s="633"/>
      <c r="K406" s="21">
        <f t="shared" si="62"/>
        <v>1</v>
      </c>
      <c r="L406" s="633"/>
      <c r="M406" s="21">
        <f t="shared" si="63"/>
        <v>1</v>
      </c>
      <c r="N406" s="633"/>
      <c r="O406" s="21">
        <f t="shared" si="64"/>
        <v>1</v>
      </c>
      <c r="P406" s="633" t="s">
        <v>4859</v>
      </c>
      <c r="Q406" s="21">
        <f t="shared" si="65"/>
        <v>0.95</v>
      </c>
      <c r="R406" s="21">
        <f t="shared" ca="1" si="66"/>
        <v>17.649100000000001</v>
      </c>
      <c r="S406" s="307">
        <f t="shared" ca="1" si="57"/>
        <v>0</v>
      </c>
      <c r="T406" s="687"/>
    </row>
    <row r="407" spans="1:20">
      <c r="A407" s="631" t="str">
        <f>'5号楼'!B387</f>
        <v>B3204</v>
      </c>
      <c r="B407" s="631">
        <f>'5号楼'!C387</f>
        <v>50.93</v>
      </c>
      <c r="C407" s="21">
        <f t="shared" si="58"/>
        <v>1</v>
      </c>
      <c r="D407" s="633"/>
      <c r="E407" s="21">
        <f t="shared" si="59"/>
        <v>1</v>
      </c>
      <c r="F407" s="633"/>
      <c r="G407" s="21">
        <f t="shared" si="60"/>
        <v>1</v>
      </c>
      <c r="H407" s="633"/>
      <c r="I407" s="21">
        <f t="shared" si="61"/>
        <v>1</v>
      </c>
      <c r="J407" s="633"/>
      <c r="K407" s="21">
        <f t="shared" si="62"/>
        <v>1</v>
      </c>
      <c r="L407" s="633"/>
      <c r="M407" s="21">
        <f t="shared" si="63"/>
        <v>1</v>
      </c>
      <c r="N407" s="633"/>
      <c r="O407" s="21">
        <f t="shared" si="64"/>
        <v>1</v>
      </c>
      <c r="P407" s="633" t="s">
        <v>4859</v>
      </c>
      <c r="Q407" s="21">
        <f t="shared" si="65"/>
        <v>0.95</v>
      </c>
      <c r="R407" s="21">
        <f t="shared" ca="1" si="66"/>
        <v>17.649100000000001</v>
      </c>
      <c r="S407" s="307">
        <f t="shared" ca="1" si="57"/>
        <v>0</v>
      </c>
      <c r="T407" s="687"/>
    </row>
    <row r="408" spans="1:20">
      <c r="A408" s="631" t="str">
        <f>'5号楼'!B388</f>
        <v>B3205</v>
      </c>
      <c r="B408" s="631">
        <f>'5号楼'!C388</f>
        <v>50.93</v>
      </c>
      <c r="C408" s="21">
        <f t="shared" si="58"/>
        <v>1</v>
      </c>
      <c r="D408" s="633"/>
      <c r="E408" s="21">
        <f t="shared" si="59"/>
        <v>1</v>
      </c>
      <c r="F408" s="633"/>
      <c r="G408" s="21">
        <f t="shared" si="60"/>
        <v>1</v>
      </c>
      <c r="H408" s="633"/>
      <c r="I408" s="21">
        <f t="shared" si="61"/>
        <v>1</v>
      </c>
      <c r="J408" s="633"/>
      <c r="K408" s="21">
        <f t="shared" si="62"/>
        <v>1</v>
      </c>
      <c r="L408" s="633"/>
      <c r="M408" s="21">
        <f t="shared" si="63"/>
        <v>1</v>
      </c>
      <c r="N408" s="633"/>
      <c r="O408" s="21">
        <f t="shared" si="64"/>
        <v>1</v>
      </c>
      <c r="P408" s="633" t="s">
        <v>4859</v>
      </c>
      <c r="Q408" s="21">
        <f t="shared" si="65"/>
        <v>0.95</v>
      </c>
      <c r="R408" s="21">
        <f t="shared" ca="1" si="66"/>
        <v>17.649100000000001</v>
      </c>
      <c r="S408" s="307">
        <f t="shared" ref="S408:S471" ca="1" si="67">ROUND(R408*B408/10000,0)</f>
        <v>0</v>
      </c>
      <c r="T408" s="687"/>
    </row>
    <row r="409" spans="1:20">
      <c r="A409" s="631" t="str">
        <f>'5号楼'!B389</f>
        <v>B3206</v>
      </c>
      <c r="B409" s="631">
        <f>'5号楼'!C389</f>
        <v>50.93</v>
      </c>
      <c r="C409" s="21">
        <f t="shared" si="58"/>
        <v>1</v>
      </c>
      <c r="D409" s="633"/>
      <c r="E409" s="21">
        <f t="shared" si="59"/>
        <v>1</v>
      </c>
      <c r="F409" s="633"/>
      <c r="G409" s="21">
        <f t="shared" si="60"/>
        <v>1</v>
      </c>
      <c r="H409" s="633"/>
      <c r="I409" s="21">
        <f t="shared" si="61"/>
        <v>1</v>
      </c>
      <c r="J409" s="633"/>
      <c r="K409" s="21">
        <f t="shared" si="62"/>
        <v>1</v>
      </c>
      <c r="L409" s="633"/>
      <c r="M409" s="21">
        <f t="shared" si="63"/>
        <v>1</v>
      </c>
      <c r="N409" s="633"/>
      <c r="O409" s="21">
        <f t="shared" si="64"/>
        <v>1</v>
      </c>
      <c r="P409" s="633" t="s">
        <v>4859</v>
      </c>
      <c r="Q409" s="21">
        <f t="shared" si="65"/>
        <v>0.95</v>
      </c>
      <c r="R409" s="21">
        <f t="shared" ca="1" si="66"/>
        <v>17.649100000000001</v>
      </c>
      <c r="S409" s="307">
        <f t="shared" ca="1" si="67"/>
        <v>0</v>
      </c>
      <c r="T409" s="687"/>
    </row>
    <row r="410" spans="1:20">
      <c r="A410" s="631" t="str">
        <f>'5号楼'!B390</f>
        <v>B3207</v>
      </c>
      <c r="B410" s="631">
        <f>'5号楼'!C390</f>
        <v>50.93</v>
      </c>
      <c r="C410" s="21">
        <f t="shared" ref="C410:C473" si="68">IF(B410="",1,(LOOKUP(B410,$3:$3,$4:$4)-LOOKUP($B$24,$3:$3,$4:$4)+100)/100)</f>
        <v>1</v>
      </c>
      <c r="D410" s="633"/>
      <c r="E410" s="21">
        <f t="shared" ref="E410:E473" si="69">(SUMIF($5:$5,D410,$6:$6)-SUMIF($5:$5,$D$24,$6:$6)+100)/100</f>
        <v>1</v>
      </c>
      <c r="F410" s="633"/>
      <c r="G410" s="21">
        <f t="shared" ref="G410:G473" si="70">(SUMIF($7:$7,F410,$8:$8)-SUMIF($7:$7,$F$24,$8:$8)+100)/100</f>
        <v>1</v>
      </c>
      <c r="H410" s="633"/>
      <c r="I410" s="21">
        <f t="shared" ref="I410:I473" si="71">(SUMIF($9:$9,H410,$10:$10)-SUMIF($9:$9,$H$24,$10:$10)+100)/100</f>
        <v>1</v>
      </c>
      <c r="J410" s="633"/>
      <c r="K410" s="21">
        <f t="shared" ref="K410:K473" si="72">(SUMIF($11:$11,J410,$12:$12)-SUMIF($11:$11,$J$24,$12:$12)+100)/100</f>
        <v>1</v>
      </c>
      <c r="L410" s="633"/>
      <c r="M410" s="21">
        <f t="shared" ref="M410:M473" si="73">(SUMIF($13:$13,L410,$14:$14)-SUMIF($13:$13,$L$24,$14:$14)+100)/100</f>
        <v>1</v>
      </c>
      <c r="N410" s="633"/>
      <c r="O410" s="21">
        <f t="shared" ref="O410:O473" si="74">(SUMIF($15:$15,N410,$16:$16)-SUMIF($15:$15,$N$24,$16:$16)+100)/100</f>
        <v>1</v>
      </c>
      <c r="P410" s="633" t="s">
        <v>4859</v>
      </c>
      <c r="Q410" s="21">
        <f t="shared" ref="Q410:Q473" si="75">(SUMIF($17:$17,P410,$18:$18)-SUMIF($17:$17,$P$24,$18:$18)+100)/100</f>
        <v>0.95</v>
      </c>
      <c r="R410" s="21">
        <f t="shared" ref="R410:R473" ca="1" si="76">IF(B410="",0,ROUND($R$24*C410*E410*G410*I410*K410*M410*O410*Q410,4))</f>
        <v>17.649100000000001</v>
      </c>
      <c r="S410" s="307">
        <f t="shared" ca="1" si="67"/>
        <v>0</v>
      </c>
      <c r="T410" s="687"/>
    </row>
    <row r="411" spans="1:20">
      <c r="A411" s="631" t="str">
        <f>'5号楼'!B391</f>
        <v>B3208</v>
      </c>
      <c r="B411" s="631">
        <f>'5号楼'!C391</f>
        <v>50.93</v>
      </c>
      <c r="C411" s="21">
        <f t="shared" si="68"/>
        <v>1</v>
      </c>
      <c r="D411" s="633"/>
      <c r="E411" s="21">
        <f t="shared" si="69"/>
        <v>1</v>
      </c>
      <c r="F411" s="633"/>
      <c r="G411" s="21">
        <f t="shared" si="70"/>
        <v>1</v>
      </c>
      <c r="H411" s="633"/>
      <c r="I411" s="21">
        <f t="shared" si="71"/>
        <v>1</v>
      </c>
      <c r="J411" s="633"/>
      <c r="K411" s="21">
        <f t="shared" si="72"/>
        <v>1</v>
      </c>
      <c r="L411" s="633"/>
      <c r="M411" s="21">
        <f t="shared" si="73"/>
        <v>1</v>
      </c>
      <c r="N411" s="633"/>
      <c r="O411" s="21">
        <f t="shared" si="74"/>
        <v>1</v>
      </c>
      <c r="P411" s="633" t="s">
        <v>4859</v>
      </c>
      <c r="Q411" s="21">
        <f t="shared" si="75"/>
        <v>0.95</v>
      </c>
      <c r="R411" s="21">
        <f t="shared" ca="1" si="76"/>
        <v>17.649100000000001</v>
      </c>
      <c r="S411" s="307">
        <f t="shared" ca="1" si="67"/>
        <v>0</v>
      </c>
      <c r="T411" s="687"/>
    </row>
    <row r="412" spans="1:20">
      <c r="A412" s="631" t="str">
        <f>'5号楼'!B392</f>
        <v>B3209</v>
      </c>
      <c r="B412" s="631">
        <f>'5号楼'!C392</f>
        <v>50.93</v>
      </c>
      <c r="C412" s="21">
        <f t="shared" si="68"/>
        <v>1</v>
      </c>
      <c r="D412" s="633"/>
      <c r="E412" s="21">
        <f t="shared" si="69"/>
        <v>1</v>
      </c>
      <c r="F412" s="633"/>
      <c r="G412" s="21">
        <f t="shared" si="70"/>
        <v>1</v>
      </c>
      <c r="H412" s="633"/>
      <c r="I412" s="21">
        <f t="shared" si="71"/>
        <v>1</v>
      </c>
      <c r="J412" s="633"/>
      <c r="K412" s="21">
        <f t="shared" si="72"/>
        <v>1</v>
      </c>
      <c r="L412" s="633"/>
      <c r="M412" s="21">
        <f t="shared" si="73"/>
        <v>1</v>
      </c>
      <c r="N412" s="633"/>
      <c r="O412" s="21">
        <f t="shared" si="74"/>
        <v>1</v>
      </c>
      <c r="P412" s="633" t="s">
        <v>4859</v>
      </c>
      <c r="Q412" s="21">
        <f t="shared" si="75"/>
        <v>0.95</v>
      </c>
      <c r="R412" s="21">
        <f t="shared" ca="1" si="76"/>
        <v>17.649100000000001</v>
      </c>
      <c r="S412" s="307">
        <f t="shared" ca="1" si="67"/>
        <v>0</v>
      </c>
      <c r="T412" s="687"/>
    </row>
    <row r="413" spans="1:20">
      <c r="A413" s="631" t="str">
        <f>'5号楼'!B393</f>
        <v>B3210</v>
      </c>
      <c r="B413" s="631">
        <f>'5号楼'!C393</f>
        <v>50.93</v>
      </c>
      <c r="C413" s="21">
        <f t="shared" si="68"/>
        <v>1</v>
      </c>
      <c r="D413" s="633"/>
      <c r="E413" s="21">
        <f t="shared" si="69"/>
        <v>1</v>
      </c>
      <c r="F413" s="633"/>
      <c r="G413" s="21">
        <f t="shared" si="70"/>
        <v>1</v>
      </c>
      <c r="H413" s="633"/>
      <c r="I413" s="21">
        <f t="shared" si="71"/>
        <v>1</v>
      </c>
      <c r="J413" s="633"/>
      <c r="K413" s="21">
        <f t="shared" si="72"/>
        <v>1</v>
      </c>
      <c r="L413" s="633"/>
      <c r="M413" s="21">
        <f t="shared" si="73"/>
        <v>1</v>
      </c>
      <c r="N413" s="633"/>
      <c r="O413" s="21">
        <f t="shared" si="74"/>
        <v>1</v>
      </c>
      <c r="P413" s="633" t="s">
        <v>4859</v>
      </c>
      <c r="Q413" s="21">
        <f t="shared" si="75"/>
        <v>0.95</v>
      </c>
      <c r="R413" s="21">
        <f t="shared" ca="1" si="76"/>
        <v>17.649100000000001</v>
      </c>
      <c r="S413" s="307">
        <f t="shared" ca="1" si="67"/>
        <v>0</v>
      </c>
      <c r="T413" s="687"/>
    </row>
    <row r="414" spans="1:20">
      <c r="A414" s="631" t="str">
        <f>'5号楼'!B394</f>
        <v>B3211</v>
      </c>
      <c r="B414" s="631">
        <f>'5号楼'!C394</f>
        <v>52.93</v>
      </c>
      <c r="C414" s="21">
        <f t="shared" si="68"/>
        <v>1</v>
      </c>
      <c r="D414" s="633"/>
      <c r="E414" s="21">
        <f t="shared" si="69"/>
        <v>1</v>
      </c>
      <c r="F414" s="633"/>
      <c r="G414" s="21">
        <f t="shared" si="70"/>
        <v>1</v>
      </c>
      <c r="H414" s="633"/>
      <c r="I414" s="21">
        <f t="shared" si="71"/>
        <v>1</v>
      </c>
      <c r="J414" s="633"/>
      <c r="K414" s="21">
        <f t="shared" si="72"/>
        <v>1</v>
      </c>
      <c r="L414" s="633"/>
      <c r="M414" s="21">
        <f t="shared" si="73"/>
        <v>1</v>
      </c>
      <c r="N414" s="633"/>
      <c r="O414" s="21">
        <f t="shared" si="74"/>
        <v>1</v>
      </c>
      <c r="P414" s="633" t="s">
        <v>4859</v>
      </c>
      <c r="Q414" s="21">
        <f t="shared" si="75"/>
        <v>0.95</v>
      </c>
      <c r="R414" s="21">
        <f t="shared" ca="1" si="76"/>
        <v>17.649100000000001</v>
      </c>
      <c r="S414" s="307">
        <f t="shared" ca="1" si="67"/>
        <v>0</v>
      </c>
      <c r="T414" s="687"/>
    </row>
    <row r="415" spans="1:20">
      <c r="A415" s="631" t="str">
        <f>'5号楼'!B395</f>
        <v>B3212</v>
      </c>
      <c r="B415" s="631">
        <f>'5号楼'!C395</f>
        <v>52.93</v>
      </c>
      <c r="C415" s="21">
        <f t="shared" si="68"/>
        <v>1</v>
      </c>
      <c r="D415" s="633"/>
      <c r="E415" s="21">
        <f t="shared" si="69"/>
        <v>1</v>
      </c>
      <c r="F415" s="633"/>
      <c r="G415" s="21">
        <f t="shared" si="70"/>
        <v>1</v>
      </c>
      <c r="H415" s="633"/>
      <c r="I415" s="21">
        <f t="shared" si="71"/>
        <v>1</v>
      </c>
      <c r="J415" s="633"/>
      <c r="K415" s="21">
        <f t="shared" si="72"/>
        <v>1</v>
      </c>
      <c r="L415" s="633"/>
      <c r="M415" s="21">
        <f t="shared" si="73"/>
        <v>1</v>
      </c>
      <c r="N415" s="633"/>
      <c r="O415" s="21">
        <f t="shared" si="74"/>
        <v>1</v>
      </c>
      <c r="P415" s="633" t="s">
        <v>4859</v>
      </c>
      <c r="Q415" s="21">
        <f t="shared" si="75"/>
        <v>0.95</v>
      </c>
      <c r="R415" s="21">
        <f t="shared" ca="1" si="76"/>
        <v>17.649100000000001</v>
      </c>
      <c r="S415" s="307">
        <f t="shared" ca="1" si="67"/>
        <v>0</v>
      </c>
      <c r="T415" s="687"/>
    </row>
    <row r="416" spans="1:20">
      <c r="A416" s="631" t="str">
        <f>'5号楼'!B396</f>
        <v>B3213</v>
      </c>
      <c r="B416" s="631">
        <f>'5号楼'!C396</f>
        <v>52.93</v>
      </c>
      <c r="C416" s="21">
        <f t="shared" si="68"/>
        <v>1</v>
      </c>
      <c r="D416" s="633"/>
      <c r="E416" s="21">
        <f t="shared" si="69"/>
        <v>1</v>
      </c>
      <c r="F416" s="633"/>
      <c r="G416" s="21">
        <f t="shared" si="70"/>
        <v>1</v>
      </c>
      <c r="H416" s="633"/>
      <c r="I416" s="21">
        <f t="shared" si="71"/>
        <v>1</v>
      </c>
      <c r="J416" s="633"/>
      <c r="K416" s="21">
        <f t="shared" si="72"/>
        <v>1</v>
      </c>
      <c r="L416" s="633"/>
      <c r="M416" s="21">
        <f t="shared" si="73"/>
        <v>1</v>
      </c>
      <c r="N416" s="633"/>
      <c r="O416" s="21">
        <f t="shared" si="74"/>
        <v>1</v>
      </c>
      <c r="P416" s="633" t="s">
        <v>4859</v>
      </c>
      <c r="Q416" s="21">
        <f t="shared" si="75"/>
        <v>0.95</v>
      </c>
      <c r="R416" s="21">
        <f t="shared" ca="1" si="76"/>
        <v>17.649100000000001</v>
      </c>
      <c r="S416" s="307">
        <f t="shared" ca="1" si="67"/>
        <v>0</v>
      </c>
      <c r="T416" s="687"/>
    </row>
    <row r="417" spans="1:20">
      <c r="A417" s="631" t="str">
        <f>'5号楼'!B397</f>
        <v>B3214</v>
      </c>
      <c r="B417" s="631">
        <f>'5号楼'!C397</f>
        <v>52.93</v>
      </c>
      <c r="C417" s="21">
        <f t="shared" si="68"/>
        <v>1</v>
      </c>
      <c r="D417" s="633"/>
      <c r="E417" s="21">
        <f t="shared" si="69"/>
        <v>1</v>
      </c>
      <c r="F417" s="633"/>
      <c r="G417" s="21">
        <f t="shared" si="70"/>
        <v>1</v>
      </c>
      <c r="H417" s="633"/>
      <c r="I417" s="21">
        <f t="shared" si="71"/>
        <v>1</v>
      </c>
      <c r="J417" s="633"/>
      <c r="K417" s="21">
        <f t="shared" si="72"/>
        <v>1</v>
      </c>
      <c r="L417" s="633"/>
      <c r="M417" s="21">
        <f t="shared" si="73"/>
        <v>1</v>
      </c>
      <c r="N417" s="633"/>
      <c r="O417" s="21">
        <f t="shared" si="74"/>
        <v>1</v>
      </c>
      <c r="P417" s="633" t="s">
        <v>4859</v>
      </c>
      <c r="Q417" s="21">
        <f t="shared" si="75"/>
        <v>0.95</v>
      </c>
      <c r="R417" s="21">
        <f t="shared" ca="1" si="76"/>
        <v>17.649100000000001</v>
      </c>
      <c r="S417" s="307">
        <f t="shared" ca="1" si="67"/>
        <v>0</v>
      </c>
      <c r="T417" s="687"/>
    </row>
    <row r="418" spans="1:20">
      <c r="A418" s="631" t="str">
        <f>'5号楼'!B398</f>
        <v>B3215</v>
      </c>
      <c r="B418" s="631">
        <f>'5号楼'!C398</f>
        <v>52.93</v>
      </c>
      <c r="C418" s="21">
        <f t="shared" si="68"/>
        <v>1</v>
      </c>
      <c r="D418" s="633"/>
      <c r="E418" s="21">
        <f t="shared" si="69"/>
        <v>1</v>
      </c>
      <c r="F418" s="633"/>
      <c r="G418" s="21">
        <f t="shared" si="70"/>
        <v>1</v>
      </c>
      <c r="H418" s="633"/>
      <c r="I418" s="21">
        <f t="shared" si="71"/>
        <v>1</v>
      </c>
      <c r="J418" s="633"/>
      <c r="K418" s="21">
        <f t="shared" si="72"/>
        <v>1</v>
      </c>
      <c r="L418" s="633"/>
      <c r="M418" s="21">
        <f t="shared" si="73"/>
        <v>1</v>
      </c>
      <c r="N418" s="633"/>
      <c r="O418" s="21">
        <f t="shared" si="74"/>
        <v>1</v>
      </c>
      <c r="P418" s="633" t="s">
        <v>4859</v>
      </c>
      <c r="Q418" s="21">
        <f t="shared" si="75"/>
        <v>0.95</v>
      </c>
      <c r="R418" s="21">
        <f t="shared" ca="1" si="76"/>
        <v>17.649100000000001</v>
      </c>
      <c r="S418" s="307">
        <f t="shared" ca="1" si="67"/>
        <v>0</v>
      </c>
      <c r="T418" s="687"/>
    </row>
    <row r="419" spans="1:20">
      <c r="A419" s="631" t="str">
        <f>'5号楼'!B399</f>
        <v>B3216</v>
      </c>
      <c r="B419" s="631">
        <f>'5号楼'!C399</f>
        <v>52.93</v>
      </c>
      <c r="C419" s="21">
        <f t="shared" si="68"/>
        <v>1</v>
      </c>
      <c r="D419" s="633"/>
      <c r="E419" s="21">
        <f t="shared" si="69"/>
        <v>1</v>
      </c>
      <c r="F419" s="633"/>
      <c r="G419" s="21">
        <f t="shared" si="70"/>
        <v>1</v>
      </c>
      <c r="H419" s="633"/>
      <c r="I419" s="21">
        <f t="shared" si="71"/>
        <v>1</v>
      </c>
      <c r="J419" s="633"/>
      <c r="K419" s="21">
        <f t="shared" si="72"/>
        <v>1</v>
      </c>
      <c r="L419" s="633"/>
      <c r="M419" s="21">
        <f t="shared" si="73"/>
        <v>1</v>
      </c>
      <c r="N419" s="633"/>
      <c r="O419" s="21">
        <f t="shared" si="74"/>
        <v>1</v>
      </c>
      <c r="P419" s="633" t="s">
        <v>4859</v>
      </c>
      <c r="Q419" s="21">
        <f t="shared" si="75"/>
        <v>0.95</v>
      </c>
      <c r="R419" s="21">
        <f t="shared" ca="1" si="76"/>
        <v>17.649100000000001</v>
      </c>
      <c r="S419" s="307">
        <f t="shared" ca="1" si="67"/>
        <v>0</v>
      </c>
      <c r="T419" s="687"/>
    </row>
    <row r="420" spans="1:20">
      <c r="A420" s="631" t="str">
        <f>'5号楼'!B400</f>
        <v>B3217</v>
      </c>
      <c r="B420" s="631">
        <f>'5号楼'!C400</f>
        <v>52.93</v>
      </c>
      <c r="C420" s="21">
        <f t="shared" si="68"/>
        <v>1</v>
      </c>
      <c r="D420" s="633"/>
      <c r="E420" s="21">
        <f t="shared" si="69"/>
        <v>1</v>
      </c>
      <c r="F420" s="633"/>
      <c r="G420" s="21">
        <f t="shared" si="70"/>
        <v>1</v>
      </c>
      <c r="H420" s="633"/>
      <c r="I420" s="21">
        <f t="shared" si="71"/>
        <v>1</v>
      </c>
      <c r="J420" s="633"/>
      <c r="K420" s="21">
        <f t="shared" si="72"/>
        <v>1</v>
      </c>
      <c r="L420" s="633"/>
      <c r="M420" s="21">
        <f t="shared" si="73"/>
        <v>1</v>
      </c>
      <c r="N420" s="633"/>
      <c r="O420" s="21">
        <f t="shared" si="74"/>
        <v>1</v>
      </c>
      <c r="P420" s="633" t="s">
        <v>4859</v>
      </c>
      <c r="Q420" s="21">
        <f t="shared" si="75"/>
        <v>0.95</v>
      </c>
      <c r="R420" s="21">
        <f t="shared" ca="1" si="76"/>
        <v>17.649100000000001</v>
      </c>
      <c r="S420" s="307">
        <f t="shared" ca="1" si="67"/>
        <v>0</v>
      </c>
      <c r="T420" s="687"/>
    </row>
    <row r="421" spans="1:20">
      <c r="A421" s="631" t="str">
        <f>'5号楼'!B401</f>
        <v>B3218</v>
      </c>
      <c r="B421" s="631">
        <f>'5号楼'!C401</f>
        <v>52.93</v>
      </c>
      <c r="C421" s="21">
        <f t="shared" si="68"/>
        <v>1</v>
      </c>
      <c r="D421" s="633"/>
      <c r="E421" s="21">
        <f t="shared" si="69"/>
        <v>1</v>
      </c>
      <c r="F421" s="633"/>
      <c r="G421" s="21">
        <f t="shared" si="70"/>
        <v>1</v>
      </c>
      <c r="H421" s="633"/>
      <c r="I421" s="21">
        <f t="shared" si="71"/>
        <v>1</v>
      </c>
      <c r="J421" s="633"/>
      <c r="K421" s="21">
        <f t="shared" si="72"/>
        <v>1</v>
      </c>
      <c r="L421" s="633"/>
      <c r="M421" s="21">
        <f t="shared" si="73"/>
        <v>1</v>
      </c>
      <c r="N421" s="633"/>
      <c r="O421" s="21">
        <f t="shared" si="74"/>
        <v>1</v>
      </c>
      <c r="P421" s="633" t="s">
        <v>4859</v>
      </c>
      <c r="Q421" s="21">
        <f t="shared" si="75"/>
        <v>0.95</v>
      </c>
      <c r="R421" s="21">
        <f t="shared" ca="1" si="76"/>
        <v>17.649100000000001</v>
      </c>
      <c r="S421" s="307">
        <f t="shared" ca="1" si="67"/>
        <v>0</v>
      </c>
      <c r="T421" s="687"/>
    </row>
    <row r="422" spans="1:20">
      <c r="A422" s="631" t="str">
        <f>'5号楼'!B402</f>
        <v>B3219</v>
      </c>
      <c r="B422" s="631">
        <f>'5号楼'!C402</f>
        <v>52.93</v>
      </c>
      <c r="C422" s="21">
        <f t="shared" si="68"/>
        <v>1</v>
      </c>
      <c r="D422" s="633"/>
      <c r="E422" s="21">
        <f t="shared" si="69"/>
        <v>1</v>
      </c>
      <c r="F422" s="633"/>
      <c r="G422" s="21">
        <f t="shared" si="70"/>
        <v>1</v>
      </c>
      <c r="H422" s="633"/>
      <c r="I422" s="21">
        <f t="shared" si="71"/>
        <v>1</v>
      </c>
      <c r="J422" s="633"/>
      <c r="K422" s="21">
        <f t="shared" si="72"/>
        <v>1</v>
      </c>
      <c r="L422" s="633"/>
      <c r="M422" s="21">
        <f t="shared" si="73"/>
        <v>1</v>
      </c>
      <c r="N422" s="633"/>
      <c r="O422" s="21">
        <f t="shared" si="74"/>
        <v>1</v>
      </c>
      <c r="P422" s="633" t="s">
        <v>4859</v>
      </c>
      <c r="Q422" s="21">
        <f t="shared" si="75"/>
        <v>0.95</v>
      </c>
      <c r="R422" s="21">
        <f t="shared" ca="1" si="76"/>
        <v>17.649100000000001</v>
      </c>
      <c r="S422" s="307">
        <f t="shared" ca="1" si="67"/>
        <v>0</v>
      </c>
      <c r="T422" s="687"/>
    </row>
    <row r="423" spans="1:20">
      <c r="A423" s="631" t="str">
        <f>'5号楼'!B403</f>
        <v>B3220</v>
      </c>
      <c r="B423" s="631">
        <f>'5号楼'!C403</f>
        <v>52.93</v>
      </c>
      <c r="C423" s="21">
        <f t="shared" si="68"/>
        <v>1</v>
      </c>
      <c r="D423" s="633"/>
      <c r="E423" s="21">
        <f t="shared" si="69"/>
        <v>1</v>
      </c>
      <c r="F423" s="633"/>
      <c r="G423" s="21">
        <f t="shared" si="70"/>
        <v>1</v>
      </c>
      <c r="H423" s="633"/>
      <c r="I423" s="21">
        <f t="shared" si="71"/>
        <v>1</v>
      </c>
      <c r="J423" s="633"/>
      <c r="K423" s="21">
        <f t="shared" si="72"/>
        <v>1</v>
      </c>
      <c r="L423" s="633"/>
      <c r="M423" s="21">
        <f t="shared" si="73"/>
        <v>1</v>
      </c>
      <c r="N423" s="633"/>
      <c r="O423" s="21">
        <f t="shared" si="74"/>
        <v>1</v>
      </c>
      <c r="P423" s="633" t="s">
        <v>4859</v>
      </c>
      <c r="Q423" s="21">
        <f t="shared" si="75"/>
        <v>0.95</v>
      </c>
      <c r="R423" s="21">
        <f t="shared" ca="1" si="76"/>
        <v>17.649100000000001</v>
      </c>
      <c r="S423" s="307">
        <f t="shared" ca="1" si="67"/>
        <v>0</v>
      </c>
      <c r="T423" s="687"/>
    </row>
    <row r="424" spans="1:20">
      <c r="A424" s="631" t="str">
        <f>'5号楼'!B404</f>
        <v>B3221</v>
      </c>
      <c r="B424" s="631">
        <f>'5号楼'!C404</f>
        <v>52.93</v>
      </c>
      <c r="C424" s="21">
        <f t="shared" si="68"/>
        <v>1</v>
      </c>
      <c r="D424" s="633"/>
      <c r="E424" s="21">
        <f t="shared" si="69"/>
        <v>1</v>
      </c>
      <c r="F424" s="633"/>
      <c r="G424" s="21">
        <f t="shared" si="70"/>
        <v>1</v>
      </c>
      <c r="H424" s="633"/>
      <c r="I424" s="21">
        <f t="shared" si="71"/>
        <v>1</v>
      </c>
      <c r="J424" s="633"/>
      <c r="K424" s="21">
        <f t="shared" si="72"/>
        <v>1</v>
      </c>
      <c r="L424" s="633"/>
      <c r="M424" s="21">
        <f t="shared" si="73"/>
        <v>1</v>
      </c>
      <c r="N424" s="633"/>
      <c r="O424" s="21">
        <f t="shared" si="74"/>
        <v>1</v>
      </c>
      <c r="P424" s="633" t="s">
        <v>4859</v>
      </c>
      <c r="Q424" s="21">
        <f t="shared" si="75"/>
        <v>0.95</v>
      </c>
      <c r="R424" s="21">
        <f t="shared" ca="1" si="76"/>
        <v>17.649100000000001</v>
      </c>
      <c r="S424" s="307">
        <f t="shared" ca="1" si="67"/>
        <v>0</v>
      </c>
      <c r="T424" s="687"/>
    </row>
    <row r="425" spans="1:20">
      <c r="A425" s="631" t="str">
        <f>'5号楼'!B405</f>
        <v>B3222</v>
      </c>
      <c r="B425" s="631">
        <f>'5号楼'!C405</f>
        <v>52.93</v>
      </c>
      <c r="C425" s="21">
        <f t="shared" si="68"/>
        <v>1</v>
      </c>
      <c r="D425" s="633"/>
      <c r="E425" s="21">
        <f t="shared" si="69"/>
        <v>1</v>
      </c>
      <c r="F425" s="633"/>
      <c r="G425" s="21">
        <f t="shared" si="70"/>
        <v>1</v>
      </c>
      <c r="H425" s="633"/>
      <c r="I425" s="21">
        <f t="shared" si="71"/>
        <v>1</v>
      </c>
      <c r="J425" s="633"/>
      <c r="K425" s="21">
        <f t="shared" si="72"/>
        <v>1</v>
      </c>
      <c r="L425" s="633"/>
      <c r="M425" s="21">
        <f t="shared" si="73"/>
        <v>1</v>
      </c>
      <c r="N425" s="633"/>
      <c r="O425" s="21">
        <f t="shared" si="74"/>
        <v>1</v>
      </c>
      <c r="P425" s="633" t="s">
        <v>4859</v>
      </c>
      <c r="Q425" s="21">
        <f t="shared" si="75"/>
        <v>0.95</v>
      </c>
      <c r="R425" s="21">
        <f t="shared" ca="1" si="76"/>
        <v>17.649100000000001</v>
      </c>
      <c r="S425" s="307">
        <f t="shared" ca="1" si="67"/>
        <v>0</v>
      </c>
      <c r="T425" s="687"/>
    </row>
    <row r="426" spans="1:20">
      <c r="A426" s="631" t="str">
        <f>'5号楼'!B406</f>
        <v>B3223</v>
      </c>
      <c r="B426" s="631">
        <f>'5号楼'!C406</f>
        <v>52.93</v>
      </c>
      <c r="C426" s="21">
        <f t="shared" si="68"/>
        <v>1</v>
      </c>
      <c r="D426" s="633"/>
      <c r="E426" s="21">
        <f t="shared" si="69"/>
        <v>1</v>
      </c>
      <c r="F426" s="633"/>
      <c r="G426" s="21">
        <f t="shared" si="70"/>
        <v>1</v>
      </c>
      <c r="H426" s="633"/>
      <c r="I426" s="21">
        <f t="shared" si="71"/>
        <v>1</v>
      </c>
      <c r="J426" s="633"/>
      <c r="K426" s="21">
        <f t="shared" si="72"/>
        <v>1</v>
      </c>
      <c r="L426" s="633"/>
      <c r="M426" s="21">
        <f t="shared" si="73"/>
        <v>1</v>
      </c>
      <c r="N426" s="633"/>
      <c r="O426" s="21">
        <f t="shared" si="74"/>
        <v>1</v>
      </c>
      <c r="P426" s="633" t="s">
        <v>4859</v>
      </c>
      <c r="Q426" s="21">
        <f t="shared" si="75"/>
        <v>0.95</v>
      </c>
      <c r="R426" s="21">
        <f t="shared" ca="1" si="76"/>
        <v>17.649100000000001</v>
      </c>
      <c r="S426" s="307">
        <f t="shared" ca="1" si="67"/>
        <v>0</v>
      </c>
      <c r="T426" s="687"/>
    </row>
    <row r="427" spans="1:20">
      <c r="A427" s="631" t="str">
        <f>'5号楼'!B407</f>
        <v>B3224</v>
      </c>
      <c r="B427" s="631">
        <f>'5号楼'!C407</f>
        <v>52.93</v>
      </c>
      <c r="C427" s="21">
        <f t="shared" si="68"/>
        <v>1</v>
      </c>
      <c r="D427" s="633"/>
      <c r="E427" s="21">
        <f t="shared" si="69"/>
        <v>1</v>
      </c>
      <c r="F427" s="633"/>
      <c r="G427" s="21">
        <f t="shared" si="70"/>
        <v>1</v>
      </c>
      <c r="H427" s="633"/>
      <c r="I427" s="21">
        <f t="shared" si="71"/>
        <v>1</v>
      </c>
      <c r="J427" s="633"/>
      <c r="K427" s="21">
        <f t="shared" si="72"/>
        <v>1</v>
      </c>
      <c r="L427" s="633"/>
      <c r="M427" s="21">
        <f t="shared" si="73"/>
        <v>1</v>
      </c>
      <c r="N427" s="633"/>
      <c r="O427" s="21">
        <f t="shared" si="74"/>
        <v>1</v>
      </c>
      <c r="P427" s="633" t="s">
        <v>4859</v>
      </c>
      <c r="Q427" s="21">
        <f t="shared" si="75"/>
        <v>0.95</v>
      </c>
      <c r="R427" s="21">
        <f t="shared" ca="1" si="76"/>
        <v>17.649100000000001</v>
      </c>
      <c r="S427" s="307">
        <f t="shared" ca="1" si="67"/>
        <v>0</v>
      </c>
      <c r="T427" s="687"/>
    </row>
    <row r="428" spans="1:20">
      <c r="A428" s="631" t="str">
        <f>'5号楼'!B408</f>
        <v>B3225</v>
      </c>
      <c r="B428" s="631">
        <f>'5号楼'!C408</f>
        <v>59.92</v>
      </c>
      <c r="C428" s="21">
        <f t="shared" si="68"/>
        <v>1</v>
      </c>
      <c r="D428" s="633"/>
      <c r="E428" s="21">
        <f t="shared" si="69"/>
        <v>1</v>
      </c>
      <c r="F428" s="633"/>
      <c r="G428" s="21">
        <f t="shared" si="70"/>
        <v>1</v>
      </c>
      <c r="H428" s="633"/>
      <c r="I428" s="21">
        <f t="shared" si="71"/>
        <v>1</v>
      </c>
      <c r="J428" s="633"/>
      <c r="K428" s="21">
        <f t="shared" si="72"/>
        <v>1</v>
      </c>
      <c r="L428" s="633"/>
      <c r="M428" s="21">
        <f t="shared" si="73"/>
        <v>1</v>
      </c>
      <c r="N428" s="633"/>
      <c r="O428" s="21">
        <f t="shared" si="74"/>
        <v>1</v>
      </c>
      <c r="P428" s="633" t="s">
        <v>4859</v>
      </c>
      <c r="Q428" s="21">
        <f t="shared" si="75"/>
        <v>0.95</v>
      </c>
      <c r="R428" s="21">
        <f t="shared" ca="1" si="76"/>
        <v>17.649100000000001</v>
      </c>
      <c r="S428" s="307">
        <f t="shared" ca="1" si="67"/>
        <v>0</v>
      </c>
      <c r="T428" s="687"/>
    </row>
    <row r="429" spans="1:20">
      <c r="A429" s="631" t="str">
        <f>'5号楼'!B409</f>
        <v>B3226</v>
      </c>
      <c r="B429" s="631">
        <f>'5号楼'!C409</f>
        <v>52.93</v>
      </c>
      <c r="C429" s="21">
        <f t="shared" si="68"/>
        <v>1</v>
      </c>
      <c r="D429" s="633"/>
      <c r="E429" s="21">
        <f t="shared" si="69"/>
        <v>1</v>
      </c>
      <c r="F429" s="633"/>
      <c r="G429" s="21">
        <f t="shared" si="70"/>
        <v>1</v>
      </c>
      <c r="H429" s="633"/>
      <c r="I429" s="21">
        <f t="shared" si="71"/>
        <v>1</v>
      </c>
      <c r="J429" s="633"/>
      <c r="K429" s="21">
        <f t="shared" si="72"/>
        <v>1</v>
      </c>
      <c r="L429" s="633"/>
      <c r="M429" s="21">
        <f t="shared" si="73"/>
        <v>1</v>
      </c>
      <c r="N429" s="633"/>
      <c r="O429" s="21">
        <f t="shared" si="74"/>
        <v>1</v>
      </c>
      <c r="P429" s="633" t="s">
        <v>4859</v>
      </c>
      <c r="Q429" s="21">
        <f t="shared" si="75"/>
        <v>0.95</v>
      </c>
      <c r="R429" s="21">
        <f t="shared" ca="1" si="76"/>
        <v>17.649100000000001</v>
      </c>
      <c r="S429" s="307">
        <f t="shared" ca="1" si="67"/>
        <v>0</v>
      </c>
      <c r="T429" s="687"/>
    </row>
    <row r="430" spans="1:20">
      <c r="A430" s="631" t="str">
        <f>'5号楼'!B410</f>
        <v>B3227</v>
      </c>
      <c r="B430" s="631">
        <f>'5号楼'!C410</f>
        <v>52.93</v>
      </c>
      <c r="C430" s="21">
        <f t="shared" si="68"/>
        <v>1</v>
      </c>
      <c r="D430" s="633"/>
      <c r="E430" s="21">
        <f t="shared" si="69"/>
        <v>1</v>
      </c>
      <c r="F430" s="633"/>
      <c r="G430" s="21">
        <f t="shared" si="70"/>
        <v>1</v>
      </c>
      <c r="H430" s="633"/>
      <c r="I430" s="21">
        <f t="shared" si="71"/>
        <v>1</v>
      </c>
      <c r="J430" s="633"/>
      <c r="K430" s="21">
        <f t="shared" si="72"/>
        <v>1</v>
      </c>
      <c r="L430" s="633"/>
      <c r="M430" s="21">
        <f t="shared" si="73"/>
        <v>1</v>
      </c>
      <c r="N430" s="633"/>
      <c r="O430" s="21">
        <f t="shared" si="74"/>
        <v>1</v>
      </c>
      <c r="P430" s="633" t="s">
        <v>4859</v>
      </c>
      <c r="Q430" s="21">
        <f t="shared" si="75"/>
        <v>0.95</v>
      </c>
      <c r="R430" s="21">
        <f t="shared" ca="1" si="76"/>
        <v>17.649100000000001</v>
      </c>
      <c r="S430" s="307">
        <f t="shared" ca="1" si="67"/>
        <v>0</v>
      </c>
      <c r="T430" s="687"/>
    </row>
    <row r="431" spans="1:20">
      <c r="A431" s="631" t="str">
        <f>'5号楼'!B411</f>
        <v>B3228</v>
      </c>
      <c r="B431" s="631">
        <f>'5号楼'!C411</f>
        <v>52.93</v>
      </c>
      <c r="C431" s="21">
        <f t="shared" si="68"/>
        <v>1</v>
      </c>
      <c r="D431" s="633"/>
      <c r="E431" s="21">
        <f t="shared" si="69"/>
        <v>1</v>
      </c>
      <c r="F431" s="633"/>
      <c r="G431" s="21">
        <f t="shared" si="70"/>
        <v>1</v>
      </c>
      <c r="H431" s="633"/>
      <c r="I431" s="21">
        <f t="shared" si="71"/>
        <v>1</v>
      </c>
      <c r="J431" s="633"/>
      <c r="K431" s="21">
        <f t="shared" si="72"/>
        <v>1</v>
      </c>
      <c r="L431" s="633"/>
      <c r="M431" s="21">
        <f t="shared" si="73"/>
        <v>1</v>
      </c>
      <c r="N431" s="633"/>
      <c r="O431" s="21">
        <f t="shared" si="74"/>
        <v>1</v>
      </c>
      <c r="P431" s="633" t="s">
        <v>4859</v>
      </c>
      <c r="Q431" s="21">
        <f t="shared" si="75"/>
        <v>0.95</v>
      </c>
      <c r="R431" s="21">
        <f t="shared" ca="1" si="76"/>
        <v>17.649100000000001</v>
      </c>
      <c r="S431" s="307">
        <f t="shared" ca="1" si="67"/>
        <v>0</v>
      </c>
      <c r="T431" s="687"/>
    </row>
    <row r="432" spans="1:20">
      <c r="A432" s="631" t="str">
        <f>'5号楼'!B412</f>
        <v>B3229</v>
      </c>
      <c r="B432" s="631">
        <f>'5号楼'!C412</f>
        <v>52.93</v>
      </c>
      <c r="C432" s="21">
        <f t="shared" si="68"/>
        <v>1</v>
      </c>
      <c r="D432" s="633"/>
      <c r="E432" s="21">
        <f t="shared" si="69"/>
        <v>1</v>
      </c>
      <c r="F432" s="633"/>
      <c r="G432" s="21">
        <f t="shared" si="70"/>
        <v>1</v>
      </c>
      <c r="H432" s="633"/>
      <c r="I432" s="21">
        <f t="shared" si="71"/>
        <v>1</v>
      </c>
      <c r="J432" s="633"/>
      <c r="K432" s="21">
        <f t="shared" si="72"/>
        <v>1</v>
      </c>
      <c r="L432" s="633"/>
      <c r="M432" s="21">
        <f t="shared" si="73"/>
        <v>1</v>
      </c>
      <c r="N432" s="633"/>
      <c r="O432" s="21">
        <f t="shared" si="74"/>
        <v>1</v>
      </c>
      <c r="P432" s="633" t="s">
        <v>4859</v>
      </c>
      <c r="Q432" s="21">
        <f t="shared" si="75"/>
        <v>0.95</v>
      </c>
      <c r="R432" s="21">
        <f t="shared" ca="1" si="76"/>
        <v>17.649100000000001</v>
      </c>
      <c r="S432" s="307">
        <f t="shared" ca="1" si="67"/>
        <v>0</v>
      </c>
      <c r="T432" s="687"/>
    </row>
    <row r="433" spans="1:20">
      <c r="A433" s="631" t="str">
        <f>'5号楼'!B413</f>
        <v>B3230</v>
      </c>
      <c r="B433" s="631">
        <f>'5号楼'!C413</f>
        <v>52.93</v>
      </c>
      <c r="C433" s="21">
        <f t="shared" si="68"/>
        <v>1</v>
      </c>
      <c r="D433" s="633"/>
      <c r="E433" s="21">
        <f t="shared" si="69"/>
        <v>1</v>
      </c>
      <c r="F433" s="633"/>
      <c r="G433" s="21">
        <f t="shared" si="70"/>
        <v>1</v>
      </c>
      <c r="H433" s="633"/>
      <c r="I433" s="21">
        <f t="shared" si="71"/>
        <v>1</v>
      </c>
      <c r="J433" s="633"/>
      <c r="K433" s="21">
        <f t="shared" si="72"/>
        <v>1</v>
      </c>
      <c r="L433" s="633"/>
      <c r="M433" s="21">
        <f t="shared" si="73"/>
        <v>1</v>
      </c>
      <c r="N433" s="633"/>
      <c r="O433" s="21">
        <f t="shared" si="74"/>
        <v>1</v>
      </c>
      <c r="P433" s="633" t="s">
        <v>4859</v>
      </c>
      <c r="Q433" s="21">
        <f t="shared" si="75"/>
        <v>0.95</v>
      </c>
      <c r="R433" s="21">
        <f t="shared" ca="1" si="76"/>
        <v>17.649100000000001</v>
      </c>
      <c r="S433" s="307">
        <f t="shared" ca="1" si="67"/>
        <v>0</v>
      </c>
      <c r="T433" s="687"/>
    </row>
    <row r="434" spans="1:20">
      <c r="A434" s="631" t="str">
        <f>'5号楼'!B414</f>
        <v>B3231</v>
      </c>
      <c r="B434" s="631">
        <f>'5号楼'!C414</f>
        <v>52.93</v>
      </c>
      <c r="C434" s="21">
        <f t="shared" si="68"/>
        <v>1</v>
      </c>
      <c r="D434" s="633"/>
      <c r="E434" s="21">
        <f t="shared" si="69"/>
        <v>1</v>
      </c>
      <c r="F434" s="633"/>
      <c r="G434" s="21">
        <f t="shared" si="70"/>
        <v>1</v>
      </c>
      <c r="H434" s="633"/>
      <c r="I434" s="21">
        <f t="shared" si="71"/>
        <v>1</v>
      </c>
      <c r="J434" s="633"/>
      <c r="K434" s="21">
        <f t="shared" si="72"/>
        <v>1</v>
      </c>
      <c r="L434" s="633"/>
      <c r="M434" s="21">
        <f t="shared" si="73"/>
        <v>1</v>
      </c>
      <c r="N434" s="633"/>
      <c r="O434" s="21">
        <f t="shared" si="74"/>
        <v>1</v>
      </c>
      <c r="P434" s="633" t="s">
        <v>4859</v>
      </c>
      <c r="Q434" s="21">
        <f t="shared" si="75"/>
        <v>0.95</v>
      </c>
      <c r="R434" s="21">
        <f t="shared" ca="1" si="76"/>
        <v>17.649100000000001</v>
      </c>
      <c r="S434" s="307">
        <f t="shared" ca="1" si="67"/>
        <v>0</v>
      </c>
      <c r="T434" s="687"/>
    </row>
    <row r="435" spans="1:20">
      <c r="A435" s="631" t="str">
        <f>'5号楼'!B415</f>
        <v>B3232</v>
      </c>
      <c r="B435" s="631">
        <f>'5号楼'!C415</f>
        <v>52.93</v>
      </c>
      <c r="C435" s="21">
        <f t="shared" si="68"/>
        <v>1</v>
      </c>
      <c r="D435" s="633"/>
      <c r="E435" s="21">
        <f t="shared" si="69"/>
        <v>1</v>
      </c>
      <c r="F435" s="633"/>
      <c r="G435" s="21">
        <f t="shared" si="70"/>
        <v>1</v>
      </c>
      <c r="H435" s="633"/>
      <c r="I435" s="21">
        <f t="shared" si="71"/>
        <v>1</v>
      </c>
      <c r="J435" s="633"/>
      <c r="K435" s="21">
        <f t="shared" si="72"/>
        <v>1</v>
      </c>
      <c r="L435" s="633"/>
      <c r="M435" s="21">
        <f t="shared" si="73"/>
        <v>1</v>
      </c>
      <c r="N435" s="633"/>
      <c r="O435" s="21">
        <f t="shared" si="74"/>
        <v>1</v>
      </c>
      <c r="P435" s="633" t="s">
        <v>4859</v>
      </c>
      <c r="Q435" s="21">
        <f t="shared" si="75"/>
        <v>0.95</v>
      </c>
      <c r="R435" s="21">
        <f t="shared" ca="1" si="76"/>
        <v>17.649100000000001</v>
      </c>
      <c r="S435" s="307">
        <f t="shared" ca="1" si="67"/>
        <v>0</v>
      </c>
      <c r="T435" s="687"/>
    </row>
    <row r="436" spans="1:20">
      <c r="A436" s="631" t="str">
        <f>'5号楼'!B416</f>
        <v>B3233</v>
      </c>
      <c r="B436" s="631">
        <f>'5号楼'!C416</f>
        <v>59.92</v>
      </c>
      <c r="C436" s="21">
        <f t="shared" si="68"/>
        <v>1</v>
      </c>
      <c r="D436" s="633"/>
      <c r="E436" s="21">
        <f t="shared" si="69"/>
        <v>1</v>
      </c>
      <c r="F436" s="633"/>
      <c r="G436" s="21">
        <f t="shared" si="70"/>
        <v>1</v>
      </c>
      <c r="H436" s="633"/>
      <c r="I436" s="21">
        <f t="shared" si="71"/>
        <v>1</v>
      </c>
      <c r="J436" s="633"/>
      <c r="K436" s="21">
        <f t="shared" si="72"/>
        <v>1</v>
      </c>
      <c r="L436" s="633"/>
      <c r="M436" s="21">
        <f t="shared" si="73"/>
        <v>1</v>
      </c>
      <c r="N436" s="633"/>
      <c r="O436" s="21">
        <f t="shared" si="74"/>
        <v>1</v>
      </c>
      <c r="P436" s="633" t="s">
        <v>4859</v>
      </c>
      <c r="Q436" s="21">
        <f t="shared" si="75"/>
        <v>0.95</v>
      </c>
      <c r="R436" s="21">
        <f t="shared" ca="1" si="76"/>
        <v>17.649100000000001</v>
      </c>
      <c r="S436" s="307">
        <f t="shared" ca="1" si="67"/>
        <v>0</v>
      </c>
      <c r="T436" s="687"/>
    </row>
    <row r="437" spans="1:20">
      <c r="A437" s="631" t="str">
        <f>'5号楼'!B417</f>
        <v>B3234</v>
      </c>
      <c r="B437" s="631">
        <f>'5号楼'!C417</f>
        <v>59.92</v>
      </c>
      <c r="C437" s="21">
        <f t="shared" si="68"/>
        <v>1</v>
      </c>
      <c r="D437" s="633"/>
      <c r="E437" s="21">
        <f t="shared" si="69"/>
        <v>1</v>
      </c>
      <c r="F437" s="633"/>
      <c r="G437" s="21">
        <f t="shared" si="70"/>
        <v>1</v>
      </c>
      <c r="H437" s="633"/>
      <c r="I437" s="21">
        <f t="shared" si="71"/>
        <v>1</v>
      </c>
      <c r="J437" s="633"/>
      <c r="K437" s="21">
        <f t="shared" si="72"/>
        <v>1</v>
      </c>
      <c r="L437" s="633"/>
      <c r="M437" s="21">
        <f t="shared" si="73"/>
        <v>1</v>
      </c>
      <c r="N437" s="633"/>
      <c r="O437" s="21">
        <f t="shared" si="74"/>
        <v>1</v>
      </c>
      <c r="P437" s="633" t="s">
        <v>4859</v>
      </c>
      <c r="Q437" s="21">
        <f t="shared" si="75"/>
        <v>0.95</v>
      </c>
      <c r="R437" s="21">
        <f t="shared" ca="1" si="76"/>
        <v>17.649100000000001</v>
      </c>
      <c r="S437" s="307">
        <f t="shared" ca="1" si="67"/>
        <v>0</v>
      </c>
      <c r="T437" s="687"/>
    </row>
    <row r="438" spans="1:20">
      <c r="A438" s="631" t="str">
        <f>'5号楼'!B418</f>
        <v>B3235</v>
      </c>
      <c r="B438" s="631">
        <f>'5号楼'!C418</f>
        <v>59.92</v>
      </c>
      <c r="C438" s="21">
        <f t="shared" si="68"/>
        <v>1</v>
      </c>
      <c r="D438" s="633"/>
      <c r="E438" s="21">
        <f t="shared" si="69"/>
        <v>1</v>
      </c>
      <c r="F438" s="633"/>
      <c r="G438" s="21">
        <f t="shared" si="70"/>
        <v>1</v>
      </c>
      <c r="H438" s="633"/>
      <c r="I438" s="21">
        <f t="shared" si="71"/>
        <v>1</v>
      </c>
      <c r="J438" s="633"/>
      <c r="K438" s="21">
        <f t="shared" si="72"/>
        <v>1</v>
      </c>
      <c r="L438" s="633"/>
      <c r="M438" s="21">
        <f t="shared" si="73"/>
        <v>1</v>
      </c>
      <c r="N438" s="633"/>
      <c r="O438" s="21">
        <f t="shared" si="74"/>
        <v>1</v>
      </c>
      <c r="P438" s="633" t="s">
        <v>4859</v>
      </c>
      <c r="Q438" s="21">
        <f t="shared" si="75"/>
        <v>0.95</v>
      </c>
      <c r="R438" s="21">
        <f t="shared" ca="1" si="76"/>
        <v>17.649100000000001</v>
      </c>
      <c r="S438" s="307">
        <f t="shared" ca="1" si="67"/>
        <v>0</v>
      </c>
      <c r="T438" s="687"/>
    </row>
    <row r="439" spans="1:20">
      <c r="A439" s="631" t="str">
        <f>'5号楼'!B419</f>
        <v>B3236</v>
      </c>
      <c r="B439" s="631">
        <f>'5号楼'!C419</f>
        <v>59.92</v>
      </c>
      <c r="C439" s="21">
        <f t="shared" si="68"/>
        <v>1</v>
      </c>
      <c r="D439" s="633"/>
      <c r="E439" s="21">
        <f t="shared" si="69"/>
        <v>1</v>
      </c>
      <c r="F439" s="633"/>
      <c r="G439" s="21">
        <f t="shared" si="70"/>
        <v>1</v>
      </c>
      <c r="H439" s="633"/>
      <c r="I439" s="21">
        <f t="shared" si="71"/>
        <v>1</v>
      </c>
      <c r="J439" s="633"/>
      <c r="K439" s="21">
        <f t="shared" si="72"/>
        <v>1</v>
      </c>
      <c r="L439" s="633"/>
      <c r="M439" s="21">
        <f t="shared" si="73"/>
        <v>1</v>
      </c>
      <c r="N439" s="633"/>
      <c r="O439" s="21">
        <f t="shared" si="74"/>
        <v>1</v>
      </c>
      <c r="P439" s="633" t="s">
        <v>4859</v>
      </c>
      <c r="Q439" s="21">
        <f t="shared" si="75"/>
        <v>0.95</v>
      </c>
      <c r="R439" s="21">
        <f t="shared" ca="1" si="76"/>
        <v>17.649100000000001</v>
      </c>
      <c r="S439" s="307">
        <f t="shared" ca="1" si="67"/>
        <v>0</v>
      </c>
      <c r="T439" s="687"/>
    </row>
    <row r="440" spans="1:20">
      <c r="A440" s="631" t="str">
        <f>'5号楼'!B420</f>
        <v>B3237</v>
      </c>
      <c r="B440" s="631">
        <f>'5号楼'!C420</f>
        <v>59.92</v>
      </c>
      <c r="C440" s="21">
        <f t="shared" si="68"/>
        <v>1</v>
      </c>
      <c r="D440" s="633"/>
      <c r="E440" s="21">
        <f t="shared" si="69"/>
        <v>1</v>
      </c>
      <c r="F440" s="633"/>
      <c r="G440" s="21">
        <f t="shared" si="70"/>
        <v>1</v>
      </c>
      <c r="H440" s="633"/>
      <c r="I440" s="21">
        <f t="shared" si="71"/>
        <v>1</v>
      </c>
      <c r="J440" s="633"/>
      <c r="K440" s="21">
        <f t="shared" si="72"/>
        <v>1</v>
      </c>
      <c r="L440" s="633"/>
      <c r="M440" s="21">
        <f t="shared" si="73"/>
        <v>1</v>
      </c>
      <c r="N440" s="633"/>
      <c r="O440" s="21">
        <f t="shared" si="74"/>
        <v>1</v>
      </c>
      <c r="P440" s="633" t="s">
        <v>4859</v>
      </c>
      <c r="Q440" s="21">
        <f t="shared" si="75"/>
        <v>0.95</v>
      </c>
      <c r="R440" s="21">
        <f t="shared" ca="1" si="76"/>
        <v>17.649100000000001</v>
      </c>
      <c r="S440" s="307">
        <f t="shared" ca="1" si="67"/>
        <v>0</v>
      </c>
      <c r="T440" s="687"/>
    </row>
    <row r="441" spans="1:20">
      <c r="A441" s="631" t="str">
        <f>'5号楼'!B421</f>
        <v>B3238</v>
      </c>
      <c r="B441" s="631">
        <f>'5号楼'!C421</f>
        <v>59.92</v>
      </c>
      <c r="C441" s="21">
        <f t="shared" si="68"/>
        <v>1</v>
      </c>
      <c r="D441" s="633"/>
      <c r="E441" s="21">
        <f t="shared" si="69"/>
        <v>1</v>
      </c>
      <c r="F441" s="633"/>
      <c r="G441" s="21">
        <f t="shared" si="70"/>
        <v>1</v>
      </c>
      <c r="H441" s="633"/>
      <c r="I441" s="21">
        <f t="shared" si="71"/>
        <v>1</v>
      </c>
      <c r="J441" s="633"/>
      <c r="K441" s="21">
        <f t="shared" si="72"/>
        <v>1</v>
      </c>
      <c r="L441" s="633"/>
      <c r="M441" s="21">
        <f t="shared" si="73"/>
        <v>1</v>
      </c>
      <c r="N441" s="633"/>
      <c r="O441" s="21">
        <f t="shared" si="74"/>
        <v>1</v>
      </c>
      <c r="P441" s="633" t="s">
        <v>4859</v>
      </c>
      <c r="Q441" s="21">
        <f t="shared" si="75"/>
        <v>0.95</v>
      </c>
      <c r="R441" s="21">
        <f t="shared" ca="1" si="76"/>
        <v>17.649100000000001</v>
      </c>
      <c r="S441" s="307">
        <f t="shared" ca="1" si="67"/>
        <v>0</v>
      </c>
      <c r="T441" s="687"/>
    </row>
    <row r="442" spans="1:20">
      <c r="A442" s="631" t="str">
        <f>'5号楼'!B422</f>
        <v>B3239</v>
      </c>
      <c r="B442" s="631">
        <f>'5号楼'!C422</f>
        <v>59.92</v>
      </c>
      <c r="C442" s="21">
        <f t="shared" si="68"/>
        <v>1</v>
      </c>
      <c r="D442" s="633"/>
      <c r="E442" s="21">
        <f t="shared" si="69"/>
        <v>1</v>
      </c>
      <c r="F442" s="633"/>
      <c r="G442" s="21">
        <f t="shared" si="70"/>
        <v>1</v>
      </c>
      <c r="H442" s="633"/>
      <c r="I442" s="21">
        <f t="shared" si="71"/>
        <v>1</v>
      </c>
      <c r="J442" s="633"/>
      <c r="K442" s="21">
        <f t="shared" si="72"/>
        <v>1</v>
      </c>
      <c r="L442" s="633"/>
      <c r="M442" s="21">
        <f t="shared" si="73"/>
        <v>1</v>
      </c>
      <c r="N442" s="633"/>
      <c r="O442" s="21">
        <f t="shared" si="74"/>
        <v>1</v>
      </c>
      <c r="P442" s="633" t="s">
        <v>4859</v>
      </c>
      <c r="Q442" s="21">
        <f t="shared" si="75"/>
        <v>0.95</v>
      </c>
      <c r="R442" s="21">
        <f t="shared" ca="1" si="76"/>
        <v>17.649100000000001</v>
      </c>
      <c r="S442" s="307">
        <f t="shared" ca="1" si="67"/>
        <v>0</v>
      </c>
      <c r="T442" s="687"/>
    </row>
    <row r="443" spans="1:20">
      <c r="A443" s="631" t="str">
        <f>'5号楼'!B423</f>
        <v>B3240</v>
      </c>
      <c r="B443" s="631">
        <f>'5号楼'!C423</f>
        <v>59.92</v>
      </c>
      <c r="C443" s="21">
        <f t="shared" si="68"/>
        <v>1</v>
      </c>
      <c r="D443" s="633"/>
      <c r="E443" s="21">
        <f t="shared" si="69"/>
        <v>1</v>
      </c>
      <c r="F443" s="633"/>
      <c r="G443" s="21">
        <f t="shared" si="70"/>
        <v>1</v>
      </c>
      <c r="H443" s="633"/>
      <c r="I443" s="21">
        <f t="shared" si="71"/>
        <v>1</v>
      </c>
      <c r="J443" s="633"/>
      <c r="K443" s="21">
        <f t="shared" si="72"/>
        <v>1</v>
      </c>
      <c r="L443" s="633"/>
      <c r="M443" s="21">
        <f t="shared" si="73"/>
        <v>1</v>
      </c>
      <c r="N443" s="633"/>
      <c r="O443" s="21">
        <f t="shared" si="74"/>
        <v>1</v>
      </c>
      <c r="P443" s="633" t="s">
        <v>4859</v>
      </c>
      <c r="Q443" s="21">
        <f t="shared" si="75"/>
        <v>0.95</v>
      </c>
      <c r="R443" s="21">
        <f t="shared" ca="1" si="76"/>
        <v>17.649100000000001</v>
      </c>
      <c r="S443" s="307">
        <f t="shared" ca="1" si="67"/>
        <v>0</v>
      </c>
      <c r="T443" s="687"/>
    </row>
    <row r="444" spans="1:20">
      <c r="A444" s="631" t="str">
        <f>'5号楼'!B424</f>
        <v>B3241</v>
      </c>
      <c r="B444" s="631">
        <f>'5号楼'!C424</f>
        <v>59.92</v>
      </c>
      <c r="C444" s="21">
        <f t="shared" si="68"/>
        <v>1</v>
      </c>
      <c r="D444" s="633"/>
      <c r="E444" s="21">
        <f t="shared" si="69"/>
        <v>1</v>
      </c>
      <c r="F444" s="633"/>
      <c r="G444" s="21">
        <f t="shared" si="70"/>
        <v>1</v>
      </c>
      <c r="H444" s="633"/>
      <c r="I444" s="21">
        <f t="shared" si="71"/>
        <v>1</v>
      </c>
      <c r="J444" s="633"/>
      <c r="K444" s="21">
        <f t="shared" si="72"/>
        <v>1</v>
      </c>
      <c r="L444" s="633"/>
      <c r="M444" s="21">
        <f t="shared" si="73"/>
        <v>1</v>
      </c>
      <c r="N444" s="633"/>
      <c r="O444" s="21">
        <f t="shared" si="74"/>
        <v>1</v>
      </c>
      <c r="P444" s="633" t="s">
        <v>4859</v>
      </c>
      <c r="Q444" s="21">
        <f t="shared" si="75"/>
        <v>0.95</v>
      </c>
      <c r="R444" s="21">
        <f t="shared" ca="1" si="76"/>
        <v>17.649100000000001</v>
      </c>
      <c r="S444" s="307">
        <f t="shared" ca="1" si="67"/>
        <v>0</v>
      </c>
      <c r="T444" s="687"/>
    </row>
    <row r="445" spans="1:20">
      <c r="A445" s="631" t="str">
        <f>'5号楼'!B425</f>
        <v>B3242</v>
      </c>
      <c r="B445" s="631">
        <f>'5号楼'!C425</f>
        <v>59.92</v>
      </c>
      <c r="C445" s="21">
        <f t="shared" si="68"/>
        <v>1</v>
      </c>
      <c r="D445" s="633"/>
      <c r="E445" s="21">
        <f t="shared" si="69"/>
        <v>1</v>
      </c>
      <c r="F445" s="633"/>
      <c r="G445" s="21">
        <f t="shared" si="70"/>
        <v>1</v>
      </c>
      <c r="H445" s="633"/>
      <c r="I445" s="21">
        <f t="shared" si="71"/>
        <v>1</v>
      </c>
      <c r="J445" s="633"/>
      <c r="K445" s="21">
        <f t="shared" si="72"/>
        <v>1</v>
      </c>
      <c r="L445" s="633"/>
      <c r="M445" s="21">
        <f t="shared" si="73"/>
        <v>1</v>
      </c>
      <c r="N445" s="633"/>
      <c r="O445" s="21">
        <f t="shared" si="74"/>
        <v>1</v>
      </c>
      <c r="P445" s="633" t="s">
        <v>4859</v>
      </c>
      <c r="Q445" s="21">
        <f t="shared" si="75"/>
        <v>0.95</v>
      </c>
      <c r="R445" s="21">
        <f t="shared" ca="1" si="76"/>
        <v>17.649100000000001</v>
      </c>
      <c r="S445" s="307">
        <f t="shared" ca="1" si="67"/>
        <v>0</v>
      </c>
      <c r="T445" s="687"/>
    </row>
    <row r="446" spans="1:20">
      <c r="A446" s="631" t="str">
        <f>'5号楼'!B426</f>
        <v>B3243</v>
      </c>
      <c r="B446" s="631">
        <f>'5号楼'!C426</f>
        <v>52.93</v>
      </c>
      <c r="C446" s="21">
        <f t="shared" si="68"/>
        <v>1</v>
      </c>
      <c r="D446" s="633"/>
      <c r="E446" s="21">
        <f t="shared" si="69"/>
        <v>1</v>
      </c>
      <c r="F446" s="633"/>
      <c r="G446" s="21">
        <f t="shared" si="70"/>
        <v>1</v>
      </c>
      <c r="H446" s="633"/>
      <c r="I446" s="21">
        <f t="shared" si="71"/>
        <v>1</v>
      </c>
      <c r="J446" s="633"/>
      <c r="K446" s="21">
        <f t="shared" si="72"/>
        <v>1</v>
      </c>
      <c r="L446" s="633"/>
      <c r="M446" s="21">
        <f t="shared" si="73"/>
        <v>1</v>
      </c>
      <c r="N446" s="633"/>
      <c r="O446" s="21">
        <f t="shared" si="74"/>
        <v>1</v>
      </c>
      <c r="P446" s="633" t="s">
        <v>4859</v>
      </c>
      <c r="Q446" s="21">
        <f t="shared" si="75"/>
        <v>0.95</v>
      </c>
      <c r="R446" s="21">
        <f t="shared" ca="1" si="76"/>
        <v>17.649100000000001</v>
      </c>
      <c r="S446" s="307">
        <f t="shared" ca="1" si="67"/>
        <v>0</v>
      </c>
      <c r="T446" s="687"/>
    </row>
    <row r="447" spans="1:20">
      <c r="A447" s="631" t="str">
        <f>'5号楼'!B427</f>
        <v>B3244</v>
      </c>
      <c r="B447" s="631">
        <f>'5号楼'!C427</f>
        <v>52.93</v>
      </c>
      <c r="C447" s="21">
        <f t="shared" si="68"/>
        <v>1</v>
      </c>
      <c r="D447" s="633"/>
      <c r="E447" s="21">
        <f t="shared" si="69"/>
        <v>1</v>
      </c>
      <c r="F447" s="633"/>
      <c r="G447" s="21">
        <f t="shared" si="70"/>
        <v>1</v>
      </c>
      <c r="H447" s="633"/>
      <c r="I447" s="21">
        <f t="shared" si="71"/>
        <v>1</v>
      </c>
      <c r="J447" s="633"/>
      <c r="K447" s="21">
        <f t="shared" si="72"/>
        <v>1</v>
      </c>
      <c r="L447" s="633"/>
      <c r="M447" s="21">
        <f t="shared" si="73"/>
        <v>1</v>
      </c>
      <c r="N447" s="633"/>
      <c r="O447" s="21">
        <f t="shared" si="74"/>
        <v>1</v>
      </c>
      <c r="P447" s="633" t="s">
        <v>4859</v>
      </c>
      <c r="Q447" s="21">
        <f t="shared" si="75"/>
        <v>0.95</v>
      </c>
      <c r="R447" s="21">
        <f t="shared" ca="1" si="76"/>
        <v>17.649100000000001</v>
      </c>
      <c r="S447" s="307">
        <f t="shared" ca="1" si="67"/>
        <v>0</v>
      </c>
      <c r="T447" s="687"/>
    </row>
    <row r="448" spans="1:20">
      <c r="A448" s="631" t="str">
        <f>'5号楼'!B428</f>
        <v>B3245</v>
      </c>
      <c r="B448" s="631">
        <f>'5号楼'!C428</f>
        <v>50.93</v>
      </c>
      <c r="C448" s="21">
        <f t="shared" si="68"/>
        <v>1</v>
      </c>
      <c r="D448" s="633"/>
      <c r="E448" s="21">
        <f t="shared" si="69"/>
        <v>1</v>
      </c>
      <c r="F448" s="633"/>
      <c r="G448" s="21">
        <f t="shared" si="70"/>
        <v>1</v>
      </c>
      <c r="H448" s="633"/>
      <c r="I448" s="21">
        <f t="shared" si="71"/>
        <v>1</v>
      </c>
      <c r="J448" s="633"/>
      <c r="K448" s="21">
        <f t="shared" si="72"/>
        <v>1</v>
      </c>
      <c r="L448" s="633"/>
      <c r="M448" s="21">
        <f t="shared" si="73"/>
        <v>1</v>
      </c>
      <c r="N448" s="633"/>
      <c r="O448" s="21">
        <f t="shared" si="74"/>
        <v>1</v>
      </c>
      <c r="P448" s="633" t="s">
        <v>4859</v>
      </c>
      <c r="Q448" s="21">
        <f t="shared" si="75"/>
        <v>0.95</v>
      </c>
      <c r="R448" s="21">
        <f t="shared" ca="1" si="76"/>
        <v>17.649100000000001</v>
      </c>
      <c r="S448" s="307">
        <f t="shared" ca="1" si="67"/>
        <v>0</v>
      </c>
      <c r="T448" s="687"/>
    </row>
    <row r="449" spans="1:20">
      <c r="A449" s="631" t="str">
        <f>'5号楼'!B429</f>
        <v>B3246</v>
      </c>
      <c r="B449" s="631">
        <f>'5号楼'!C429</f>
        <v>89.38</v>
      </c>
      <c r="C449" s="21">
        <f t="shared" si="68"/>
        <v>1.3</v>
      </c>
      <c r="D449" s="633"/>
      <c r="E449" s="21">
        <f t="shared" si="69"/>
        <v>1</v>
      </c>
      <c r="F449" s="633"/>
      <c r="G449" s="21">
        <f t="shared" si="70"/>
        <v>1</v>
      </c>
      <c r="H449" s="633"/>
      <c r="I449" s="21">
        <f t="shared" si="71"/>
        <v>1</v>
      </c>
      <c r="J449" s="633"/>
      <c r="K449" s="21">
        <f t="shared" si="72"/>
        <v>1</v>
      </c>
      <c r="L449" s="633"/>
      <c r="M449" s="21">
        <f t="shared" si="73"/>
        <v>1</v>
      </c>
      <c r="N449" s="633"/>
      <c r="O449" s="21">
        <f t="shared" si="74"/>
        <v>1</v>
      </c>
      <c r="P449" s="633" t="s">
        <v>4859</v>
      </c>
      <c r="Q449" s="21">
        <f t="shared" si="75"/>
        <v>0.95</v>
      </c>
      <c r="R449" s="21">
        <f t="shared" ca="1" si="76"/>
        <v>22.9438</v>
      </c>
      <c r="S449" s="307">
        <f t="shared" ca="1" si="67"/>
        <v>0</v>
      </c>
      <c r="T449" s="687"/>
    </row>
    <row r="450" spans="1:20">
      <c r="A450" s="631" t="str">
        <f>'5号楼'!B430</f>
        <v>B3247</v>
      </c>
      <c r="B450" s="631">
        <f>'5号楼'!C430</f>
        <v>50.93</v>
      </c>
      <c r="C450" s="21">
        <f t="shared" si="68"/>
        <v>1</v>
      </c>
      <c r="D450" s="633"/>
      <c r="E450" s="21">
        <f t="shared" si="69"/>
        <v>1</v>
      </c>
      <c r="F450" s="633"/>
      <c r="G450" s="21">
        <f t="shared" si="70"/>
        <v>1</v>
      </c>
      <c r="H450" s="633"/>
      <c r="I450" s="21">
        <f t="shared" si="71"/>
        <v>1</v>
      </c>
      <c r="J450" s="633"/>
      <c r="K450" s="21">
        <f t="shared" si="72"/>
        <v>1</v>
      </c>
      <c r="L450" s="633"/>
      <c r="M450" s="21">
        <f t="shared" si="73"/>
        <v>1</v>
      </c>
      <c r="N450" s="633"/>
      <c r="O450" s="21">
        <f t="shared" si="74"/>
        <v>1</v>
      </c>
      <c r="P450" s="633" t="s">
        <v>4859</v>
      </c>
      <c r="Q450" s="21">
        <f t="shared" si="75"/>
        <v>0.95</v>
      </c>
      <c r="R450" s="21">
        <f t="shared" ca="1" si="76"/>
        <v>17.649100000000001</v>
      </c>
      <c r="S450" s="307">
        <f t="shared" ca="1" si="67"/>
        <v>0</v>
      </c>
      <c r="T450" s="687"/>
    </row>
    <row r="451" spans="1:20">
      <c r="A451" s="631" t="str">
        <f>'5号楼'!B431</f>
        <v>B3248</v>
      </c>
      <c r="B451" s="631">
        <f>'5号楼'!C431</f>
        <v>50.93</v>
      </c>
      <c r="C451" s="21">
        <f t="shared" si="68"/>
        <v>1</v>
      </c>
      <c r="D451" s="633"/>
      <c r="E451" s="21">
        <f t="shared" si="69"/>
        <v>1</v>
      </c>
      <c r="F451" s="633"/>
      <c r="G451" s="21">
        <f t="shared" si="70"/>
        <v>1</v>
      </c>
      <c r="H451" s="633"/>
      <c r="I451" s="21">
        <f t="shared" si="71"/>
        <v>1</v>
      </c>
      <c r="J451" s="633"/>
      <c r="K451" s="21">
        <f t="shared" si="72"/>
        <v>1</v>
      </c>
      <c r="L451" s="633"/>
      <c r="M451" s="21">
        <f t="shared" si="73"/>
        <v>1</v>
      </c>
      <c r="N451" s="633"/>
      <c r="O451" s="21">
        <f t="shared" si="74"/>
        <v>1</v>
      </c>
      <c r="P451" s="633" t="s">
        <v>4859</v>
      </c>
      <c r="Q451" s="21">
        <f t="shared" si="75"/>
        <v>0.95</v>
      </c>
      <c r="R451" s="21">
        <f t="shared" ca="1" si="76"/>
        <v>17.649100000000001</v>
      </c>
      <c r="S451" s="307">
        <f t="shared" ca="1" si="67"/>
        <v>0</v>
      </c>
      <c r="T451" s="687"/>
    </row>
    <row r="452" spans="1:20">
      <c r="A452" s="631" t="str">
        <f>'5号楼'!B432</f>
        <v>B3249</v>
      </c>
      <c r="B452" s="631">
        <f>'5号楼'!C432</f>
        <v>89.38</v>
      </c>
      <c r="C452" s="21">
        <f t="shared" si="68"/>
        <v>1.3</v>
      </c>
      <c r="D452" s="633"/>
      <c r="E452" s="21">
        <f t="shared" si="69"/>
        <v>1</v>
      </c>
      <c r="F452" s="633"/>
      <c r="G452" s="21">
        <f t="shared" si="70"/>
        <v>1</v>
      </c>
      <c r="H452" s="633"/>
      <c r="I452" s="21">
        <f t="shared" si="71"/>
        <v>1</v>
      </c>
      <c r="J452" s="633"/>
      <c r="K452" s="21">
        <f t="shared" si="72"/>
        <v>1</v>
      </c>
      <c r="L452" s="633"/>
      <c r="M452" s="21">
        <f t="shared" si="73"/>
        <v>1</v>
      </c>
      <c r="N452" s="633"/>
      <c r="O452" s="21">
        <f t="shared" si="74"/>
        <v>1</v>
      </c>
      <c r="P452" s="633" t="s">
        <v>4859</v>
      </c>
      <c r="Q452" s="21">
        <f t="shared" si="75"/>
        <v>0.95</v>
      </c>
      <c r="R452" s="21">
        <f t="shared" ca="1" si="76"/>
        <v>22.9438</v>
      </c>
      <c r="S452" s="307">
        <f t="shared" ca="1" si="67"/>
        <v>0</v>
      </c>
      <c r="T452" s="687"/>
    </row>
    <row r="453" spans="1:20">
      <c r="A453" s="631" t="str">
        <f>'5号楼'!B433</f>
        <v>B3250</v>
      </c>
      <c r="B453" s="631">
        <f>'5号楼'!C433</f>
        <v>89.38</v>
      </c>
      <c r="C453" s="21">
        <f t="shared" si="68"/>
        <v>1.3</v>
      </c>
      <c r="D453" s="633"/>
      <c r="E453" s="21">
        <f t="shared" si="69"/>
        <v>1</v>
      </c>
      <c r="F453" s="633"/>
      <c r="G453" s="21">
        <f t="shared" si="70"/>
        <v>1</v>
      </c>
      <c r="H453" s="633"/>
      <c r="I453" s="21">
        <f t="shared" si="71"/>
        <v>1</v>
      </c>
      <c r="J453" s="633"/>
      <c r="K453" s="21">
        <f t="shared" si="72"/>
        <v>1</v>
      </c>
      <c r="L453" s="633"/>
      <c r="M453" s="21">
        <f t="shared" si="73"/>
        <v>1</v>
      </c>
      <c r="N453" s="633"/>
      <c r="O453" s="21">
        <f t="shared" si="74"/>
        <v>1</v>
      </c>
      <c r="P453" s="633" t="s">
        <v>4859</v>
      </c>
      <c r="Q453" s="21">
        <f t="shared" si="75"/>
        <v>0.95</v>
      </c>
      <c r="R453" s="21">
        <f t="shared" ca="1" si="76"/>
        <v>22.9438</v>
      </c>
      <c r="S453" s="307">
        <f t="shared" ca="1" si="67"/>
        <v>0</v>
      </c>
      <c r="T453" s="687"/>
    </row>
    <row r="454" spans="1:20">
      <c r="A454" s="631" t="str">
        <f>'5号楼'!B434</f>
        <v>B3251</v>
      </c>
      <c r="B454" s="631">
        <f>'5号楼'!C434</f>
        <v>52.93</v>
      </c>
      <c r="C454" s="21">
        <f t="shared" si="68"/>
        <v>1</v>
      </c>
      <c r="D454" s="633"/>
      <c r="E454" s="21">
        <f t="shared" si="69"/>
        <v>1</v>
      </c>
      <c r="F454" s="633"/>
      <c r="G454" s="21">
        <f t="shared" si="70"/>
        <v>1</v>
      </c>
      <c r="H454" s="633"/>
      <c r="I454" s="21">
        <f t="shared" si="71"/>
        <v>1</v>
      </c>
      <c r="J454" s="633"/>
      <c r="K454" s="21">
        <f t="shared" si="72"/>
        <v>1</v>
      </c>
      <c r="L454" s="633"/>
      <c r="M454" s="21">
        <f t="shared" si="73"/>
        <v>1</v>
      </c>
      <c r="N454" s="633"/>
      <c r="O454" s="21">
        <f t="shared" si="74"/>
        <v>1</v>
      </c>
      <c r="P454" s="633" t="s">
        <v>4859</v>
      </c>
      <c r="Q454" s="21">
        <f t="shared" si="75"/>
        <v>0.95</v>
      </c>
      <c r="R454" s="21">
        <f t="shared" ca="1" si="76"/>
        <v>17.649100000000001</v>
      </c>
      <c r="S454" s="307">
        <f t="shared" ca="1" si="67"/>
        <v>0</v>
      </c>
      <c r="T454" s="687"/>
    </row>
    <row r="455" spans="1:20">
      <c r="A455" s="631" t="str">
        <f>'5号楼'!B435</f>
        <v>B3252</v>
      </c>
      <c r="B455" s="631">
        <f>'5号楼'!C435</f>
        <v>50.93</v>
      </c>
      <c r="C455" s="21">
        <f t="shared" si="68"/>
        <v>1</v>
      </c>
      <c r="D455" s="633"/>
      <c r="E455" s="21">
        <f t="shared" si="69"/>
        <v>1</v>
      </c>
      <c r="F455" s="633"/>
      <c r="G455" s="21">
        <f t="shared" si="70"/>
        <v>1</v>
      </c>
      <c r="H455" s="633"/>
      <c r="I455" s="21">
        <f t="shared" si="71"/>
        <v>1</v>
      </c>
      <c r="J455" s="633"/>
      <c r="K455" s="21">
        <f t="shared" si="72"/>
        <v>1</v>
      </c>
      <c r="L455" s="633"/>
      <c r="M455" s="21">
        <f t="shared" si="73"/>
        <v>1</v>
      </c>
      <c r="N455" s="633"/>
      <c r="O455" s="21">
        <f t="shared" si="74"/>
        <v>1</v>
      </c>
      <c r="P455" s="633" t="s">
        <v>4859</v>
      </c>
      <c r="Q455" s="21">
        <f t="shared" si="75"/>
        <v>0.95</v>
      </c>
      <c r="R455" s="21">
        <f t="shared" ca="1" si="76"/>
        <v>17.649100000000001</v>
      </c>
      <c r="S455" s="307">
        <f t="shared" ca="1" si="67"/>
        <v>0</v>
      </c>
      <c r="T455" s="687"/>
    </row>
    <row r="456" spans="1:20">
      <c r="A456" s="631" t="str">
        <f>'5号楼'!B436</f>
        <v>B3253</v>
      </c>
      <c r="B456" s="631">
        <f>'5号楼'!C436</f>
        <v>50.93</v>
      </c>
      <c r="C456" s="21">
        <f t="shared" si="68"/>
        <v>1</v>
      </c>
      <c r="D456" s="633"/>
      <c r="E456" s="21">
        <f t="shared" si="69"/>
        <v>1</v>
      </c>
      <c r="F456" s="633"/>
      <c r="G456" s="21">
        <f t="shared" si="70"/>
        <v>1</v>
      </c>
      <c r="H456" s="633"/>
      <c r="I456" s="21">
        <f t="shared" si="71"/>
        <v>1</v>
      </c>
      <c r="J456" s="633"/>
      <c r="K456" s="21">
        <f t="shared" si="72"/>
        <v>1</v>
      </c>
      <c r="L456" s="633"/>
      <c r="M456" s="21">
        <f t="shared" si="73"/>
        <v>1</v>
      </c>
      <c r="N456" s="633"/>
      <c r="O456" s="21">
        <f t="shared" si="74"/>
        <v>1</v>
      </c>
      <c r="P456" s="633" t="s">
        <v>4859</v>
      </c>
      <c r="Q456" s="21">
        <f t="shared" si="75"/>
        <v>0.95</v>
      </c>
      <c r="R456" s="21">
        <f t="shared" ca="1" si="76"/>
        <v>17.649100000000001</v>
      </c>
      <c r="S456" s="307">
        <f t="shared" ca="1" si="67"/>
        <v>0</v>
      </c>
      <c r="T456" s="687"/>
    </row>
    <row r="457" spans="1:20">
      <c r="A457" s="631" t="str">
        <f>'5号楼'!B437</f>
        <v>B3254</v>
      </c>
      <c r="B457" s="631">
        <f>'5号楼'!C437</f>
        <v>50.93</v>
      </c>
      <c r="C457" s="21">
        <f t="shared" si="68"/>
        <v>1</v>
      </c>
      <c r="D457" s="633"/>
      <c r="E457" s="21">
        <f t="shared" si="69"/>
        <v>1</v>
      </c>
      <c r="F457" s="633"/>
      <c r="G457" s="21">
        <f t="shared" si="70"/>
        <v>1</v>
      </c>
      <c r="H457" s="633"/>
      <c r="I457" s="21">
        <f t="shared" si="71"/>
        <v>1</v>
      </c>
      <c r="J457" s="633"/>
      <c r="K457" s="21">
        <f t="shared" si="72"/>
        <v>1</v>
      </c>
      <c r="L457" s="633"/>
      <c r="M457" s="21">
        <f t="shared" si="73"/>
        <v>1</v>
      </c>
      <c r="N457" s="633"/>
      <c r="O457" s="21">
        <f t="shared" si="74"/>
        <v>1</v>
      </c>
      <c r="P457" s="633" t="s">
        <v>4859</v>
      </c>
      <c r="Q457" s="21">
        <f t="shared" si="75"/>
        <v>0.95</v>
      </c>
      <c r="R457" s="21">
        <f t="shared" ca="1" si="76"/>
        <v>17.649100000000001</v>
      </c>
      <c r="S457" s="307">
        <f t="shared" ca="1" si="67"/>
        <v>0</v>
      </c>
      <c r="T457" s="687"/>
    </row>
    <row r="458" spans="1:20">
      <c r="A458" s="631" t="str">
        <f>'5号楼'!B438</f>
        <v>B3255</v>
      </c>
      <c r="B458" s="631">
        <f>'5号楼'!C438</f>
        <v>50.93</v>
      </c>
      <c r="C458" s="21">
        <f t="shared" si="68"/>
        <v>1</v>
      </c>
      <c r="D458" s="633"/>
      <c r="E458" s="21">
        <f t="shared" si="69"/>
        <v>1</v>
      </c>
      <c r="F458" s="633"/>
      <c r="G458" s="21">
        <f t="shared" si="70"/>
        <v>1</v>
      </c>
      <c r="H458" s="633"/>
      <c r="I458" s="21">
        <f t="shared" si="71"/>
        <v>1</v>
      </c>
      <c r="J458" s="633"/>
      <c r="K458" s="21">
        <f t="shared" si="72"/>
        <v>1</v>
      </c>
      <c r="L458" s="633"/>
      <c r="M458" s="21">
        <f t="shared" si="73"/>
        <v>1</v>
      </c>
      <c r="N458" s="633"/>
      <c r="O458" s="21">
        <f t="shared" si="74"/>
        <v>1</v>
      </c>
      <c r="P458" s="633" t="s">
        <v>4859</v>
      </c>
      <c r="Q458" s="21">
        <f t="shared" si="75"/>
        <v>0.95</v>
      </c>
      <c r="R458" s="21">
        <f t="shared" ca="1" si="76"/>
        <v>17.649100000000001</v>
      </c>
      <c r="S458" s="307">
        <f t="shared" ca="1" si="67"/>
        <v>0</v>
      </c>
      <c r="T458" s="687"/>
    </row>
    <row r="459" spans="1:20">
      <c r="A459" s="631" t="str">
        <f>'5号楼'!B439</f>
        <v>B3256</v>
      </c>
      <c r="B459" s="631">
        <f>'5号楼'!C439</f>
        <v>50.93</v>
      </c>
      <c r="C459" s="21">
        <f t="shared" si="68"/>
        <v>1</v>
      </c>
      <c r="D459" s="633"/>
      <c r="E459" s="21">
        <f t="shared" si="69"/>
        <v>1</v>
      </c>
      <c r="F459" s="633"/>
      <c r="G459" s="21">
        <f t="shared" si="70"/>
        <v>1</v>
      </c>
      <c r="H459" s="633"/>
      <c r="I459" s="21">
        <f t="shared" si="71"/>
        <v>1</v>
      </c>
      <c r="J459" s="633"/>
      <c r="K459" s="21">
        <f t="shared" si="72"/>
        <v>1</v>
      </c>
      <c r="L459" s="633"/>
      <c r="M459" s="21">
        <f t="shared" si="73"/>
        <v>1</v>
      </c>
      <c r="N459" s="633"/>
      <c r="O459" s="21">
        <f t="shared" si="74"/>
        <v>1</v>
      </c>
      <c r="P459" s="633" t="s">
        <v>4859</v>
      </c>
      <c r="Q459" s="21">
        <f t="shared" si="75"/>
        <v>0.95</v>
      </c>
      <c r="R459" s="21">
        <f t="shared" ca="1" si="76"/>
        <v>17.649100000000001</v>
      </c>
      <c r="S459" s="307">
        <f t="shared" ca="1" si="67"/>
        <v>0</v>
      </c>
      <c r="T459" s="687"/>
    </row>
    <row r="460" spans="1:20">
      <c r="A460" s="631" t="str">
        <f>'5号楼'!B440</f>
        <v>B3257</v>
      </c>
      <c r="B460" s="631">
        <f>'5号楼'!C440</f>
        <v>50.93</v>
      </c>
      <c r="C460" s="21">
        <f t="shared" si="68"/>
        <v>1</v>
      </c>
      <c r="D460" s="633"/>
      <c r="E460" s="21">
        <f t="shared" si="69"/>
        <v>1</v>
      </c>
      <c r="F460" s="633"/>
      <c r="G460" s="21">
        <f t="shared" si="70"/>
        <v>1</v>
      </c>
      <c r="H460" s="633"/>
      <c r="I460" s="21">
        <f t="shared" si="71"/>
        <v>1</v>
      </c>
      <c r="J460" s="633"/>
      <c r="K460" s="21">
        <f t="shared" si="72"/>
        <v>1</v>
      </c>
      <c r="L460" s="633"/>
      <c r="M460" s="21">
        <f t="shared" si="73"/>
        <v>1</v>
      </c>
      <c r="N460" s="633"/>
      <c r="O460" s="21">
        <f t="shared" si="74"/>
        <v>1</v>
      </c>
      <c r="P460" s="633" t="s">
        <v>4859</v>
      </c>
      <c r="Q460" s="21">
        <f t="shared" si="75"/>
        <v>0.95</v>
      </c>
      <c r="R460" s="21">
        <f t="shared" ca="1" si="76"/>
        <v>17.649100000000001</v>
      </c>
      <c r="S460" s="307">
        <f t="shared" ca="1" si="67"/>
        <v>0</v>
      </c>
      <c r="T460" s="687"/>
    </row>
    <row r="461" spans="1:20">
      <c r="A461" s="631" t="str">
        <f>'5号楼'!B441</f>
        <v>B3258</v>
      </c>
      <c r="B461" s="631">
        <f>'5号楼'!C441</f>
        <v>50.93</v>
      </c>
      <c r="C461" s="21">
        <f t="shared" si="68"/>
        <v>1</v>
      </c>
      <c r="D461" s="633"/>
      <c r="E461" s="21">
        <f t="shared" si="69"/>
        <v>1</v>
      </c>
      <c r="F461" s="633"/>
      <c r="G461" s="21">
        <f t="shared" si="70"/>
        <v>1</v>
      </c>
      <c r="H461" s="633"/>
      <c r="I461" s="21">
        <f t="shared" si="71"/>
        <v>1</v>
      </c>
      <c r="J461" s="633"/>
      <c r="K461" s="21">
        <f t="shared" si="72"/>
        <v>1</v>
      </c>
      <c r="L461" s="633"/>
      <c r="M461" s="21">
        <f t="shared" si="73"/>
        <v>1</v>
      </c>
      <c r="N461" s="633"/>
      <c r="O461" s="21">
        <f t="shared" si="74"/>
        <v>1</v>
      </c>
      <c r="P461" s="633" t="s">
        <v>4859</v>
      </c>
      <c r="Q461" s="21">
        <f t="shared" si="75"/>
        <v>0.95</v>
      </c>
      <c r="R461" s="21">
        <f t="shared" ca="1" si="76"/>
        <v>17.649100000000001</v>
      </c>
      <c r="S461" s="307">
        <f t="shared" ca="1" si="67"/>
        <v>0</v>
      </c>
      <c r="T461" s="687"/>
    </row>
    <row r="462" spans="1:20">
      <c r="A462" s="631" t="str">
        <f>'5号楼'!B442</f>
        <v>B3259</v>
      </c>
      <c r="B462" s="631">
        <f>'5号楼'!C442</f>
        <v>50.93</v>
      </c>
      <c r="C462" s="21">
        <f t="shared" si="68"/>
        <v>1</v>
      </c>
      <c r="D462" s="633"/>
      <c r="E462" s="21">
        <f t="shared" si="69"/>
        <v>1</v>
      </c>
      <c r="F462" s="633"/>
      <c r="G462" s="21">
        <f t="shared" si="70"/>
        <v>1</v>
      </c>
      <c r="H462" s="633"/>
      <c r="I462" s="21">
        <f t="shared" si="71"/>
        <v>1</v>
      </c>
      <c r="J462" s="633"/>
      <c r="K462" s="21">
        <f t="shared" si="72"/>
        <v>1</v>
      </c>
      <c r="L462" s="633"/>
      <c r="M462" s="21">
        <f t="shared" si="73"/>
        <v>1</v>
      </c>
      <c r="N462" s="633"/>
      <c r="O462" s="21">
        <f t="shared" si="74"/>
        <v>1</v>
      </c>
      <c r="P462" s="633" t="s">
        <v>4859</v>
      </c>
      <c r="Q462" s="21">
        <f t="shared" si="75"/>
        <v>0.95</v>
      </c>
      <c r="R462" s="21">
        <f t="shared" ca="1" si="76"/>
        <v>17.649100000000001</v>
      </c>
      <c r="S462" s="307">
        <f t="shared" ca="1" si="67"/>
        <v>0</v>
      </c>
      <c r="T462" s="687"/>
    </row>
    <row r="463" spans="1:20">
      <c r="A463" s="631" t="str">
        <f>'5号楼'!B443</f>
        <v>B3260</v>
      </c>
      <c r="B463" s="631">
        <f>'5号楼'!C443</f>
        <v>50.93</v>
      </c>
      <c r="C463" s="21">
        <f t="shared" si="68"/>
        <v>1</v>
      </c>
      <c r="D463" s="633"/>
      <c r="E463" s="21">
        <f t="shared" si="69"/>
        <v>1</v>
      </c>
      <c r="F463" s="633"/>
      <c r="G463" s="21">
        <f t="shared" si="70"/>
        <v>1</v>
      </c>
      <c r="H463" s="633"/>
      <c r="I463" s="21">
        <f t="shared" si="71"/>
        <v>1</v>
      </c>
      <c r="J463" s="633"/>
      <c r="K463" s="21">
        <f t="shared" si="72"/>
        <v>1</v>
      </c>
      <c r="L463" s="633"/>
      <c r="M463" s="21">
        <f t="shared" si="73"/>
        <v>1</v>
      </c>
      <c r="N463" s="633"/>
      <c r="O463" s="21">
        <f t="shared" si="74"/>
        <v>1</v>
      </c>
      <c r="P463" s="633" t="s">
        <v>4859</v>
      </c>
      <c r="Q463" s="21">
        <f t="shared" si="75"/>
        <v>0.95</v>
      </c>
      <c r="R463" s="21">
        <f t="shared" ca="1" si="76"/>
        <v>17.649100000000001</v>
      </c>
      <c r="S463" s="307">
        <f t="shared" ca="1" si="67"/>
        <v>0</v>
      </c>
      <c r="T463" s="687"/>
    </row>
    <row r="464" spans="1:20">
      <c r="A464" s="631" t="str">
        <f>'5号楼'!B444</f>
        <v>B3261</v>
      </c>
      <c r="B464" s="631">
        <f>'5号楼'!C444</f>
        <v>50.93</v>
      </c>
      <c r="C464" s="21">
        <f t="shared" si="68"/>
        <v>1</v>
      </c>
      <c r="D464" s="633"/>
      <c r="E464" s="21">
        <f t="shared" si="69"/>
        <v>1</v>
      </c>
      <c r="F464" s="633"/>
      <c r="G464" s="21">
        <f t="shared" si="70"/>
        <v>1</v>
      </c>
      <c r="H464" s="633"/>
      <c r="I464" s="21">
        <f t="shared" si="71"/>
        <v>1</v>
      </c>
      <c r="J464" s="633"/>
      <c r="K464" s="21">
        <f t="shared" si="72"/>
        <v>1</v>
      </c>
      <c r="L464" s="633"/>
      <c r="M464" s="21">
        <f t="shared" si="73"/>
        <v>1</v>
      </c>
      <c r="N464" s="633"/>
      <c r="O464" s="21">
        <f t="shared" si="74"/>
        <v>1</v>
      </c>
      <c r="P464" s="633" t="s">
        <v>4859</v>
      </c>
      <c r="Q464" s="21">
        <f t="shared" si="75"/>
        <v>0.95</v>
      </c>
      <c r="R464" s="21">
        <f t="shared" ca="1" si="76"/>
        <v>17.649100000000001</v>
      </c>
      <c r="S464" s="307">
        <f t="shared" ca="1" si="67"/>
        <v>0</v>
      </c>
      <c r="T464" s="687"/>
    </row>
    <row r="465" spans="1:20">
      <c r="A465" s="631" t="str">
        <f>'5号楼'!B445</f>
        <v>B3262</v>
      </c>
      <c r="B465" s="631">
        <f>'5号楼'!C445</f>
        <v>50.93</v>
      </c>
      <c r="C465" s="21">
        <f t="shared" si="68"/>
        <v>1</v>
      </c>
      <c r="D465" s="633"/>
      <c r="E465" s="21">
        <f t="shared" si="69"/>
        <v>1</v>
      </c>
      <c r="F465" s="633"/>
      <c r="G465" s="21">
        <f t="shared" si="70"/>
        <v>1</v>
      </c>
      <c r="H465" s="633"/>
      <c r="I465" s="21">
        <f t="shared" si="71"/>
        <v>1</v>
      </c>
      <c r="J465" s="633"/>
      <c r="K465" s="21">
        <f t="shared" si="72"/>
        <v>1</v>
      </c>
      <c r="L465" s="633"/>
      <c r="M465" s="21">
        <f t="shared" si="73"/>
        <v>1</v>
      </c>
      <c r="N465" s="633"/>
      <c r="O465" s="21">
        <f t="shared" si="74"/>
        <v>1</v>
      </c>
      <c r="P465" s="633" t="s">
        <v>4859</v>
      </c>
      <c r="Q465" s="21">
        <f t="shared" si="75"/>
        <v>0.95</v>
      </c>
      <c r="R465" s="21">
        <f t="shared" ca="1" si="76"/>
        <v>17.649100000000001</v>
      </c>
      <c r="S465" s="307">
        <f t="shared" ca="1" si="67"/>
        <v>0</v>
      </c>
      <c r="T465" s="687"/>
    </row>
    <row r="466" spans="1:20">
      <c r="A466" s="631" t="str">
        <f>'5号楼'!B446</f>
        <v>B3263</v>
      </c>
      <c r="B466" s="631">
        <f>'5号楼'!C446</f>
        <v>50.93</v>
      </c>
      <c r="C466" s="21">
        <f t="shared" si="68"/>
        <v>1</v>
      </c>
      <c r="D466" s="633"/>
      <c r="E466" s="21">
        <f t="shared" si="69"/>
        <v>1</v>
      </c>
      <c r="F466" s="633"/>
      <c r="G466" s="21">
        <f t="shared" si="70"/>
        <v>1</v>
      </c>
      <c r="H466" s="633"/>
      <c r="I466" s="21">
        <f t="shared" si="71"/>
        <v>1</v>
      </c>
      <c r="J466" s="633"/>
      <c r="K466" s="21">
        <f t="shared" si="72"/>
        <v>1</v>
      </c>
      <c r="L466" s="633"/>
      <c r="M466" s="21">
        <f t="shared" si="73"/>
        <v>1</v>
      </c>
      <c r="N466" s="633"/>
      <c r="O466" s="21">
        <f t="shared" si="74"/>
        <v>1</v>
      </c>
      <c r="P466" s="633" t="s">
        <v>4859</v>
      </c>
      <c r="Q466" s="21">
        <f t="shared" si="75"/>
        <v>0.95</v>
      </c>
      <c r="R466" s="21">
        <f t="shared" ca="1" si="76"/>
        <v>17.649100000000001</v>
      </c>
      <c r="S466" s="307">
        <f t="shared" ca="1" si="67"/>
        <v>0</v>
      </c>
      <c r="T466" s="687"/>
    </row>
    <row r="467" spans="1:20">
      <c r="A467" s="631" t="str">
        <f>'5号楼'!B447</f>
        <v>B3264</v>
      </c>
      <c r="B467" s="631">
        <f>'5号楼'!C447</f>
        <v>50.93</v>
      </c>
      <c r="C467" s="21">
        <f t="shared" si="68"/>
        <v>1</v>
      </c>
      <c r="D467" s="633"/>
      <c r="E467" s="21">
        <f t="shared" si="69"/>
        <v>1</v>
      </c>
      <c r="F467" s="633"/>
      <c r="G467" s="21">
        <f t="shared" si="70"/>
        <v>1</v>
      </c>
      <c r="H467" s="633"/>
      <c r="I467" s="21">
        <f t="shared" si="71"/>
        <v>1</v>
      </c>
      <c r="J467" s="633"/>
      <c r="K467" s="21">
        <f t="shared" si="72"/>
        <v>1</v>
      </c>
      <c r="L467" s="633"/>
      <c r="M467" s="21">
        <f t="shared" si="73"/>
        <v>1</v>
      </c>
      <c r="N467" s="633"/>
      <c r="O467" s="21">
        <f t="shared" si="74"/>
        <v>1</v>
      </c>
      <c r="P467" s="633" t="s">
        <v>4859</v>
      </c>
      <c r="Q467" s="21">
        <f t="shared" si="75"/>
        <v>0.95</v>
      </c>
      <c r="R467" s="21">
        <f t="shared" ca="1" si="76"/>
        <v>17.649100000000001</v>
      </c>
      <c r="S467" s="307">
        <f t="shared" ca="1" si="67"/>
        <v>0</v>
      </c>
      <c r="T467" s="687"/>
    </row>
    <row r="468" spans="1:20">
      <c r="A468" s="631" t="str">
        <f>'5号楼'!B448</f>
        <v>B3265</v>
      </c>
      <c r="B468" s="631">
        <f>'5号楼'!C448</f>
        <v>50.93</v>
      </c>
      <c r="C468" s="21">
        <f t="shared" si="68"/>
        <v>1</v>
      </c>
      <c r="D468" s="633"/>
      <c r="E468" s="21">
        <f t="shared" si="69"/>
        <v>1</v>
      </c>
      <c r="F468" s="633"/>
      <c r="G468" s="21">
        <f t="shared" si="70"/>
        <v>1</v>
      </c>
      <c r="H468" s="633"/>
      <c r="I468" s="21">
        <f t="shared" si="71"/>
        <v>1</v>
      </c>
      <c r="J468" s="633"/>
      <c r="K468" s="21">
        <f t="shared" si="72"/>
        <v>1</v>
      </c>
      <c r="L468" s="633"/>
      <c r="M468" s="21">
        <f t="shared" si="73"/>
        <v>1</v>
      </c>
      <c r="N468" s="633"/>
      <c r="O468" s="21">
        <f t="shared" si="74"/>
        <v>1</v>
      </c>
      <c r="P468" s="633" t="s">
        <v>4859</v>
      </c>
      <c r="Q468" s="21">
        <f t="shared" si="75"/>
        <v>0.95</v>
      </c>
      <c r="R468" s="21">
        <f t="shared" ca="1" si="76"/>
        <v>17.649100000000001</v>
      </c>
      <c r="S468" s="307">
        <f t="shared" ca="1" si="67"/>
        <v>0</v>
      </c>
      <c r="T468" s="687"/>
    </row>
    <row r="469" spans="1:20">
      <c r="A469" s="631" t="str">
        <f>'5号楼'!B449</f>
        <v>B3266</v>
      </c>
      <c r="B469" s="631">
        <f>'5号楼'!C449</f>
        <v>50.93</v>
      </c>
      <c r="C469" s="21">
        <f t="shared" si="68"/>
        <v>1</v>
      </c>
      <c r="D469" s="633"/>
      <c r="E469" s="21">
        <f t="shared" si="69"/>
        <v>1</v>
      </c>
      <c r="F469" s="633"/>
      <c r="G469" s="21">
        <f t="shared" si="70"/>
        <v>1</v>
      </c>
      <c r="H469" s="633"/>
      <c r="I469" s="21">
        <f t="shared" si="71"/>
        <v>1</v>
      </c>
      <c r="J469" s="633"/>
      <c r="K469" s="21">
        <f t="shared" si="72"/>
        <v>1</v>
      </c>
      <c r="L469" s="633"/>
      <c r="M469" s="21">
        <f t="shared" si="73"/>
        <v>1</v>
      </c>
      <c r="N469" s="633"/>
      <c r="O469" s="21">
        <f t="shared" si="74"/>
        <v>1</v>
      </c>
      <c r="P469" s="633" t="s">
        <v>4859</v>
      </c>
      <c r="Q469" s="21">
        <f t="shared" si="75"/>
        <v>0.95</v>
      </c>
      <c r="R469" s="21">
        <f t="shared" ca="1" si="76"/>
        <v>17.649100000000001</v>
      </c>
      <c r="S469" s="307">
        <f t="shared" ca="1" si="67"/>
        <v>0</v>
      </c>
      <c r="T469" s="687"/>
    </row>
    <row r="470" spans="1:20">
      <c r="A470" s="631" t="str">
        <f>'5号楼'!B450</f>
        <v>B3267</v>
      </c>
      <c r="B470" s="631">
        <f>'5号楼'!C450</f>
        <v>50.93</v>
      </c>
      <c r="C470" s="21">
        <f t="shared" si="68"/>
        <v>1</v>
      </c>
      <c r="D470" s="633"/>
      <c r="E470" s="21">
        <f t="shared" si="69"/>
        <v>1</v>
      </c>
      <c r="F470" s="633"/>
      <c r="G470" s="21">
        <f t="shared" si="70"/>
        <v>1</v>
      </c>
      <c r="H470" s="633"/>
      <c r="I470" s="21">
        <f t="shared" si="71"/>
        <v>1</v>
      </c>
      <c r="J470" s="633"/>
      <c r="K470" s="21">
        <f t="shared" si="72"/>
        <v>1</v>
      </c>
      <c r="L470" s="633"/>
      <c r="M470" s="21">
        <f t="shared" si="73"/>
        <v>1</v>
      </c>
      <c r="N470" s="633"/>
      <c r="O470" s="21">
        <f t="shared" si="74"/>
        <v>1</v>
      </c>
      <c r="P470" s="633" t="s">
        <v>4859</v>
      </c>
      <c r="Q470" s="21">
        <f t="shared" si="75"/>
        <v>0.95</v>
      </c>
      <c r="R470" s="21">
        <f t="shared" ca="1" si="76"/>
        <v>17.649100000000001</v>
      </c>
      <c r="S470" s="307">
        <f t="shared" ca="1" si="67"/>
        <v>0</v>
      </c>
      <c r="T470" s="687"/>
    </row>
    <row r="471" spans="1:20">
      <c r="A471" s="631" t="str">
        <f>'5号楼'!B451</f>
        <v>B3268</v>
      </c>
      <c r="B471" s="631">
        <f>'5号楼'!C451</f>
        <v>50.93</v>
      </c>
      <c r="C471" s="21">
        <f t="shared" si="68"/>
        <v>1</v>
      </c>
      <c r="D471" s="633"/>
      <c r="E471" s="21">
        <f t="shared" si="69"/>
        <v>1</v>
      </c>
      <c r="F471" s="633"/>
      <c r="G471" s="21">
        <f t="shared" si="70"/>
        <v>1</v>
      </c>
      <c r="H471" s="633"/>
      <c r="I471" s="21">
        <f t="shared" si="71"/>
        <v>1</v>
      </c>
      <c r="J471" s="633"/>
      <c r="K471" s="21">
        <f t="shared" si="72"/>
        <v>1</v>
      </c>
      <c r="L471" s="633"/>
      <c r="M471" s="21">
        <f t="shared" si="73"/>
        <v>1</v>
      </c>
      <c r="N471" s="633"/>
      <c r="O471" s="21">
        <f t="shared" si="74"/>
        <v>1</v>
      </c>
      <c r="P471" s="633" t="s">
        <v>4859</v>
      </c>
      <c r="Q471" s="21">
        <f t="shared" si="75"/>
        <v>0.95</v>
      </c>
      <c r="R471" s="21">
        <f t="shared" ca="1" si="76"/>
        <v>17.649100000000001</v>
      </c>
      <c r="S471" s="307">
        <f t="shared" ca="1" si="67"/>
        <v>0</v>
      </c>
      <c r="T471" s="687"/>
    </row>
    <row r="472" spans="1:20">
      <c r="A472" s="631" t="str">
        <f>'5号楼'!B452</f>
        <v>B3269</v>
      </c>
      <c r="B472" s="631">
        <f>'5号楼'!C452</f>
        <v>50.93</v>
      </c>
      <c r="C472" s="21">
        <f t="shared" si="68"/>
        <v>1</v>
      </c>
      <c r="D472" s="633"/>
      <c r="E472" s="21">
        <f t="shared" si="69"/>
        <v>1</v>
      </c>
      <c r="F472" s="633"/>
      <c r="G472" s="21">
        <f t="shared" si="70"/>
        <v>1</v>
      </c>
      <c r="H472" s="633"/>
      <c r="I472" s="21">
        <f t="shared" si="71"/>
        <v>1</v>
      </c>
      <c r="J472" s="633"/>
      <c r="K472" s="21">
        <f t="shared" si="72"/>
        <v>1</v>
      </c>
      <c r="L472" s="633"/>
      <c r="M472" s="21">
        <f t="shared" si="73"/>
        <v>1</v>
      </c>
      <c r="N472" s="633"/>
      <c r="O472" s="21">
        <f t="shared" si="74"/>
        <v>1</v>
      </c>
      <c r="P472" s="633" t="s">
        <v>4859</v>
      </c>
      <c r="Q472" s="21">
        <f t="shared" si="75"/>
        <v>0.95</v>
      </c>
      <c r="R472" s="21">
        <f t="shared" ca="1" si="76"/>
        <v>17.649100000000001</v>
      </c>
      <c r="S472" s="307">
        <f t="shared" ref="S472:S524" ca="1" si="77">ROUND(R472*B472/10000,0)</f>
        <v>0</v>
      </c>
      <c r="T472" s="687"/>
    </row>
    <row r="473" spans="1:20">
      <c r="A473" s="631" t="str">
        <f>'5号楼'!B453</f>
        <v>B3270</v>
      </c>
      <c r="B473" s="631">
        <f>'5号楼'!C453</f>
        <v>50.93</v>
      </c>
      <c r="C473" s="21">
        <f t="shared" si="68"/>
        <v>1</v>
      </c>
      <c r="D473" s="633"/>
      <c r="E473" s="21">
        <f t="shared" si="69"/>
        <v>1</v>
      </c>
      <c r="F473" s="633"/>
      <c r="G473" s="21">
        <f t="shared" si="70"/>
        <v>1</v>
      </c>
      <c r="H473" s="633"/>
      <c r="I473" s="21">
        <f t="shared" si="71"/>
        <v>1</v>
      </c>
      <c r="J473" s="633"/>
      <c r="K473" s="21">
        <f t="shared" si="72"/>
        <v>1</v>
      </c>
      <c r="L473" s="633"/>
      <c r="M473" s="21">
        <f t="shared" si="73"/>
        <v>1</v>
      </c>
      <c r="N473" s="633"/>
      <c r="O473" s="21">
        <f t="shared" si="74"/>
        <v>1</v>
      </c>
      <c r="P473" s="633" t="s">
        <v>4859</v>
      </c>
      <c r="Q473" s="21">
        <f t="shared" si="75"/>
        <v>0.95</v>
      </c>
      <c r="R473" s="21">
        <f t="shared" ca="1" si="76"/>
        <v>17.649100000000001</v>
      </c>
      <c r="S473" s="307">
        <f t="shared" ca="1" si="77"/>
        <v>0</v>
      </c>
      <c r="T473" s="687"/>
    </row>
    <row r="474" spans="1:20">
      <c r="A474" s="631" t="str">
        <f>'5号楼'!B454</f>
        <v>B3271</v>
      </c>
      <c r="B474" s="631">
        <f>'5号楼'!C454</f>
        <v>50.93</v>
      </c>
      <c r="C474" s="21">
        <f t="shared" ref="C474:C524" si="78">IF(B474="",1,(LOOKUP(B474,$3:$3,$4:$4)-LOOKUP($B$24,$3:$3,$4:$4)+100)/100)</f>
        <v>1</v>
      </c>
      <c r="D474" s="633"/>
      <c r="E474" s="21">
        <f t="shared" ref="E474:E524" si="79">(SUMIF($5:$5,D474,$6:$6)-SUMIF($5:$5,$D$24,$6:$6)+100)/100</f>
        <v>1</v>
      </c>
      <c r="F474" s="633"/>
      <c r="G474" s="21">
        <f t="shared" ref="G474:G524" si="80">(SUMIF($7:$7,F474,$8:$8)-SUMIF($7:$7,$F$24,$8:$8)+100)/100</f>
        <v>1</v>
      </c>
      <c r="H474" s="633"/>
      <c r="I474" s="21">
        <f t="shared" ref="I474:I524" si="81">(SUMIF($9:$9,H474,$10:$10)-SUMIF($9:$9,$H$24,$10:$10)+100)/100</f>
        <v>1</v>
      </c>
      <c r="J474" s="633"/>
      <c r="K474" s="21">
        <f t="shared" ref="K474:K524" si="82">(SUMIF($11:$11,J474,$12:$12)-SUMIF($11:$11,$J$24,$12:$12)+100)/100</f>
        <v>1</v>
      </c>
      <c r="L474" s="633"/>
      <c r="M474" s="21">
        <f t="shared" ref="M474:M524" si="83">(SUMIF($13:$13,L474,$14:$14)-SUMIF($13:$13,$L$24,$14:$14)+100)/100</f>
        <v>1</v>
      </c>
      <c r="N474" s="633"/>
      <c r="O474" s="21">
        <f t="shared" ref="O474:O524" si="84">(SUMIF($15:$15,N474,$16:$16)-SUMIF($15:$15,$N$24,$16:$16)+100)/100</f>
        <v>1</v>
      </c>
      <c r="P474" s="633" t="s">
        <v>4859</v>
      </c>
      <c r="Q474" s="21">
        <f t="shared" ref="Q474:Q524" si="85">(SUMIF($17:$17,P474,$18:$18)-SUMIF($17:$17,$P$24,$18:$18)+100)/100</f>
        <v>0.95</v>
      </c>
      <c r="R474" s="21">
        <f t="shared" ref="R474:R537" ca="1" si="86">IF(B474="",0,ROUND($R$24*C474*E474*G474*I474*K474*M474*O474*Q474,4))</f>
        <v>17.649100000000001</v>
      </c>
      <c r="S474" s="307">
        <f t="shared" ca="1" si="77"/>
        <v>0</v>
      </c>
      <c r="T474" s="687"/>
    </row>
    <row r="475" spans="1:20">
      <c r="A475" s="631" t="str">
        <f>'5号楼'!B455</f>
        <v>B3272</v>
      </c>
      <c r="B475" s="631">
        <f>'5号楼'!C455</f>
        <v>50.93</v>
      </c>
      <c r="C475" s="21">
        <f t="shared" si="78"/>
        <v>1</v>
      </c>
      <c r="D475" s="633"/>
      <c r="E475" s="21">
        <f t="shared" si="79"/>
        <v>1</v>
      </c>
      <c r="F475" s="633"/>
      <c r="G475" s="21">
        <f t="shared" si="80"/>
        <v>1</v>
      </c>
      <c r="H475" s="633"/>
      <c r="I475" s="21">
        <f t="shared" si="81"/>
        <v>1</v>
      </c>
      <c r="J475" s="633"/>
      <c r="K475" s="21">
        <f t="shared" si="82"/>
        <v>1</v>
      </c>
      <c r="L475" s="633"/>
      <c r="M475" s="21">
        <f t="shared" si="83"/>
        <v>1</v>
      </c>
      <c r="N475" s="633"/>
      <c r="O475" s="21">
        <f t="shared" si="84"/>
        <v>1</v>
      </c>
      <c r="P475" s="633" t="s">
        <v>4859</v>
      </c>
      <c r="Q475" s="21">
        <f t="shared" si="85"/>
        <v>0.95</v>
      </c>
      <c r="R475" s="21">
        <f t="shared" ca="1" si="86"/>
        <v>17.649100000000001</v>
      </c>
      <c r="S475" s="307">
        <f t="shared" ca="1" si="77"/>
        <v>0</v>
      </c>
      <c r="T475" s="687"/>
    </row>
    <row r="476" spans="1:20">
      <c r="A476" s="631" t="str">
        <f>'5号楼'!B456</f>
        <v>B3273</v>
      </c>
      <c r="B476" s="631">
        <f>'5号楼'!C456</f>
        <v>50.93</v>
      </c>
      <c r="C476" s="21">
        <f t="shared" si="78"/>
        <v>1</v>
      </c>
      <c r="D476" s="633"/>
      <c r="E476" s="21">
        <f t="shared" si="79"/>
        <v>1</v>
      </c>
      <c r="F476" s="633"/>
      <c r="G476" s="21">
        <f t="shared" si="80"/>
        <v>1</v>
      </c>
      <c r="H476" s="633"/>
      <c r="I476" s="21">
        <f t="shared" si="81"/>
        <v>1</v>
      </c>
      <c r="J476" s="633"/>
      <c r="K476" s="21">
        <f t="shared" si="82"/>
        <v>1</v>
      </c>
      <c r="L476" s="633"/>
      <c r="M476" s="21">
        <f t="shared" si="83"/>
        <v>1</v>
      </c>
      <c r="N476" s="633"/>
      <c r="O476" s="21">
        <f t="shared" si="84"/>
        <v>1</v>
      </c>
      <c r="P476" s="633" t="s">
        <v>4859</v>
      </c>
      <c r="Q476" s="21">
        <f t="shared" si="85"/>
        <v>0.95</v>
      </c>
      <c r="R476" s="21">
        <f t="shared" ca="1" si="86"/>
        <v>17.649100000000001</v>
      </c>
      <c r="S476" s="307">
        <f t="shared" ca="1" si="77"/>
        <v>0</v>
      </c>
      <c r="T476" s="687"/>
    </row>
    <row r="477" spans="1:20">
      <c r="A477" s="631" t="str">
        <f>'5号楼'!B457</f>
        <v>B3274</v>
      </c>
      <c r="B477" s="631">
        <f>'5号楼'!C457</f>
        <v>50.93</v>
      </c>
      <c r="C477" s="21">
        <f t="shared" si="78"/>
        <v>1</v>
      </c>
      <c r="D477" s="633"/>
      <c r="E477" s="21">
        <f t="shared" si="79"/>
        <v>1</v>
      </c>
      <c r="F477" s="633"/>
      <c r="G477" s="21">
        <f t="shared" si="80"/>
        <v>1</v>
      </c>
      <c r="H477" s="633"/>
      <c r="I477" s="21">
        <f t="shared" si="81"/>
        <v>1</v>
      </c>
      <c r="J477" s="633"/>
      <c r="K477" s="21">
        <f t="shared" si="82"/>
        <v>1</v>
      </c>
      <c r="L477" s="633"/>
      <c r="M477" s="21">
        <f t="shared" si="83"/>
        <v>1</v>
      </c>
      <c r="N477" s="633"/>
      <c r="O477" s="21">
        <f t="shared" si="84"/>
        <v>1</v>
      </c>
      <c r="P477" s="633" t="s">
        <v>4859</v>
      </c>
      <c r="Q477" s="21">
        <f t="shared" si="85"/>
        <v>0.95</v>
      </c>
      <c r="R477" s="21">
        <f t="shared" ca="1" si="86"/>
        <v>17.649100000000001</v>
      </c>
      <c r="S477" s="307">
        <f t="shared" ca="1" si="77"/>
        <v>0</v>
      </c>
      <c r="T477" s="687"/>
    </row>
    <row r="478" spans="1:20">
      <c r="A478" s="631" t="str">
        <f>'5号楼'!B458</f>
        <v>B3275</v>
      </c>
      <c r="B478" s="631">
        <f>'5号楼'!C458</f>
        <v>50.93</v>
      </c>
      <c r="C478" s="21">
        <f t="shared" si="78"/>
        <v>1</v>
      </c>
      <c r="D478" s="633"/>
      <c r="E478" s="21">
        <f t="shared" si="79"/>
        <v>1</v>
      </c>
      <c r="F478" s="633"/>
      <c r="G478" s="21">
        <f t="shared" si="80"/>
        <v>1</v>
      </c>
      <c r="H478" s="633"/>
      <c r="I478" s="21">
        <f t="shared" si="81"/>
        <v>1</v>
      </c>
      <c r="J478" s="633"/>
      <c r="K478" s="21">
        <f t="shared" si="82"/>
        <v>1</v>
      </c>
      <c r="L478" s="633"/>
      <c r="M478" s="21">
        <f t="shared" si="83"/>
        <v>1</v>
      </c>
      <c r="N478" s="633"/>
      <c r="O478" s="21">
        <f t="shared" si="84"/>
        <v>1</v>
      </c>
      <c r="P478" s="633" t="s">
        <v>4859</v>
      </c>
      <c r="Q478" s="21">
        <f t="shared" si="85"/>
        <v>0.95</v>
      </c>
      <c r="R478" s="21">
        <f t="shared" ca="1" si="86"/>
        <v>17.649100000000001</v>
      </c>
      <c r="S478" s="307">
        <f t="shared" ca="1" si="77"/>
        <v>0</v>
      </c>
      <c r="T478" s="687"/>
    </row>
    <row r="479" spans="1:20">
      <c r="A479" s="631" t="str">
        <f>'5号楼'!B459</f>
        <v>B3276</v>
      </c>
      <c r="B479" s="631">
        <f>'5号楼'!C459</f>
        <v>50.93</v>
      </c>
      <c r="C479" s="21">
        <f t="shared" si="78"/>
        <v>1</v>
      </c>
      <c r="D479" s="633"/>
      <c r="E479" s="21">
        <f t="shared" si="79"/>
        <v>1</v>
      </c>
      <c r="F479" s="633"/>
      <c r="G479" s="21">
        <f t="shared" si="80"/>
        <v>1</v>
      </c>
      <c r="H479" s="633"/>
      <c r="I479" s="21">
        <f t="shared" si="81"/>
        <v>1</v>
      </c>
      <c r="J479" s="633"/>
      <c r="K479" s="21">
        <f t="shared" si="82"/>
        <v>1</v>
      </c>
      <c r="L479" s="633"/>
      <c r="M479" s="21">
        <f t="shared" si="83"/>
        <v>1</v>
      </c>
      <c r="N479" s="633"/>
      <c r="O479" s="21">
        <f t="shared" si="84"/>
        <v>1</v>
      </c>
      <c r="P479" s="633" t="s">
        <v>4859</v>
      </c>
      <c r="Q479" s="21">
        <f t="shared" si="85"/>
        <v>0.95</v>
      </c>
      <c r="R479" s="21">
        <f t="shared" ca="1" si="86"/>
        <v>17.649100000000001</v>
      </c>
      <c r="S479" s="307">
        <f t="shared" ca="1" si="77"/>
        <v>0</v>
      </c>
      <c r="T479" s="687"/>
    </row>
    <row r="480" spans="1:20">
      <c r="A480" s="631" t="str">
        <f>'5号楼'!B460</f>
        <v>B3277</v>
      </c>
      <c r="B480" s="631">
        <f>'5号楼'!C460</f>
        <v>50.93</v>
      </c>
      <c r="C480" s="21">
        <f t="shared" si="78"/>
        <v>1</v>
      </c>
      <c r="D480" s="633"/>
      <c r="E480" s="21">
        <f t="shared" si="79"/>
        <v>1</v>
      </c>
      <c r="F480" s="633"/>
      <c r="G480" s="21">
        <f t="shared" si="80"/>
        <v>1</v>
      </c>
      <c r="H480" s="633"/>
      <c r="I480" s="21">
        <f t="shared" si="81"/>
        <v>1</v>
      </c>
      <c r="J480" s="633"/>
      <c r="K480" s="21">
        <f t="shared" si="82"/>
        <v>1</v>
      </c>
      <c r="L480" s="633"/>
      <c r="M480" s="21">
        <f t="shared" si="83"/>
        <v>1</v>
      </c>
      <c r="N480" s="633"/>
      <c r="O480" s="21">
        <f t="shared" si="84"/>
        <v>1</v>
      </c>
      <c r="P480" s="633" t="s">
        <v>4859</v>
      </c>
      <c r="Q480" s="21">
        <f t="shared" si="85"/>
        <v>0.95</v>
      </c>
      <c r="R480" s="21">
        <f t="shared" ca="1" si="86"/>
        <v>17.649100000000001</v>
      </c>
      <c r="S480" s="307">
        <f t="shared" ca="1" si="77"/>
        <v>0</v>
      </c>
      <c r="T480" s="687"/>
    </row>
    <row r="481" spans="1:20">
      <c r="A481" s="631" t="str">
        <f>'5号楼'!B461</f>
        <v>B3278</v>
      </c>
      <c r="B481" s="631">
        <f>'5号楼'!C461</f>
        <v>50.93</v>
      </c>
      <c r="C481" s="21">
        <f t="shared" si="78"/>
        <v>1</v>
      </c>
      <c r="D481" s="633"/>
      <c r="E481" s="21">
        <f t="shared" si="79"/>
        <v>1</v>
      </c>
      <c r="F481" s="633"/>
      <c r="G481" s="21">
        <f t="shared" si="80"/>
        <v>1</v>
      </c>
      <c r="H481" s="633"/>
      <c r="I481" s="21">
        <f t="shared" si="81"/>
        <v>1</v>
      </c>
      <c r="J481" s="633"/>
      <c r="K481" s="21">
        <f t="shared" si="82"/>
        <v>1</v>
      </c>
      <c r="L481" s="633"/>
      <c r="M481" s="21">
        <f t="shared" si="83"/>
        <v>1</v>
      </c>
      <c r="N481" s="633"/>
      <c r="O481" s="21">
        <f t="shared" si="84"/>
        <v>1</v>
      </c>
      <c r="P481" s="633" t="s">
        <v>4859</v>
      </c>
      <c r="Q481" s="21">
        <f t="shared" si="85"/>
        <v>0.95</v>
      </c>
      <c r="R481" s="21">
        <f t="shared" ca="1" si="86"/>
        <v>17.649100000000001</v>
      </c>
      <c r="S481" s="307">
        <f t="shared" ca="1" si="77"/>
        <v>0</v>
      </c>
      <c r="T481" s="687"/>
    </row>
    <row r="482" spans="1:20">
      <c r="A482" s="631" t="str">
        <f>'5号楼'!B462</f>
        <v>B3279</v>
      </c>
      <c r="B482" s="631">
        <f>'5号楼'!C462</f>
        <v>50.93</v>
      </c>
      <c r="C482" s="21">
        <f t="shared" si="78"/>
        <v>1</v>
      </c>
      <c r="D482" s="633"/>
      <c r="E482" s="21">
        <f t="shared" si="79"/>
        <v>1</v>
      </c>
      <c r="F482" s="633"/>
      <c r="G482" s="21">
        <f t="shared" si="80"/>
        <v>1</v>
      </c>
      <c r="H482" s="633"/>
      <c r="I482" s="21">
        <f t="shared" si="81"/>
        <v>1</v>
      </c>
      <c r="J482" s="633"/>
      <c r="K482" s="21">
        <f t="shared" si="82"/>
        <v>1</v>
      </c>
      <c r="L482" s="633"/>
      <c r="M482" s="21">
        <f t="shared" si="83"/>
        <v>1</v>
      </c>
      <c r="N482" s="633"/>
      <c r="O482" s="21">
        <f t="shared" si="84"/>
        <v>1</v>
      </c>
      <c r="P482" s="633" t="s">
        <v>4859</v>
      </c>
      <c r="Q482" s="21">
        <f t="shared" si="85"/>
        <v>0.95</v>
      </c>
      <c r="R482" s="21">
        <f t="shared" ca="1" si="86"/>
        <v>17.649100000000001</v>
      </c>
      <c r="S482" s="307">
        <f t="shared" ca="1" si="77"/>
        <v>0</v>
      </c>
      <c r="T482" s="687"/>
    </row>
    <row r="483" spans="1:20">
      <c r="A483" s="631" t="str">
        <f>'5号楼'!B463</f>
        <v>B3280</v>
      </c>
      <c r="B483" s="631">
        <f>'5号楼'!C463</f>
        <v>50.93</v>
      </c>
      <c r="C483" s="21">
        <f t="shared" si="78"/>
        <v>1</v>
      </c>
      <c r="D483" s="633"/>
      <c r="E483" s="21">
        <f t="shared" si="79"/>
        <v>1</v>
      </c>
      <c r="F483" s="633"/>
      <c r="G483" s="21">
        <f t="shared" si="80"/>
        <v>1</v>
      </c>
      <c r="H483" s="633"/>
      <c r="I483" s="21">
        <f t="shared" si="81"/>
        <v>1</v>
      </c>
      <c r="J483" s="633"/>
      <c r="K483" s="21">
        <f t="shared" si="82"/>
        <v>1</v>
      </c>
      <c r="L483" s="633"/>
      <c r="M483" s="21">
        <f t="shared" si="83"/>
        <v>1</v>
      </c>
      <c r="N483" s="633"/>
      <c r="O483" s="21">
        <f t="shared" si="84"/>
        <v>1</v>
      </c>
      <c r="P483" s="633" t="s">
        <v>4859</v>
      </c>
      <c r="Q483" s="21">
        <f t="shared" si="85"/>
        <v>0.95</v>
      </c>
      <c r="R483" s="21">
        <f t="shared" ca="1" si="86"/>
        <v>17.649100000000001</v>
      </c>
      <c r="S483" s="307">
        <f t="shared" ca="1" si="77"/>
        <v>0</v>
      </c>
      <c r="T483" s="687"/>
    </row>
    <row r="484" spans="1:20">
      <c r="A484" s="631" t="str">
        <f>'5号楼'!B464</f>
        <v>B3281</v>
      </c>
      <c r="B484" s="631">
        <f>'5号楼'!C464</f>
        <v>52.93</v>
      </c>
      <c r="C484" s="21">
        <f t="shared" si="78"/>
        <v>1</v>
      </c>
      <c r="D484" s="633"/>
      <c r="E484" s="21">
        <f t="shared" si="79"/>
        <v>1</v>
      </c>
      <c r="F484" s="633"/>
      <c r="G484" s="21">
        <f t="shared" si="80"/>
        <v>1</v>
      </c>
      <c r="H484" s="633"/>
      <c r="I484" s="21">
        <f t="shared" si="81"/>
        <v>1</v>
      </c>
      <c r="J484" s="633"/>
      <c r="K484" s="21">
        <f t="shared" si="82"/>
        <v>1</v>
      </c>
      <c r="L484" s="633"/>
      <c r="M484" s="21">
        <f t="shared" si="83"/>
        <v>1</v>
      </c>
      <c r="N484" s="633"/>
      <c r="O484" s="21">
        <f t="shared" si="84"/>
        <v>1</v>
      </c>
      <c r="P484" s="633" t="s">
        <v>4859</v>
      </c>
      <c r="Q484" s="21">
        <f t="shared" si="85"/>
        <v>0.95</v>
      </c>
      <c r="R484" s="21">
        <f t="shared" ca="1" si="86"/>
        <v>17.649100000000001</v>
      </c>
      <c r="S484" s="307">
        <f t="shared" ca="1" si="77"/>
        <v>0</v>
      </c>
      <c r="T484" s="687"/>
    </row>
    <row r="485" spans="1:20">
      <c r="A485" s="631" t="str">
        <f>'5号楼'!B465</f>
        <v>B3282</v>
      </c>
      <c r="B485" s="631">
        <f>'5号楼'!C465</f>
        <v>52.93</v>
      </c>
      <c r="C485" s="21">
        <f t="shared" si="78"/>
        <v>1</v>
      </c>
      <c r="D485" s="633"/>
      <c r="E485" s="21">
        <f t="shared" si="79"/>
        <v>1</v>
      </c>
      <c r="F485" s="633"/>
      <c r="G485" s="21">
        <f t="shared" si="80"/>
        <v>1</v>
      </c>
      <c r="H485" s="633"/>
      <c r="I485" s="21">
        <f t="shared" si="81"/>
        <v>1</v>
      </c>
      <c r="J485" s="633"/>
      <c r="K485" s="21">
        <f t="shared" si="82"/>
        <v>1</v>
      </c>
      <c r="L485" s="633"/>
      <c r="M485" s="21">
        <f t="shared" si="83"/>
        <v>1</v>
      </c>
      <c r="N485" s="633"/>
      <c r="O485" s="21">
        <f t="shared" si="84"/>
        <v>1</v>
      </c>
      <c r="P485" s="633" t="s">
        <v>4859</v>
      </c>
      <c r="Q485" s="21">
        <f t="shared" si="85"/>
        <v>0.95</v>
      </c>
      <c r="R485" s="21">
        <f t="shared" ca="1" si="86"/>
        <v>17.649100000000001</v>
      </c>
      <c r="S485" s="307">
        <f t="shared" ca="1" si="77"/>
        <v>0</v>
      </c>
      <c r="T485" s="687"/>
    </row>
    <row r="486" spans="1:20">
      <c r="A486" s="631" t="str">
        <f>'5号楼'!B466</f>
        <v>B3283</v>
      </c>
      <c r="B486" s="631">
        <f>'5号楼'!C466</f>
        <v>52.93</v>
      </c>
      <c r="C486" s="21">
        <f t="shared" si="78"/>
        <v>1</v>
      </c>
      <c r="D486" s="633"/>
      <c r="E486" s="21">
        <f t="shared" si="79"/>
        <v>1</v>
      </c>
      <c r="F486" s="633"/>
      <c r="G486" s="21">
        <f t="shared" si="80"/>
        <v>1</v>
      </c>
      <c r="H486" s="633"/>
      <c r="I486" s="21">
        <f t="shared" si="81"/>
        <v>1</v>
      </c>
      <c r="J486" s="633"/>
      <c r="K486" s="21">
        <f t="shared" si="82"/>
        <v>1</v>
      </c>
      <c r="L486" s="633"/>
      <c r="M486" s="21">
        <f t="shared" si="83"/>
        <v>1</v>
      </c>
      <c r="N486" s="633"/>
      <c r="O486" s="21">
        <f t="shared" si="84"/>
        <v>1</v>
      </c>
      <c r="P486" s="633" t="s">
        <v>4859</v>
      </c>
      <c r="Q486" s="21">
        <f t="shared" si="85"/>
        <v>0.95</v>
      </c>
      <c r="R486" s="21">
        <f t="shared" ca="1" si="86"/>
        <v>17.649100000000001</v>
      </c>
      <c r="S486" s="307">
        <f t="shared" ca="1" si="77"/>
        <v>0</v>
      </c>
      <c r="T486" s="687"/>
    </row>
    <row r="487" spans="1:20">
      <c r="A487" s="631" t="str">
        <f>'5号楼'!B467</f>
        <v>B3284</v>
      </c>
      <c r="B487" s="631">
        <f>'5号楼'!C467</f>
        <v>52.93</v>
      </c>
      <c r="C487" s="21">
        <f t="shared" si="78"/>
        <v>1</v>
      </c>
      <c r="D487" s="633"/>
      <c r="E487" s="21">
        <f t="shared" si="79"/>
        <v>1</v>
      </c>
      <c r="F487" s="633"/>
      <c r="G487" s="21">
        <f t="shared" si="80"/>
        <v>1</v>
      </c>
      <c r="H487" s="633"/>
      <c r="I487" s="21">
        <f t="shared" si="81"/>
        <v>1</v>
      </c>
      <c r="J487" s="633"/>
      <c r="K487" s="21">
        <f t="shared" si="82"/>
        <v>1</v>
      </c>
      <c r="L487" s="633"/>
      <c r="M487" s="21">
        <f t="shared" si="83"/>
        <v>1</v>
      </c>
      <c r="N487" s="633"/>
      <c r="O487" s="21">
        <f t="shared" si="84"/>
        <v>1</v>
      </c>
      <c r="P487" s="633" t="s">
        <v>4859</v>
      </c>
      <c r="Q487" s="21">
        <f t="shared" si="85"/>
        <v>0.95</v>
      </c>
      <c r="R487" s="21">
        <f t="shared" ca="1" si="86"/>
        <v>17.649100000000001</v>
      </c>
      <c r="S487" s="307">
        <f t="shared" ca="1" si="77"/>
        <v>0</v>
      </c>
      <c r="T487" s="687"/>
    </row>
    <row r="488" spans="1:20">
      <c r="A488" s="631" t="str">
        <f>'5号楼'!B468</f>
        <v>B3285</v>
      </c>
      <c r="B488" s="631">
        <f>'5号楼'!C468</f>
        <v>52.93</v>
      </c>
      <c r="C488" s="21">
        <f t="shared" si="78"/>
        <v>1</v>
      </c>
      <c r="D488" s="633"/>
      <c r="E488" s="21">
        <f t="shared" si="79"/>
        <v>1</v>
      </c>
      <c r="F488" s="633"/>
      <c r="G488" s="21">
        <f t="shared" si="80"/>
        <v>1</v>
      </c>
      <c r="H488" s="633"/>
      <c r="I488" s="21">
        <f t="shared" si="81"/>
        <v>1</v>
      </c>
      <c r="J488" s="633"/>
      <c r="K488" s="21">
        <f t="shared" si="82"/>
        <v>1</v>
      </c>
      <c r="L488" s="633"/>
      <c r="M488" s="21">
        <f t="shared" si="83"/>
        <v>1</v>
      </c>
      <c r="N488" s="633"/>
      <c r="O488" s="21">
        <f t="shared" si="84"/>
        <v>1</v>
      </c>
      <c r="P488" s="633" t="s">
        <v>4859</v>
      </c>
      <c r="Q488" s="21">
        <f t="shared" si="85"/>
        <v>0.95</v>
      </c>
      <c r="R488" s="21">
        <f t="shared" ca="1" si="86"/>
        <v>17.649100000000001</v>
      </c>
      <c r="S488" s="307">
        <f t="shared" ca="1" si="77"/>
        <v>0</v>
      </c>
      <c r="T488" s="687"/>
    </row>
    <row r="489" spans="1:20">
      <c r="A489" s="631" t="str">
        <f>'5号楼'!B469</f>
        <v>B3286</v>
      </c>
      <c r="B489" s="631">
        <f>'5号楼'!C469</f>
        <v>52.93</v>
      </c>
      <c r="C489" s="21">
        <f t="shared" si="78"/>
        <v>1</v>
      </c>
      <c r="D489" s="633"/>
      <c r="E489" s="21">
        <f t="shared" si="79"/>
        <v>1</v>
      </c>
      <c r="F489" s="633"/>
      <c r="G489" s="21">
        <f t="shared" si="80"/>
        <v>1</v>
      </c>
      <c r="H489" s="633"/>
      <c r="I489" s="21">
        <f t="shared" si="81"/>
        <v>1</v>
      </c>
      <c r="J489" s="633"/>
      <c r="K489" s="21">
        <f t="shared" si="82"/>
        <v>1</v>
      </c>
      <c r="L489" s="633"/>
      <c r="M489" s="21">
        <f t="shared" si="83"/>
        <v>1</v>
      </c>
      <c r="N489" s="633"/>
      <c r="O489" s="21">
        <f t="shared" si="84"/>
        <v>1</v>
      </c>
      <c r="P489" s="633" t="s">
        <v>4859</v>
      </c>
      <c r="Q489" s="21">
        <f t="shared" si="85"/>
        <v>0.95</v>
      </c>
      <c r="R489" s="21">
        <f t="shared" ca="1" si="86"/>
        <v>17.649100000000001</v>
      </c>
      <c r="S489" s="307">
        <f t="shared" ca="1" si="77"/>
        <v>0</v>
      </c>
      <c r="T489" s="687"/>
    </row>
    <row r="490" spans="1:20">
      <c r="A490" s="631" t="str">
        <f>'5号楼'!B470</f>
        <v>B3287</v>
      </c>
      <c r="B490" s="631">
        <f>'5号楼'!C470</f>
        <v>52.93</v>
      </c>
      <c r="C490" s="21">
        <f t="shared" si="78"/>
        <v>1</v>
      </c>
      <c r="D490" s="633"/>
      <c r="E490" s="21">
        <f t="shared" si="79"/>
        <v>1</v>
      </c>
      <c r="F490" s="633"/>
      <c r="G490" s="21">
        <f t="shared" si="80"/>
        <v>1</v>
      </c>
      <c r="H490" s="633"/>
      <c r="I490" s="21">
        <f t="shared" si="81"/>
        <v>1</v>
      </c>
      <c r="J490" s="633"/>
      <c r="K490" s="21">
        <f t="shared" si="82"/>
        <v>1</v>
      </c>
      <c r="L490" s="633"/>
      <c r="M490" s="21">
        <f t="shared" si="83"/>
        <v>1</v>
      </c>
      <c r="N490" s="633"/>
      <c r="O490" s="21">
        <f t="shared" si="84"/>
        <v>1</v>
      </c>
      <c r="P490" s="633" t="s">
        <v>4859</v>
      </c>
      <c r="Q490" s="21">
        <f t="shared" si="85"/>
        <v>0.95</v>
      </c>
      <c r="R490" s="21">
        <f t="shared" ca="1" si="86"/>
        <v>17.649100000000001</v>
      </c>
      <c r="S490" s="307">
        <f t="shared" ca="1" si="77"/>
        <v>0</v>
      </c>
      <c r="T490" s="687"/>
    </row>
    <row r="491" spans="1:20">
      <c r="A491" s="631" t="str">
        <f>'5号楼'!B471</f>
        <v>B3288</v>
      </c>
      <c r="B491" s="631">
        <f>'5号楼'!C471</f>
        <v>52.93</v>
      </c>
      <c r="C491" s="21">
        <f t="shared" si="78"/>
        <v>1</v>
      </c>
      <c r="D491" s="633"/>
      <c r="E491" s="21">
        <f t="shared" si="79"/>
        <v>1</v>
      </c>
      <c r="F491" s="633"/>
      <c r="G491" s="21">
        <f t="shared" si="80"/>
        <v>1</v>
      </c>
      <c r="H491" s="633"/>
      <c r="I491" s="21">
        <f t="shared" si="81"/>
        <v>1</v>
      </c>
      <c r="J491" s="633"/>
      <c r="K491" s="21">
        <f t="shared" si="82"/>
        <v>1</v>
      </c>
      <c r="L491" s="633"/>
      <c r="M491" s="21">
        <f t="shared" si="83"/>
        <v>1</v>
      </c>
      <c r="N491" s="633"/>
      <c r="O491" s="21">
        <f t="shared" si="84"/>
        <v>1</v>
      </c>
      <c r="P491" s="633" t="s">
        <v>4859</v>
      </c>
      <c r="Q491" s="21">
        <f t="shared" si="85"/>
        <v>0.95</v>
      </c>
      <c r="R491" s="21">
        <f t="shared" ca="1" si="86"/>
        <v>17.649100000000001</v>
      </c>
      <c r="S491" s="307">
        <f t="shared" ca="1" si="77"/>
        <v>0</v>
      </c>
      <c r="T491" s="687"/>
    </row>
    <row r="492" spans="1:20">
      <c r="A492" s="631" t="str">
        <f>'5号楼'!B472</f>
        <v>B3289</v>
      </c>
      <c r="B492" s="631">
        <f>'5号楼'!C472</f>
        <v>52.93</v>
      </c>
      <c r="C492" s="21">
        <f t="shared" si="78"/>
        <v>1</v>
      </c>
      <c r="D492" s="633"/>
      <c r="E492" s="21">
        <f t="shared" si="79"/>
        <v>1</v>
      </c>
      <c r="F492" s="633"/>
      <c r="G492" s="21">
        <f t="shared" si="80"/>
        <v>1</v>
      </c>
      <c r="H492" s="633"/>
      <c r="I492" s="21">
        <f t="shared" si="81"/>
        <v>1</v>
      </c>
      <c r="J492" s="633"/>
      <c r="K492" s="21">
        <f t="shared" si="82"/>
        <v>1</v>
      </c>
      <c r="L492" s="633"/>
      <c r="M492" s="21">
        <f t="shared" si="83"/>
        <v>1</v>
      </c>
      <c r="N492" s="633"/>
      <c r="O492" s="21">
        <f t="shared" si="84"/>
        <v>1</v>
      </c>
      <c r="P492" s="633" t="s">
        <v>4859</v>
      </c>
      <c r="Q492" s="21">
        <f t="shared" si="85"/>
        <v>0.95</v>
      </c>
      <c r="R492" s="21">
        <f t="shared" ca="1" si="86"/>
        <v>17.649100000000001</v>
      </c>
      <c r="S492" s="307">
        <f t="shared" ca="1" si="77"/>
        <v>0</v>
      </c>
      <c r="T492" s="687"/>
    </row>
    <row r="493" spans="1:20">
      <c r="A493" s="631" t="str">
        <f>'5号楼'!B473</f>
        <v>B3290</v>
      </c>
      <c r="B493" s="631">
        <f>'5号楼'!C473</f>
        <v>52.93</v>
      </c>
      <c r="C493" s="21">
        <f t="shared" si="78"/>
        <v>1</v>
      </c>
      <c r="D493" s="633"/>
      <c r="E493" s="21">
        <f t="shared" si="79"/>
        <v>1</v>
      </c>
      <c r="F493" s="633"/>
      <c r="G493" s="21">
        <f t="shared" si="80"/>
        <v>1</v>
      </c>
      <c r="H493" s="633"/>
      <c r="I493" s="21">
        <f t="shared" si="81"/>
        <v>1</v>
      </c>
      <c r="J493" s="633"/>
      <c r="K493" s="21">
        <f t="shared" si="82"/>
        <v>1</v>
      </c>
      <c r="L493" s="633"/>
      <c r="M493" s="21">
        <f t="shared" si="83"/>
        <v>1</v>
      </c>
      <c r="N493" s="633"/>
      <c r="O493" s="21">
        <f t="shared" si="84"/>
        <v>1</v>
      </c>
      <c r="P493" s="633" t="s">
        <v>4859</v>
      </c>
      <c r="Q493" s="21">
        <f t="shared" si="85"/>
        <v>0.95</v>
      </c>
      <c r="R493" s="21">
        <f t="shared" ca="1" si="86"/>
        <v>17.649100000000001</v>
      </c>
      <c r="S493" s="307">
        <f t="shared" ca="1" si="77"/>
        <v>0</v>
      </c>
      <c r="T493" s="687"/>
    </row>
    <row r="494" spans="1:20">
      <c r="A494" s="631" t="str">
        <f>'5号楼'!B474</f>
        <v>B3291</v>
      </c>
      <c r="B494" s="631">
        <f>'5号楼'!C474</f>
        <v>52.93</v>
      </c>
      <c r="C494" s="21">
        <f t="shared" si="78"/>
        <v>1</v>
      </c>
      <c r="D494" s="633"/>
      <c r="E494" s="21">
        <f t="shared" si="79"/>
        <v>1</v>
      </c>
      <c r="F494" s="633"/>
      <c r="G494" s="21">
        <f t="shared" si="80"/>
        <v>1</v>
      </c>
      <c r="H494" s="633"/>
      <c r="I494" s="21">
        <f t="shared" si="81"/>
        <v>1</v>
      </c>
      <c r="J494" s="633"/>
      <c r="K494" s="21">
        <f t="shared" si="82"/>
        <v>1</v>
      </c>
      <c r="L494" s="633"/>
      <c r="M494" s="21">
        <f t="shared" si="83"/>
        <v>1</v>
      </c>
      <c r="N494" s="633"/>
      <c r="O494" s="21">
        <f t="shared" si="84"/>
        <v>1</v>
      </c>
      <c r="P494" s="633" t="s">
        <v>4859</v>
      </c>
      <c r="Q494" s="21">
        <f t="shared" si="85"/>
        <v>0.95</v>
      </c>
      <c r="R494" s="21">
        <f t="shared" ca="1" si="86"/>
        <v>17.649100000000001</v>
      </c>
      <c r="S494" s="307">
        <f t="shared" ca="1" si="77"/>
        <v>0</v>
      </c>
      <c r="T494" s="687"/>
    </row>
    <row r="495" spans="1:20">
      <c r="A495" s="631" t="str">
        <f>'5号楼'!B475</f>
        <v>B3292</v>
      </c>
      <c r="B495" s="631">
        <f>'5号楼'!C475</f>
        <v>52.93</v>
      </c>
      <c r="C495" s="21">
        <f t="shared" si="78"/>
        <v>1</v>
      </c>
      <c r="D495" s="633"/>
      <c r="E495" s="21">
        <f t="shared" si="79"/>
        <v>1</v>
      </c>
      <c r="F495" s="633"/>
      <c r="G495" s="21">
        <f t="shared" si="80"/>
        <v>1</v>
      </c>
      <c r="H495" s="633"/>
      <c r="I495" s="21">
        <f t="shared" si="81"/>
        <v>1</v>
      </c>
      <c r="J495" s="633"/>
      <c r="K495" s="21">
        <f t="shared" si="82"/>
        <v>1</v>
      </c>
      <c r="L495" s="633"/>
      <c r="M495" s="21">
        <f t="shared" si="83"/>
        <v>1</v>
      </c>
      <c r="N495" s="633"/>
      <c r="O495" s="21">
        <f t="shared" si="84"/>
        <v>1</v>
      </c>
      <c r="P495" s="633" t="s">
        <v>4859</v>
      </c>
      <c r="Q495" s="21">
        <f t="shared" si="85"/>
        <v>0.95</v>
      </c>
      <c r="R495" s="21">
        <f t="shared" ca="1" si="86"/>
        <v>17.649100000000001</v>
      </c>
      <c r="S495" s="307">
        <f t="shared" ca="1" si="77"/>
        <v>0</v>
      </c>
      <c r="T495" s="687"/>
    </row>
    <row r="496" spans="1:20">
      <c r="A496" s="631" t="str">
        <f>'5号楼'!B476</f>
        <v>B3293</v>
      </c>
      <c r="B496" s="631">
        <f>'5号楼'!C476</f>
        <v>52.93</v>
      </c>
      <c r="C496" s="21">
        <f t="shared" si="78"/>
        <v>1</v>
      </c>
      <c r="D496" s="633"/>
      <c r="E496" s="21">
        <f t="shared" si="79"/>
        <v>1</v>
      </c>
      <c r="F496" s="633"/>
      <c r="G496" s="21">
        <f t="shared" si="80"/>
        <v>1</v>
      </c>
      <c r="H496" s="633"/>
      <c r="I496" s="21">
        <f t="shared" si="81"/>
        <v>1</v>
      </c>
      <c r="J496" s="633"/>
      <c r="K496" s="21">
        <f t="shared" si="82"/>
        <v>1</v>
      </c>
      <c r="L496" s="633"/>
      <c r="M496" s="21">
        <f t="shared" si="83"/>
        <v>1</v>
      </c>
      <c r="N496" s="633"/>
      <c r="O496" s="21">
        <f t="shared" si="84"/>
        <v>1</v>
      </c>
      <c r="P496" s="633" t="s">
        <v>4859</v>
      </c>
      <c r="Q496" s="21">
        <f t="shared" si="85"/>
        <v>0.95</v>
      </c>
      <c r="R496" s="21">
        <f t="shared" ca="1" si="86"/>
        <v>17.649100000000001</v>
      </c>
      <c r="S496" s="307">
        <f t="shared" ca="1" si="77"/>
        <v>0</v>
      </c>
      <c r="T496" s="687"/>
    </row>
    <row r="497" spans="1:20">
      <c r="A497" s="631" t="str">
        <f>'5号楼'!B477</f>
        <v>B3294</v>
      </c>
      <c r="B497" s="631">
        <f>'5号楼'!C477</f>
        <v>52.93</v>
      </c>
      <c r="C497" s="21">
        <f t="shared" si="78"/>
        <v>1</v>
      </c>
      <c r="D497" s="633"/>
      <c r="E497" s="21">
        <f t="shared" si="79"/>
        <v>1</v>
      </c>
      <c r="F497" s="633"/>
      <c r="G497" s="21">
        <f t="shared" si="80"/>
        <v>1</v>
      </c>
      <c r="H497" s="633"/>
      <c r="I497" s="21">
        <f t="shared" si="81"/>
        <v>1</v>
      </c>
      <c r="J497" s="633"/>
      <c r="K497" s="21">
        <f t="shared" si="82"/>
        <v>1</v>
      </c>
      <c r="L497" s="633"/>
      <c r="M497" s="21">
        <f t="shared" si="83"/>
        <v>1</v>
      </c>
      <c r="N497" s="633"/>
      <c r="O497" s="21">
        <f t="shared" si="84"/>
        <v>1</v>
      </c>
      <c r="P497" s="633" t="s">
        <v>4859</v>
      </c>
      <c r="Q497" s="21">
        <f t="shared" si="85"/>
        <v>0.95</v>
      </c>
      <c r="R497" s="21">
        <f t="shared" ca="1" si="86"/>
        <v>17.649100000000001</v>
      </c>
      <c r="S497" s="307">
        <f t="shared" ca="1" si="77"/>
        <v>0</v>
      </c>
      <c r="T497" s="687"/>
    </row>
    <row r="498" spans="1:20">
      <c r="A498" s="631" t="str">
        <f>'5号楼'!B478</f>
        <v>B3295</v>
      </c>
      <c r="B498" s="631">
        <f>'5号楼'!C478</f>
        <v>52.93</v>
      </c>
      <c r="C498" s="21">
        <f t="shared" si="78"/>
        <v>1</v>
      </c>
      <c r="D498" s="633"/>
      <c r="E498" s="21">
        <f t="shared" si="79"/>
        <v>1</v>
      </c>
      <c r="F498" s="633"/>
      <c r="G498" s="21">
        <f t="shared" si="80"/>
        <v>1</v>
      </c>
      <c r="H498" s="633"/>
      <c r="I498" s="21">
        <f t="shared" si="81"/>
        <v>1</v>
      </c>
      <c r="J498" s="633"/>
      <c r="K498" s="21">
        <f t="shared" si="82"/>
        <v>1</v>
      </c>
      <c r="L498" s="633"/>
      <c r="M498" s="21">
        <f t="shared" si="83"/>
        <v>1</v>
      </c>
      <c r="N498" s="633"/>
      <c r="O498" s="21">
        <f t="shared" si="84"/>
        <v>1</v>
      </c>
      <c r="P498" s="633" t="s">
        <v>4859</v>
      </c>
      <c r="Q498" s="21">
        <f t="shared" si="85"/>
        <v>0.95</v>
      </c>
      <c r="R498" s="21">
        <f t="shared" ca="1" si="86"/>
        <v>17.649100000000001</v>
      </c>
      <c r="S498" s="307">
        <f t="shared" ca="1" si="77"/>
        <v>0</v>
      </c>
      <c r="T498" s="687"/>
    </row>
    <row r="499" spans="1:20">
      <c r="A499" s="631" t="str">
        <f>'5号楼'!B479</f>
        <v>B3296</v>
      </c>
      <c r="B499" s="631">
        <f>'5号楼'!C479</f>
        <v>52.93</v>
      </c>
      <c r="C499" s="21">
        <f t="shared" si="78"/>
        <v>1</v>
      </c>
      <c r="D499" s="633"/>
      <c r="E499" s="21">
        <f t="shared" si="79"/>
        <v>1</v>
      </c>
      <c r="F499" s="633"/>
      <c r="G499" s="21">
        <f t="shared" si="80"/>
        <v>1</v>
      </c>
      <c r="H499" s="633"/>
      <c r="I499" s="21">
        <f t="shared" si="81"/>
        <v>1</v>
      </c>
      <c r="J499" s="633"/>
      <c r="K499" s="21">
        <f t="shared" si="82"/>
        <v>1</v>
      </c>
      <c r="L499" s="633"/>
      <c r="M499" s="21">
        <f t="shared" si="83"/>
        <v>1</v>
      </c>
      <c r="N499" s="633"/>
      <c r="O499" s="21">
        <f t="shared" si="84"/>
        <v>1</v>
      </c>
      <c r="P499" s="633" t="s">
        <v>4859</v>
      </c>
      <c r="Q499" s="21">
        <f t="shared" si="85"/>
        <v>0.95</v>
      </c>
      <c r="R499" s="21">
        <f t="shared" ca="1" si="86"/>
        <v>17.649100000000001</v>
      </c>
      <c r="S499" s="307">
        <f t="shared" ca="1" si="77"/>
        <v>0</v>
      </c>
      <c r="T499" s="687"/>
    </row>
    <row r="500" spans="1:20">
      <c r="A500" s="631" t="str">
        <f>'5号楼'!B480</f>
        <v>B3297</v>
      </c>
      <c r="B500" s="631">
        <f>'5号楼'!C480</f>
        <v>52.93</v>
      </c>
      <c r="C500" s="21">
        <f t="shared" si="78"/>
        <v>1</v>
      </c>
      <c r="D500" s="633"/>
      <c r="E500" s="21">
        <f t="shared" si="79"/>
        <v>1</v>
      </c>
      <c r="F500" s="633"/>
      <c r="G500" s="21">
        <f t="shared" si="80"/>
        <v>1</v>
      </c>
      <c r="H500" s="633"/>
      <c r="I500" s="21">
        <f t="shared" si="81"/>
        <v>1</v>
      </c>
      <c r="J500" s="633"/>
      <c r="K500" s="21">
        <f t="shared" si="82"/>
        <v>1</v>
      </c>
      <c r="L500" s="633"/>
      <c r="M500" s="21">
        <f t="shared" si="83"/>
        <v>1</v>
      </c>
      <c r="N500" s="633"/>
      <c r="O500" s="21">
        <f t="shared" si="84"/>
        <v>1</v>
      </c>
      <c r="P500" s="633" t="s">
        <v>4859</v>
      </c>
      <c r="Q500" s="21">
        <f t="shared" si="85"/>
        <v>0.95</v>
      </c>
      <c r="R500" s="21">
        <f t="shared" ca="1" si="86"/>
        <v>17.649100000000001</v>
      </c>
      <c r="S500" s="307">
        <f t="shared" ca="1" si="77"/>
        <v>0</v>
      </c>
      <c r="T500" s="687"/>
    </row>
    <row r="501" spans="1:20">
      <c r="A501" s="631" t="str">
        <f>'5号楼'!B481</f>
        <v>B3298</v>
      </c>
      <c r="B501" s="631">
        <f>'5号楼'!C481</f>
        <v>52.93</v>
      </c>
      <c r="C501" s="21">
        <f t="shared" si="78"/>
        <v>1</v>
      </c>
      <c r="D501" s="633"/>
      <c r="E501" s="21">
        <f t="shared" si="79"/>
        <v>1</v>
      </c>
      <c r="F501" s="633"/>
      <c r="G501" s="21">
        <f t="shared" si="80"/>
        <v>1</v>
      </c>
      <c r="H501" s="633"/>
      <c r="I501" s="21">
        <f t="shared" si="81"/>
        <v>1</v>
      </c>
      <c r="J501" s="633"/>
      <c r="K501" s="21">
        <f t="shared" si="82"/>
        <v>1</v>
      </c>
      <c r="L501" s="633"/>
      <c r="M501" s="21">
        <f t="shared" si="83"/>
        <v>1</v>
      </c>
      <c r="N501" s="633"/>
      <c r="O501" s="21">
        <f t="shared" si="84"/>
        <v>1</v>
      </c>
      <c r="P501" s="633" t="s">
        <v>4859</v>
      </c>
      <c r="Q501" s="21">
        <f t="shared" si="85"/>
        <v>0.95</v>
      </c>
      <c r="R501" s="21">
        <f t="shared" ca="1" si="86"/>
        <v>17.649100000000001</v>
      </c>
      <c r="S501" s="307">
        <f t="shared" ca="1" si="77"/>
        <v>0</v>
      </c>
      <c r="T501" s="687"/>
    </row>
    <row r="502" spans="1:20">
      <c r="A502" s="631" t="str">
        <f>'5号楼'!B482</f>
        <v>B3299</v>
      </c>
      <c r="B502" s="631">
        <f>'5号楼'!C482</f>
        <v>52.93</v>
      </c>
      <c r="C502" s="21">
        <f t="shared" si="78"/>
        <v>1</v>
      </c>
      <c r="D502" s="633"/>
      <c r="E502" s="21">
        <f t="shared" si="79"/>
        <v>1</v>
      </c>
      <c r="F502" s="633"/>
      <c r="G502" s="21">
        <f t="shared" si="80"/>
        <v>1</v>
      </c>
      <c r="H502" s="633"/>
      <c r="I502" s="21">
        <f t="shared" si="81"/>
        <v>1</v>
      </c>
      <c r="J502" s="633"/>
      <c r="K502" s="21">
        <f t="shared" si="82"/>
        <v>1</v>
      </c>
      <c r="L502" s="633"/>
      <c r="M502" s="21">
        <f t="shared" si="83"/>
        <v>1</v>
      </c>
      <c r="N502" s="633"/>
      <c r="O502" s="21">
        <f t="shared" si="84"/>
        <v>1</v>
      </c>
      <c r="P502" s="633" t="s">
        <v>4859</v>
      </c>
      <c r="Q502" s="21">
        <f t="shared" si="85"/>
        <v>0.95</v>
      </c>
      <c r="R502" s="21">
        <f t="shared" ca="1" si="86"/>
        <v>17.649100000000001</v>
      </c>
      <c r="S502" s="307">
        <f t="shared" ca="1" si="77"/>
        <v>0</v>
      </c>
      <c r="T502" s="687"/>
    </row>
    <row r="503" spans="1:20">
      <c r="A503" s="631" t="str">
        <f>'5号楼'!B483</f>
        <v>B3300</v>
      </c>
      <c r="B503" s="631">
        <f>'5号楼'!C483</f>
        <v>52.93</v>
      </c>
      <c r="C503" s="21">
        <f t="shared" si="78"/>
        <v>1</v>
      </c>
      <c r="D503" s="633"/>
      <c r="E503" s="21">
        <f t="shared" si="79"/>
        <v>1</v>
      </c>
      <c r="F503" s="633"/>
      <c r="G503" s="21">
        <f t="shared" si="80"/>
        <v>1</v>
      </c>
      <c r="H503" s="633"/>
      <c r="I503" s="21">
        <f t="shared" si="81"/>
        <v>1</v>
      </c>
      <c r="J503" s="633"/>
      <c r="K503" s="21">
        <f t="shared" si="82"/>
        <v>1</v>
      </c>
      <c r="L503" s="633"/>
      <c r="M503" s="21">
        <f t="shared" si="83"/>
        <v>1</v>
      </c>
      <c r="N503" s="633"/>
      <c r="O503" s="21">
        <f t="shared" si="84"/>
        <v>1</v>
      </c>
      <c r="P503" s="633" t="s">
        <v>4859</v>
      </c>
      <c r="Q503" s="21">
        <f t="shared" si="85"/>
        <v>0.95</v>
      </c>
      <c r="R503" s="21">
        <f t="shared" ca="1" si="86"/>
        <v>17.649100000000001</v>
      </c>
      <c r="S503" s="307">
        <f t="shared" ca="1" si="77"/>
        <v>0</v>
      </c>
      <c r="T503" s="687"/>
    </row>
    <row r="504" spans="1:20">
      <c r="A504" s="631" t="str">
        <f>'5号楼'!B484</f>
        <v>B3301</v>
      </c>
      <c r="B504" s="631">
        <f>'5号楼'!C484</f>
        <v>52.93</v>
      </c>
      <c r="C504" s="21">
        <f t="shared" si="78"/>
        <v>1</v>
      </c>
      <c r="D504" s="633"/>
      <c r="E504" s="21">
        <f t="shared" si="79"/>
        <v>1</v>
      </c>
      <c r="F504" s="633"/>
      <c r="G504" s="21">
        <f t="shared" si="80"/>
        <v>1</v>
      </c>
      <c r="H504" s="633"/>
      <c r="I504" s="21">
        <f t="shared" si="81"/>
        <v>1</v>
      </c>
      <c r="J504" s="633"/>
      <c r="K504" s="21">
        <f t="shared" si="82"/>
        <v>1</v>
      </c>
      <c r="L504" s="633"/>
      <c r="M504" s="21">
        <f t="shared" si="83"/>
        <v>1</v>
      </c>
      <c r="N504" s="633"/>
      <c r="O504" s="21">
        <f t="shared" si="84"/>
        <v>1</v>
      </c>
      <c r="P504" s="633" t="s">
        <v>4859</v>
      </c>
      <c r="Q504" s="21">
        <f t="shared" si="85"/>
        <v>0.95</v>
      </c>
      <c r="R504" s="21">
        <f t="shared" ca="1" si="86"/>
        <v>17.649100000000001</v>
      </c>
      <c r="S504" s="307">
        <f t="shared" ca="1" si="77"/>
        <v>0</v>
      </c>
      <c r="T504" s="687"/>
    </row>
    <row r="505" spans="1:20">
      <c r="A505" s="631" t="str">
        <f>'5号楼'!B485</f>
        <v>B3302</v>
      </c>
      <c r="B505" s="631">
        <f>'5号楼'!C485</f>
        <v>52.93</v>
      </c>
      <c r="C505" s="21">
        <f t="shared" si="78"/>
        <v>1</v>
      </c>
      <c r="D505" s="633"/>
      <c r="E505" s="21">
        <f t="shared" si="79"/>
        <v>1</v>
      </c>
      <c r="F505" s="633"/>
      <c r="G505" s="21">
        <f t="shared" si="80"/>
        <v>1</v>
      </c>
      <c r="H505" s="633"/>
      <c r="I505" s="21">
        <f t="shared" si="81"/>
        <v>1</v>
      </c>
      <c r="J505" s="633"/>
      <c r="K505" s="21">
        <f t="shared" si="82"/>
        <v>1</v>
      </c>
      <c r="L505" s="633"/>
      <c r="M505" s="21">
        <f t="shared" si="83"/>
        <v>1</v>
      </c>
      <c r="N505" s="633"/>
      <c r="O505" s="21">
        <f t="shared" si="84"/>
        <v>1</v>
      </c>
      <c r="P505" s="633" t="s">
        <v>4859</v>
      </c>
      <c r="Q505" s="21">
        <f t="shared" si="85"/>
        <v>0.95</v>
      </c>
      <c r="R505" s="21">
        <f t="shared" ca="1" si="86"/>
        <v>17.649100000000001</v>
      </c>
      <c r="S505" s="307">
        <f t="shared" ca="1" si="77"/>
        <v>0</v>
      </c>
      <c r="T505" s="687"/>
    </row>
    <row r="506" spans="1:20">
      <c r="A506" s="631" t="str">
        <f>'5号楼'!B486</f>
        <v>B3303</v>
      </c>
      <c r="B506" s="631">
        <f>'5号楼'!C486</f>
        <v>52.93</v>
      </c>
      <c r="C506" s="21">
        <f t="shared" si="78"/>
        <v>1</v>
      </c>
      <c r="D506" s="633"/>
      <c r="E506" s="21">
        <f t="shared" si="79"/>
        <v>1</v>
      </c>
      <c r="F506" s="633"/>
      <c r="G506" s="21">
        <f t="shared" si="80"/>
        <v>1</v>
      </c>
      <c r="H506" s="633"/>
      <c r="I506" s="21">
        <f t="shared" si="81"/>
        <v>1</v>
      </c>
      <c r="J506" s="633"/>
      <c r="K506" s="21">
        <f t="shared" si="82"/>
        <v>1</v>
      </c>
      <c r="L506" s="633"/>
      <c r="M506" s="21">
        <f t="shared" si="83"/>
        <v>1</v>
      </c>
      <c r="N506" s="633"/>
      <c r="O506" s="21">
        <f t="shared" si="84"/>
        <v>1</v>
      </c>
      <c r="P506" s="633" t="s">
        <v>4859</v>
      </c>
      <c r="Q506" s="21">
        <f t="shared" si="85"/>
        <v>0.95</v>
      </c>
      <c r="R506" s="21">
        <f t="shared" ca="1" si="86"/>
        <v>17.649100000000001</v>
      </c>
      <c r="S506" s="307">
        <f t="shared" ca="1" si="77"/>
        <v>0</v>
      </c>
      <c r="T506" s="687"/>
    </row>
    <row r="507" spans="1:20">
      <c r="A507" s="631" t="str">
        <f>'5号楼'!B487</f>
        <v>B3304</v>
      </c>
      <c r="B507" s="631">
        <f>'5号楼'!C487</f>
        <v>52.93</v>
      </c>
      <c r="C507" s="21">
        <f t="shared" si="78"/>
        <v>1</v>
      </c>
      <c r="D507" s="633"/>
      <c r="E507" s="21">
        <f t="shared" si="79"/>
        <v>1</v>
      </c>
      <c r="F507" s="633"/>
      <c r="G507" s="21">
        <f t="shared" si="80"/>
        <v>1</v>
      </c>
      <c r="H507" s="633"/>
      <c r="I507" s="21">
        <f t="shared" si="81"/>
        <v>1</v>
      </c>
      <c r="J507" s="633"/>
      <c r="K507" s="21">
        <f t="shared" si="82"/>
        <v>1</v>
      </c>
      <c r="L507" s="633"/>
      <c r="M507" s="21">
        <f t="shared" si="83"/>
        <v>1</v>
      </c>
      <c r="N507" s="633"/>
      <c r="O507" s="21">
        <f t="shared" si="84"/>
        <v>1</v>
      </c>
      <c r="P507" s="633" t="s">
        <v>4859</v>
      </c>
      <c r="Q507" s="21">
        <f t="shared" si="85"/>
        <v>0.95</v>
      </c>
      <c r="R507" s="21">
        <f t="shared" ca="1" si="86"/>
        <v>17.649100000000001</v>
      </c>
      <c r="S507" s="307">
        <f t="shared" ca="1" si="77"/>
        <v>0</v>
      </c>
      <c r="T507" s="687"/>
    </row>
    <row r="508" spans="1:20">
      <c r="A508" s="631" t="str">
        <f>'5号楼'!B488</f>
        <v>B3305</v>
      </c>
      <c r="B508" s="631">
        <f>'5号楼'!C488</f>
        <v>52.93</v>
      </c>
      <c r="C508" s="21">
        <f t="shared" si="78"/>
        <v>1</v>
      </c>
      <c r="D508" s="633"/>
      <c r="E508" s="21">
        <f t="shared" si="79"/>
        <v>1</v>
      </c>
      <c r="F508" s="633"/>
      <c r="G508" s="21">
        <f t="shared" si="80"/>
        <v>1</v>
      </c>
      <c r="H508" s="633"/>
      <c r="I508" s="21">
        <f t="shared" si="81"/>
        <v>1</v>
      </c>
      <c r="J508" s="633"/>
      <c r="K508" s="21">
        <f t="shared" si="82"/>
        <v>1</v>
      </c>
      <c r="L508" s="633"/>
      <c r="M508" s="21">
        <f t="shared" si="83"/>
        <v>1</v>
      </c>
      <c r="N508" s="633"/>
      <c r="O508" s="21">
        <f t="shared" si="84"/>
        <v>1</v>
      </c>
      <c r="P508" s="633" t="s">
        <v>4859</v>
      </c>
      <c r="Q508" s="21">
        <f t="shared" si="85"/>
        <v>0.95</v>
      </c>
      <c r="R508" s="21">
        <f t="shared" ca="1" si="86"/>
        <v>17.649100000000001</v>
      </c>
      <c r="S508" s="307">
        <f t="shared" ca="1" si="77"/>
        <v>0</v>
      </c>
      <c r="T508" s="687"/>
    </row>
    <row r="509" spans="1:20">
      <c r="A509" s="631" t="str">
        <f>'5号楼'!B489</f>
        <v>B3306</v>
      </c>
      <c r="B509" s="631">
        <f>'5号楼'!C489</f>
        <v>52.93</v>
      </c>
      <c r="C509" s="21">
        <f t="shared" si="78"/>
        <v>1</v>
      </c>
      <c r="D509" s="633"/>
      <c r="E509" s="21">
        <f t="shared" si="79"/>
        <v>1</v>
      </c>
      <c r="F509" s="633"/>
      <c r="G509" s="21">
        <f t="shared" si="80"/>
        <v>1</v>
      </c>
      <c r="H509" s="633"/>
      <c r="I509" s="21">
        <f t="shared" si="81"/>
        <v>1</v>
      </c>
      <c r="J509" s="633"/>
      <c r="K509" s="21">
        <f t="shared" si="82"/>
        <v>1</v>
      </c>
      <c r="L509" s="633"/>
      <c r="M509" s="21">
        <f t="shared" si="83"/>
        <v>1</v>
      </c>
      <c r="N509" s="633"/>
      <c r="O509" s="21">
        <f t="shared" si="84"/>
        <v>1</v>
      </c>
      <c r="P509" s="633" t="s">
        <v>4859</v>
      </c>
      <c r="Q509" s="21">
        <f t="shared" si="85"/>
        <v>0.95</v>
      </c>
      <c r="R509" s="21">
        <f t="shared" ca="1" si="86"/>
        <v>17.649100000000001</v>
      </c>
      <c r="S509" s="307">
        <f t="shared" ca="1" si="77"/>
        <v>0</v>
      </c>
      <c r="T509" s="687"/>
    </row>
    <row r="510" spans="1:20">
      <c r="A510" s="631" t="str">
        <f>'5号楼'!B490</f>
        <v>B3307</v>
      </c>
      <c r="B510" s="631">
        <f>'5号楼'!C490</f>
        <v>52.93</v>
      </c>
      <c r="C510" s="21">
        <f t="shared" si="78"/>
        <v>1</v>
      </c>
      <c r="D510" s="633"/>
      <c r="E510" s="21">
        <f t="shared" si="79"/>
        <v>1</v>
      </c>
      <c r="F510" s="633"/>
      <c r="G510" s="21">
        <f t="shared" si="80"/>
        <v>1</v>
      </c>
      <c r="H510" s="633"/>
      <c r="I510" s="21">
        <f t="shared" si="81"/>
        <v>1</v>
      </c>
      <c r="J510" s="633"/>
      <c r="K510" s="21">
        <f t="shared" si="82"/>
        <v>1</v>
      </c>
      <c r="L510" s="633"/>
      <c r="M510" s="21">
        <f t="shared" si="83"/>
        <v>1</v>
      </c>
      <c r="N510" s="633"/>
      <c r="O510" s="21">
        <f t="shared" si="84"/>
        <v>1</v>
      </c>
      <c r="P510" s="633" t="s">
        <v>4859</v>
      </c>
      <c r="Q510" s="21">
        <f t="shared" si="85"/>
        <v>0.95</v>
      </c>
      <c r="R510" s="21">
        <f t="shared" ca="1" si="86"/>
        <v>17.649100000000001</v>
      </c>
      <c r="S510" s="307">
        <f t="shared" ca="1" si="77"/>
        <v>0</v>
      </c>
      <c r="T510" s="687"/>
    </row>
    <row r="511" spans="1:20">
      <c r="A511" s="631" t="str">
        <f>'5号楼'!B491</f>
        <v>B3308</v>
      </c>
      <c r="B511" s="631">
        <f>'5号楼'!C491</f>
        <v>52.93</v>
      </c>
      <c r="C511" s="21">
        <f t="shared" si="78"/>
        <v>1</v>
      </c>
      <c r="D511" s="633"/>
      <c r="E511" s="21">
        <f t="shared" si="79"/>
        <v>1</v>
      </c>
      <c r="F511" s="633"/>
      <c r="G511" s="21">
        <f t="shared" si="80"/>
        <v>1</v>
      </c>
      <c r="H511" s="633"/>
      <c r="I511" s="21">
        <f t="shared" si="81"/>
        <v>1</v>
      </c>
      <c r="J511" s="633"/>
      <c r="K511" s="21">
        <f t="shared" si="82"/>
        <v>1</v>
      </c>
      <c r="L511" s="633"/>
      <c r="M511" s="21">
        <f t="shared" si="83"/>
        <v>1</v>
      </c>
      <c r="N511" s="633"/>
      <c r="O511" s="21">
        <f t="shared" si="84"/>
        <v>1</v>
      </c>
      <c r="P511" s="633" t="s">
        <v>4859</v>
      </c>
      <c r="Q511" s="21">
        <f t="shared" si="85"/>
        <v>0.95</v>
      </c>
      <c r="R511" s="21">
        <f t="shared" ca="1" si="86"/>
        <v>17.649100000000001</v>
      </c>
      <c r="S511" s="307">
        <f t="shared" ca="1" si="77"/>
        <v>0</v>
      </c>
      <c r="T511" s="687"/>
    </row>
    <row r="512" spans="1:20">
      <c r="A512" s="631" t="str">
        <f>'5号楼'!B492</f>
        <v>B3309</v>
      </c>
      <c r="B512" s="631">
        <f>'5号楼'!C492</f>
        <v>52.93</v>
      </c>
      <c r="C512" s="21">
        <f t="shared" si="78"/>
        <v>1</v>
      </c>
      <c r="D512" s="633"/>
      <c r="E512" s="21">
        <f t="shared" si="79"/>
        <v>1</v>
      </c>
      <c r="F512" s="633"/>
      <c r="G512" s="21">
        <f t="shared" si="80"/>
        <v>1</v>
      </c>
      <c r="H512" s="633"/>
      <c r="I512" s="21">
        <f t="shared" si="81"/>
        <v>1</v>
      </c>
      <c r="J512" s="633"/>
      <c r="K512" s="21">
        <f t="shared" si="82"/>
        <v>1</v>
      </c>
      <c r="L512" s="633"/>
      <c r="M512" s="21">
        <f t="shared" si="83"/>
        <v>1</v>
      </c>
      <c r="N512" s="633"/>
      <c r="O512" s="21">
        <f t="shared" si="84"/>
        <v>1</v>
      </c>
      <c r="P512" s="633" t="s">
        <v>4859</v>
      </c>
      <c r="Q512" s="21">
        <f t="shared" si="85"/>
        <v>0.95</v>
      </c>
      <c r="R512" s="21">
        <f t="shared" ca="1" si="86"/>
        <v>17.649100000000001</v>
      </c>
      <c r="S512" s="307">
        <f t="shared" ca="1" si="77"/>
        <v>0</v>
      </c>
      <c r="T512" s="687"/>
    </row>
    <row r="513" spans="1:20">
      <c r="A513" s="631" t="str">
        <f>'5号楼'!B493</f>
        <v>B3310</v>
      </c>
      <c r="B513" s="631">
        <f>'5号楼'!C493</f>
        <v>52.93</v>
      </c>
      <c r="C513" s="21">
        <f t="shared" si="78"/>
        <v>1</v>
      </c>
      <c r="D513" s="633"/>
      <c r="E513" s="21">
        <f t="shared" si="79"/>
        <v>1</v>
      </c>
      <c r="F513" s="633"/>
      <c r="G513" s="21">
        <f t="shared" si="80"/>
        <v>1</v>
      </c>
      <c r="H513" s="633"/>
      <c r="I513" s="21">
        <f t="shared" si="81"/>
        <v>1</v>
      </c>
      <c r="J513" s="633"/>
      <c r="K513" s="21">
        <f t="shared" si="82"/>
        <v>1</v>
      </c>
      <c r="L513" s="633"/>
      <c r="M513" s="21">
        <f t="shared" si="83"/>
        <v>1</v>
      </c>
      <c r="N513" s="633"/>
      <c r="O513" s="21">
        <f t="shared" si="84"/>
        <v>1</v>
      </c>
      <c r="P513" s="633" t="s">
        <v>4859</v>
      </c>
      <c r="Q513" s="21">
        <f t="shared" si="85"/>
        <v>0.95</v>
      </c>
      <c r="R513" s="21">
        <f t="shared" ca="1" si="86"/>
        <v>17.649100000000001</v>
      </c>
      <c r="S513" s="307">
        <f t="shared" ca="1" si="77"/>
        <v>0</v>
      </c>
      <c r="T513" s="687"/>
    </row>
    <row r="514" spans="1:20">
      <c r="A514" s="631" t="str">
        <f>'5号楼'!B494</f>
        <v>B3311</v>
      </c>
      <c r="B514" s="631">
        <f>'5号楼'!C494</f>
        <v>52.93</v>
      </c>
      <c r="C514" s="21">
        <f t="shared" si="78"/>
        <v>1</v>
      </c>
      <c r="D514" s="633"/>
      <c r="E514" s="21">
        <f t="shared" si="79"/>
        <v>1</v>
      </c>
      <c r="F514" s="633"/>
      <c r="G514" s="21">
        <f t="shared" si="80"/>
        <v>1</v>
      </c>
      <c r="H514" s="633"/>
      <c r="I514" s="21">
        <f t="shared" si="81"/>
        <v>1</v>
      </c>
      <c r="J514" s="633"/>
      <c r="K514" s="21">
        <f t="shared" si="82"/>
        <v>1</v>
      </c>
      <c r="L514" s="633"/>
      <c r="M514" s="21">
        <f t="shared" si="83"/>
        <v>1</v>
      </c>
      <c r="N514" s="633"/>
      <c r="O514" s="21">
        <f t="shared" si="84"/>
        <v>1</v>
      </c>
      <c r="P514" s="633" t="s">
        <v>4859</v>
      </c>
      <c r="Q514" s="21">
        <f t="shared" si="85"/>
        <v>0.95</v>
      </c>
      <c r="R514" s="21">
        <f t="shared" ca="1" si="86"/>
        <v>17.649100000000001</v>
      </c>
      <c r="S514" s="307">
        <f t="shared" ca="1" si="77"/>
        <v>0</v>
      </c>
      <c r="T514" s="687"/>
    </row>
    <row r="515" spans="1:20">
      <c r="A515" s="631" t="str">
        <f>'5号楼'!B495</f>
        <v>B3312</v>
      </c>
      <c r="B515" s="631">
        <f>'5号楼'!C495</f>
        <v>52.93</v>
      </c>
      <c r="C515" s="21">
        <f t="shared" si="78"/>
        <v>1</v>
      </c>
      <c r="D515" s="633"/>
      <c r="E515" s="21">
        <f t="shared" si="79"/>
        <v>1</v>
      </c>
      <c r="F515" s="633"/>
      <c r="G515" s="21">
        <f t="shared" si="80"/>
        <v>1</v>
      </c>
      <c r="H515" s="633"/>
      <c r="I515" s="21">
        <f t="shared" si="81"/>
        <v>1</v>
      </c>
      <c r="J515" s="633"/>
      <c r="K515" s="21">
        <f t="shared" si="82"/>
        <v>1</v>
      </c>
      <c r="L515" s="633"/>
      <c r="M515" s="21">
        <f t="shared" si="83"/>
        <v>1</v>
      </c>
      <c r="N515" s="633"/>
      <c r="O515" s="21">
        <f t="shared" si="84"/>
        <v>1</v>
      </c>
      <c r="P515" s="633" t="s">
        <v>4859</v>
      </c>
      <c r="Q515" s="21">
        <f t="shared" si="85"/>
        <v>0.95</v>
      </c>
      <c r="R515" s="21">
        <f t="shared" ca="1" si="86"/>
        <v>17.649100000000001</v>
      </c>
      <c r="S515" s="307">
        <f t="shared" ca="1" si="77"/>
        <v>0</v>
      </c>
      <c r="T515" s="687"/>
    </row>
    <row r="516" spans="1:20">
      <c r="A516" s="631" t="str">
        <f>'5号楼'!B496</f>
        <v>B3313</v>
      </c>
      <c r="B516" s="631">
        <f>'5号楼'!C496</f>
        <v>52.93</v>
      </c>
      <c r="C516" s="21">
        <f t="shared" si="78"/>
        <v>1</v>
      </c>
      <c r="D516" s="633"/>
      <c r="E516" s="21">
        <f t="shared" si="79"/>
        <v>1</v>
      </c>
      <c r="F516" s="633"/>
      <c r="G516" s="21">
        <f t="shared" si="80"/>
        <v>1</v>
      </c>
      <c r="H516" s="633"/>
      <c r="I516" s="21">
        <f t="shared" si="81"/>
        <v>1</v>
      </c>
      <c r="J516" s="633"/>
      <c r="K516" s="21">
        <f t="shared" si="82"/>
        <v>1</v>
      </c>
      <c r="L516" s="633"/>
      <c r="M516" s="21">
        <f t="shared" si="83"/>
        <v>1</v>
      </c>
      <c r="N516" s="633"/>
      <c r="O516" s="21">
        <f t="shared" si="84"/>
        <v>1</v>
      </c>
      <c r="P516" s="633" t="s">
        <v>4859</v>
      </c>
      <c r="Q516" s="21">
        <f t="shared" si="85"/>
        <v>0.95</v>
      </c>
      <c r="R516" s="21">
        <f t="shared" ca="1" si="86"/>
        <v>17.649100000000001</v>
      </c>
      <c r="S516" s="307">
        <f t="shared" ca="1" si="77"/>
        <v>0</v>
      </c>
      <c r="T516" s="687"/>
    </row>
    <row r="517" spans="1:20">
      <c r="A517" s="631" t="str">
        <f>'5号楼'!B497</f>
        <v>B3314</v>
      </c>
      <c r="B517" s="631">
        <f>'5号楼'!C497</f>
        <v>52.93</v>
      </c>
      <c r="C517" s="21">
        <f t="shared" si="78"/>
        <v>1</v>
      </c>
      <c r="D517" s="633"/>
      <c r="E517" s="21">
        <f t="shared" si="79"/>
        <v>1</v>
      </c>
      <c r="F517" s="633"/>
      <c r="G517" s="21">
        <f t="shared" si="80"/>
        <v>1</v>
      </c>
      <c r="H517" s="633"/>
      <c r="I517" s="21">
        <f t="shared" si="81"/>
        <v>1</v>
      </c>
      <c r="J517" s="633"/>
      <c r="K517" s="21">
        <f t="shared" si="82"/>
        <v>1</v>
      </c>
      <c r="L517" s="633"/>
      <c r="M517" s="21">
        <f t="shared" si="83"/>
        <v>1</v>
      </c>
      <c r="N517" s="633"/>
      <c r="O517" s="21">
        <f t="shared" si="84"/>
        <v>1</v>
      </c>
      <c r="P517" s="633" t="s">
        <v>4859</v>
      </c>
      <c r="Q517" s="21">
        <f t="shared" si="85"/>
        <v>0.95</v>
      </c>
      <c r="R517" s="21">
        <f t="shared" ca="1" si="86"/>
        <v>17.649100000000001</v>
      </c>
      <c r="S517" s="307">
        <f t="shared" ca="1" si="77"/>
        <v>0</v>
      </c>
      <c r="T517" s="687"/>
    </row>
    <row r="518" spans="1:20">
      <c r="A518" s="631" t="str">
        <f>'5号楼'!B498</f>
        <v>B3315</v>
      </c>
      <c r="B518" s="631">
        <f>'5号楼'!C498</f>
        <v>52.93</v>
      </c>
      <c r="C518" s="21">
        <f t="shared" si="78"/>
        <v>1</v>
      </c>
      <c r="D518" s="633"/>
      <c r="E518" s="21">
        <f t="shared" si="79"/>
        <v>1</v>
      </c>
      <c r="F518" s="633"/>
      <c r="G518" s="21">
        <f t="shared" si="80"/>
        <v>1</v>
      </c>
      <c r="H518" s="633"/>
      <c r="I518" s="21">
        <f t="shared" si="81"/>
        <v>1</v>
      </c>
      <c r="J518" s="633"/>
      <c r="K518" s="21">
        <f t="shared" si="82"/>
        <v>1</v>
      </c>
      <c r="L518" s="633"/>
      <c r="M518" s="21">
        <f t="shared" si="83"/>
        <v>1</v>
      </c>
      <c r="N518" s="633"/>
      <c r="O518" s="21">
        <f t="shared" si="84"/>
        <v>1</v>
      </c>
      <c r="P518" s="633" t="s">
        <v>4859</v>
      </c>
      <c r="Q518" s="21">
        <f t="shared" si="85"/>
        <v>0.95</v>
      </c>
      <c r="R518" s="21">
        <f t="shared" ca="1" si="86"/>
        <v>17.649100000000001</v>
      </c>
      <c r="S518" s="307">
        <f t="shared" ca="1" si="77"/>
        <v>0</v>
      </c>
      <c r="T518" s="687"/>
    </row>
    <row r="519" spans="1:20">
      <c r="A519" s="631" t="str">
        <f>'5号楼'!B499</f>
        <v>B3316</v>
      </c>
      <c r="B519" s="631">
        <f>'5号楼'!C499</f>
        <v>52.93</v>
      </c>
      <c r="C519" s="21">
        <f t="shared" si="78"/>
        <v>1</v>
      </c>
      <c r="D519" s="633"/>
      <c r="E519" s="21">
        <f t="shared" si="79"/>
        <v>1</v>
      </c>
      <c r="F519" s="633"/>
      <c r="G519" s="21">
        <f t="shared" si="80"/>
        <v>1</v>
      </c>
      <c r="H519" s="633"/>
      <c r="I519" s="21">
        <f t="shared" si="81"/>
        <v>1</v>
      </c>
      <c r="J519" s="633"/>
      <c r="K519" s="21">
        <f t="shared" si="82"/>
        <v>1</v>
      </c>
      <c r="L519" s="633"/>
      <c r="M519" s="21">
        <f t="shared" si="83"/>
        <v>1</v>
      </c>
      <c r="N519" s="633"/>
      <c r="O519" s="21">
        <f t="shared" si="84"/>
        <v>1</v>
      </c>
      <c r="P519" s="633" t="s">
        <v>4859</v>
      </c>
      <c r="Q519" s="21">
        <f t="shared" si="85"/>
        <v>0.95</v>
      </c>
      <c r="R519" s="21">
        <f t="shared" ca="1" si="86"/>
        <v>17.649100000000001</v>
      </c>
      <c r="S519" s="307">
        <f t="shared" ca="1" si="77"/>
        <v>0</v>
      </c>
      <c r="T519" s="687"/>
    </row>
    <row r="520" spans="1:20">
      <c r="A520" s="631" t="str">
        <f>'5号楼'!B500</f>
        <v>B3317</v>
      </c>
      <c r="B520" s="631">
        <f>'5号楼'!C500</f>
        <v>52.93</v>
      </c>
      <c r="C520" s="21">
        <f t="shared" si="78"/>
        <v>1</v>
      </c>
      <c r="D520" s="633"/>
      <c r="E520" s="21">
        <f t="shared" si="79"/>
        <v>1</v>
      </c>
      <c r="F520" s="633"/>
      <c r="G520" s="21">
        <f t="shared" si="80"/>
        <v>1</v>
      </c>
      <c r="H520" s="633"/>
      <c r="I520" s="21">
        <f t="shared" si="81"/>
        <v>1</v>
      </c>
      <c r="J520" s="633"/>
      <c r="K520" s="21">
        <f t="shared" si="82"/>
        <v>1</v>
      </c>
      <c r="L520" s="633"/>
      <c r="M520" s="21">
        <f t="shared" si="83"/>
        <v>1</v>
      </c>
      <c r="N520" s="633"/>
      <c r="O520" s="21">
        <f t="shared" si="84"/>
        <v>1</v>
      </c>
      <c r="P520" s="633" t="s">
        <v>4859</v>
      </c>
      <c r="Q520" s="21">
        <f t="shared" si="85"/>
        <v>0.95</v>
      </c>
      <c r="R520" s="21">
        <f t="shared" ca="1" si="86"/>
        <v>17.649100000000001</v>
      </c>
      <c r="S520" s="307">
        <f t="shared" ca="1" si="77"/>
        <v>0</v>
      </c>
      <c r="T520" s="687"/>
    </row>
    <row r="521" spans="1:20">
      <c r="A521" s="631" t="str">
        <f>'5号楼'!B501</f>
        <v>B3318</v>
      </c>
      <c r="B521" s="631">
        <f>'5号楼'!C501</f>
        <v>52.93</v>
      </c>
      <c r="C521" s="21">
        <f t="shared" si="78"/>
        <v>1</v>
      </c>
      <c r="D521" s="633"/>
      <c r="E521" s="21">
        <f t="shared" si="79"/>
        <v>1</v>
      </c>
      <c r="F521" s="633"/>
      <c r="G521" s="21">
        <f t="shared" si="80"/>
        <v>1</v>
      </c>
      <c r="H521" s="633"/>
      <c r="I521" s="21">
        <f t="shared" si="81"/>
        <v>1</v>
      </c>
      <c r="J521" s="633"/>
      <c r="K521" s="21">
        <f t="shared" si="82"/>
        <v>1</v>
      </c>
      <c r="L521" s="633"/>
      <c r="M521" s="21">
        <f t="shared" si="83"/>
        <v>1</v>
      </c>
      <c r="N521" s="633"/>
      <c r="O521" s="21">
        <f t="shared" si="84"/>
        <v>1</v>
      </c>
      <c r="P521" s="633" t="s">
        <v>4859</v>
      </c>
      <c r="Q521" s="21">
        <f t="shared" si="85"/>
        <v>0.95</v>
      </c>
      <c r="R521" s="21">
        <f t="shared" ca="1" si="86"/>
        <v>17.649100000000001</v>
      </c>
      <c r="S521" s="307">
        <f t="shared" ca="1" si="77"/>
        <v>0</v>
      </c>
      <c r="T521" s="687"/>
    </row>
    <row r="522" spans="1:20">
      <c r="A522" s="631" t="str">
        <f>'5号楼'!B502</f>
        <v>B3319</v>
      </c>
      <c r="B522" s="631">
        <f>'5号楼'!C502</f>
        <v>52.93</v>
      </c>
      <c r="C522" s="21">
        <f t="shared" si="78"/>
        <v>1</v>
      </c>
      <c r="D522" s="633"/>
      <c r="E522" s="21">
        <f t="shared" si="79"/>
        <v>1</v>
      </c>
      <c r="F522" s="633"/>
      <c r="G522" s="21">
        <f t="shared" si="80"/>
        <v>1</v>
      </c>
      <c r="H522" s="633"/>
      <c r="I522" s="21">
        <f t="shared" si="81"/>
        <v>1</v>
      </c>
      <c r="J522" s="633"/>
      <c r="K522" s="21">
        <f t="shared" si="82"/>
        <v>1</v>
      </c>
      <c r="L522" s="633"/>
      <c r="M522" s="21">
        <f t="shared" si="83"/>
        <v>1</v>
      </c>
      <c r="N522" s="633"/>
      <c r="O522" s="21">
        <f t="shared" si="84"/>
        <v>1</v>
      </c>
      <c r="P522" s="633" t="s">
        <v>4859</v>
      </c>
      <c r="Q522" s="21">
        <f t="shared" si="85"/>
        <v>0.95</v>
      </c>
      <c r="R522" s="21">
        <f t="shared" ca="1" si="86"/>
        <v>17.649100000000001</v>
      </c>
      <c r="S522" s="307">
        <f t="shared" ca="1" si="77"/>
        <v>0</v>
      </c>
      <c r="T522" s="687"/>
    </row>
    <row r="523" spans="1:20">
      <c r="A523" s="631" t="str">
        <f>'5号楼'!B503</f>
        <v>B3320</v>
      </c>
      <c r="B523" s="631">
        <f>'5号楼'!C503</f>
        <v>52.93</v>
      </c>
      <c r="C523" s="21">
        <f t="shared" si="78"/>
        <v>1</v>
      </c>
      <c r="D523" s="633"/>
      <c r="E523" s="21">
        <f t="shared" si="79"/>
        <v>1</v>
      </c>
      <c r="F523" s="633"/>
      <c r="G523" s="21">
        <f t="shared" si="80"/>
        <v>1</v>
      </c>
      <c r="H523" s="633"/>
      <c r="I523" s="21">
        <f t="shared" si="81"/>
        <v>1</v>
      </c>
      <c r="J523" s="633"/>
      <c r="K523" s="21">
        <f t="shared" si="82"/>
        <v>1</v>
      </c>
      <c r="L523" s="633"/>
      <c r="M523" s="21">
        <f t="shared" si="83"/>
        <v>1</v>
      </c>
      <c r="N523" s="633"/>
      <c r="O523" s="21">
        <f t="shared" si="84"/>
        <v>1</v>
      </c>
      <c r="P523" s="633" t="s">
        <v>4859</v>
      </c>
      <c r="Q523" s="21">
        <f t="shared" si="85"/>
        <v>0.95</v>
      </c>
      <c r="R523" s="21">
        <f t="shared" ca="1" si="86"/>
        <v>17.649100000000001</v>
      </c>
      <c r="S523" s="307">
        <f t="shared" ca="1" si="77"/>
        <v>0</v>
      </c>
      <c r="T523" s="687"/>
    </row>
    <row r="524" spans="1:20">
      <c r="A524" s="631" t="str">
        <f>'5号楼'!B504</f>
        <v>B3321</v>
      </c>
      <c r="B524" s="631">
        <f>'5号楼'!C504</f>
        <v>52.93</v>
      </c>
      <c r="C524" s="21">
        <f t="shared" si="78"/>
        <v>1</v>
      </c>
      <c r="D524" s="633"/>
      <c r="E524" s="21">
        <f t="shared" si="79"/>
        <v>1</v>
      </c>
      <c r="F524" s="633"/>
      <c r="G524" s="21">
        <f t="shared" si="80"/>
        <v>1</v>
      </c>
      <c r="H524" s="633"/>
      <c r="I524" s="21">
        <f t="shared" si="81"/>
        <v>1</v>
      </c>
      <c r="J524" s="633"/>
      <c r="K524" s="21">
        <f t="shared" si="82"/>
        <v>1</v>
      </c>
      <c r="L524" s="633"/>
      <c r="M524" s="21">
        <f t="shared" si="83"/>
        <v>1</v>
      </c>
      <c r="N524" s="633"/>
      <c r="O524" s="21">
        <f t="shared" si="84"/>
        <v>1</v>
      </c>
      <c r="P524" s="633" t="s">
        <v>4859</v>
      </c>
      <c r="Q524" s="21">
        <f t="shared" si="85"/>
        <v>0.95</v>
      </c>
      <c r="R524" s="21">
        <f t="shared" ca="1" si="86"/>
        <v>17.649100000000001</v>
      </c>
      <c r="S524" s="307">
        <f t="shared" ca="1" si="77"/>
        <v>0</v>
      </c>
      <c r="T524" s="687"/>
    </row>
    <row r="525" spans="1:20">
      <c r="A525" s="631" t="str">
        <f>'5号楼'!B505</f>
        <v>B3322</v>
      </c>
      <c r="B525" s="631">
        <f>'5号楼'!C505</f>
        <v>52.93</v>
      </c>
      <c r="C525" s="3167">
        <f t="shared" ref="C525:C527" si="87">IF(B525="",1,(LOOKUP(B525,$3:$3,$4:$4)-LOOKUP($B$24,$3:$3,$4:$4)+100)/100)</f>
        <v>1</v>
      </c>
      <c r="D525" s="633"/>
      <c r="E525" s="3167">
        <f t="shared" ref="E525:E527" si="88">(SUMIF($5:$5,D525,$6:$6)-SUMIF($5:$5,$D$24,$6:$6)+100)/100</f>
        <v>1</v>
      </c>
      <c r="F525" s="633"/>
      <c r="G525" s="3167">
        <f t="shared" ref="G525:G527" si="89">(SUMIF($7:$7,F525,$8:$8)-SUMIF($7:$7,$F$24,$8:$8)+100)/100</f>
        <v>1</v>
      </c>
      <c r="H525" s="633"/>
      <c r="I525" s="3167">
        <f t="shared" ref="I525:I527" si="90">(SUMIF($9:$9,H525,$10:$10)-SUMIF($9:$9,$H$24,$10:$10)+100)/100</f>
        <v>1</v>
      </c>
      <c r="J525" s="633"/>
      <c r="K525" s="3167">
        <f t="shared" ref="K525:K527" si="91">(SUMIF($11:$11,J525,$12:$12)-SUMIF($11:$11,$J$24,$12:$12)+100)/100</f>
        <v>1</v>
      </c>
      <c r="L525" s="633"/>
      <c r="M525" s="3167">
        <f t="shared" ref="M525:M527" si="92">(SUMIF($13:$13,L525,$14:$14)-SUMIF($13:$13,$L$24,$14:$14)+100)/100</f>
        <v>1</v>
      </c>
      <c r="N525" s="633"/>
      <c r="O525" s="3167">
        <f t="shared" ref="O525:O527" si="93">(SUMIF($15:$15,N525,$16:$16)-SUMIF($15:$15,$N$24,$16:$16)+100)/100</f>
        <v>1</v>
      </c>
      <c r="P525" s="633" t="s">
        <v>4859</v>
      </c>
      <c r="Q525" s="3167">
        <f t="shared" ref="Q525:Q527" si="94">(SUMIF($17:$17,P525,$18:$18)-SUMIF($17:$17,$P$24,$18:$18)+100)/100</f>
        <v>0.95</v>
      </c>
      <c r="R525" s="21">
        <f t="shared" ca="1" si="86"/>
        <v>17.649100000000001</v>
      </c>
      <c r="S525" s="901">
        <f t="shared" ref="S525:S527" ca="1" si="95">ROUND(R525*B525/10000,0)</f>
        <v>0</v>
      </c>
      <c r="T525" s="687"/>
    </row>
    <row r="526" spans="1:20">
      <c r="A526" s="631" t="str">
        <f>'5号楼'!B506</f>
        <v>B3323</v>
      </c>
      <c r="B526" s="631">
        <f>'5号楼'!C506</f>
        <v>50.93</v>
      </c>
      <c r="C526" s="3167">
        <f t="shared" si="87"/>
        <v>1</v>
      </c>
      <c r="D526" s="633"/>
      <c r="E526" s="3167">
        <f t="shared" si="88"/>
        <v>1</v>
      </c>
      <c r="F526" s="633"/>
      <c r="G526" s="3167">
        <f t="shared" si="89"/>
        <v>1</v>
      </c>
      <c r="H526" s="633"/>
      <c r="I526" s="3167">
        <f t="shared" si="90"/>
        <v>1</v>
      </c>
      <c r="J526" s="633"/>
      <c r="K526" s="3167">
        <f t="shared" si="91"/>
        <v>1</v>
      </c>
      <c r="L526" s="633"/>
      <c r="M526" s="3167">
        <f t="shared" si="92"/>
        <v>1</v>
      </c>
      <c r="N526" s="633"/>
      <c r="O526" s="3167">
        <f t="shared" si="93"/>
        <v>1</v>
      </c>
      <c r="P526" s="633" t="s">
        <v>4859</v>
      </c>
      <c r="Q526" s="3167">
        <f t="shared" si="94"/>
        <v>0.95</v>
      </c>
      <c r="R526" s="21">
        <f t="shared" ca="1" si="86"/>
        <v>17.649100000000001</v>
      </c>
      <c r="S526" s="901">
        <f t="shared" ca="1" si="95"/>
        <v>0</v>
      </c>
      <c r="T526" s="687"/>
    </row>
    <row r="527" spans="1:20">
      <c r="A527" s="631" t="str">
        <f>'5号楼'!B507</f>
        <v>B3324</v>
      </c>
      <c r="B527" s="631">
        <f>'5号楼'!C507</f>
        <v>50.93</v>
      </c>
      <c r="C527" s="3167">
        <f t="shared" si="87"/>
        <v>1</v>
      </c>
      <c r="D527" s="633"/>
      <c r="E527" s="3167">
        <f t="shared" si="88"/>
        <v>1</v>
      </c>
      <c r="F527" s="633"/>
      <c r="G527" s="3167">
        <f t="shared" si="89"/>
        <v>1</v>
      </c>
      <c r="H527" s="633"/>
      <c r="I527" s="3167">
        <f t="shared" si="90"/>
        <v>1</v>
      </c>
      <c r="J527" s="633"/>
      <c r="K527" s="3167">
        <f t="shared" si="91"/>
        <v>1</v>
      </c>
      <c r="L527" s="633"/>
      <c r="M527" s="3167">
        <f t="shared" si="92"/>
        <v>1</v>
      </c>
      <c r="N527" s="633"/>
      <c r="O527" s="3167">
        <f t="shared" si="93"/>
        <v>1</v>
      </c>
      <c r="P527" s="633" t="s">
        <v>4859</v>
      </c>
      <c r="Q527" s="3167">
        <f t="shared" si="94"/>
        <v>0.95</v>
      </c>
      <c r="R527" s="21">
        <f t="shared" ca="1" si="86"/>
        <v>17.649100000000001</v>
      </c>
      <c r="S527" s="901">
        <f t="shared" ca="1" si="95"/>
        <v>0</v>
      </c>
      <c r="T527" s="687"/>
    </row>
    <row r="528" spans="1:20">
      <c r="A528" s="631" t="str">
        <f>'5号楼'!B508</f>
        <v>B3325</v>
      </c>
      <c r="B528" s="631">
        <f>'5号楼'!C508</f>
        <v>50.93</v>
      </c>
      <c r="C528" s="3167">
        <f t="shared" ref="C528:C591" si="96">IF(B528="",1,(LOOKUP(B528,$3:$3,$4:$4)-LOOKUP($B$24,$3:$3,$4:$4)+100)/100)</f>
        <v>1</v>
      </c>
      <c r="D528" s="633"/>
      <c r="E528" s="3167">
        <f t="shared" ref="E528:E591" si="97">(SUMIF($5:$5,D528,$6:$6)-SUMIF($5:$5,$D$24,$6:$6)+100)/100</f>
        <v>1</v>
      </c>
      <c r="F528" s="633"/>
      <c r="G528" s="3167">
        <f t="shared" ref="G528:G591" si="98">(SUMIF($7:$7,F528,$8:$8)-SUMIF($7:$7,$F$24,$8:$8)+100)/100</f>
        <v>1</v>
      </c>
      <c r="H528" s="633"/>
      <c r="I528" s="3167">
        <f t="shared" ref="I528:I591" si="99">(SUMIF($9:$9,H528,$10:$10)-SUMIF($9:$9,$H$24,$10:$10)+100)/100</f>
        <v>1</v>
      </c>
      <c r="J528" s="633"/>
      <c r="K528" s="3167">
        <f t="shared" ref="K528:K591" si="100">(SUMIF($11:$11,J528,$12:$12)-SUMIF($11:$11,$J$24,$12:$12)+100)/100</f>
        <v>1</v>
      </c>
      <c r="L528" s="633"/>
      <c r="M528" s="3167">
        <f t="shared" ref="M528:M591" si="101">(SUMIF($13:$13,L528,$14:$14)-SUMIF($13:$13,$L$24,$14:$14)+100)/100</f>
        <v>1</v>
      </c>
      <c r="N528" s="633"/>
      <c r="O528" s="3167">
        <f t="shared" ref="O528:O591" si="102">(SUMIF($15:$15,N528,$16:$16)-SUMIF($15:$15,$N$24,$16:$16)+100)/100</f>
        <v>1</v>
      </c>
      <c r="P528" s="633" t="s">
        <v>4859</v>
      </c>
      <c r="Q528" s="3167">
        <f t="shared" ref="Q528:Q591" si="103">(SUMIF($17:$17,P528,$18:$18)-SUMIF($17:$17,$P$24,$18:$18)+100)/100</f>
        <v>0.95</v>
      </c>
      <c r="R528" s="21">
        <f t="shared" ca="1" si="86"/>
        <v>17.649100000000001</v>
      </c>
      <c r="S528" s="901">
        <f t="shared" ref="S528:S591" ca="1" si="104">ROUND(R528*B528/10000,0)</f>
        <v>0</v>
      </c>
      <c r="T528" s="687"/>
    </row>
    <row r="529" spans="1:20">
      <c r="A529" s="631" t="str">
        <f>'5号楼'!B509</f>
        <v>B3326</v>
      </c>
      <c r="B529" s="631">
        <f>'5号楼'!C509</f>
        <v>50.93</v>
      </c>
      <c r="C529" s="3167">
        <f t="shared" si="96"/>
        <v>1</v>
      </c>
      <c r="D529" s="633"/>
      <c r="E529" s="3167">
        <f t="shared" si="97"/>
        <v>1</v>
      </c>
      <c r="F529" s="633"/>
      <c r="G529" s="3167">
        <f t="shared" si="98"/>
        <v>1</v>
      </c>
      <c r="H529" s="633"/>
      <c r="I529" s="3167">
        <f t="shared" si="99"/>
        <v>1</v>
      </c>
      <c r="J529" s="633"/>
      <c r="K529" s="3167">
        <f t="shared" si="100"/>
        <v>1</v>
      </c>
      <c r="L529" s="633"/>
      <c r="M529" s="3167">
        <f t="shared" si="101"/>
        <v>1</v>
      </c>
      <c r="N529" s="633"/>
      <c r="O529" s="3167">
        <f t="shared" si="102"/>
        <v>1</v>
      </c>
      <c r="P529" s="633" t="s">
        <v>4859</v>
      </c>
      <c r="Q529" s="3167">
        <f t="shared" si="103"/>
        <v>0.95</v>
      </c>
      <c r="R529" s="21">
        <f t="shared" ca="1" si="86"/>
        <v>17.649100000000001</v>
      </c>
      <c r="S529" s="901">
        <f t="shared" ca="1" si="104"/>
        <v>0</v>
      </c>
      <c r="T529" s="687"/>
    </row>
    <row r="530" spans="1:20">
      <c r="A530" s="631" t="str">
        <f>'5号楼'!B510</f>
        <v>B3327</v>
      </c>
      <c r="B530" s="631">
        <f>'5号楼'!C510</f>
        <v>52.93</v>
      </c>
      <c r="C530" s="3167">
        <f t="shared" si="96"/>
        <v>1</v>
      </c>
      <c r="D530" s="633"/>
      <c r="E530" s="3167">
        <f t="shared" si="97"/>
        <v>1</v>
      </c>
      <c r="F530" s="633"/>
      <c r="G530" s="3167">
        <f t="shared" si="98"/>
        <v>1</v>
      </c>
      <c r="H530" s="633"/>
      <c r="I530" s="3167">
        <f t="shared" si="99"/>
        <v>1</v>
      </c>
      <c r="J530" s="633"/>
      <c r="K530" s="3167">
        <f t="shared" si="100"/>
        <v>1</v>
      </c>
      <c r="L530" s="633"/>
      <c r="M530" s="3167">
        <f t="shared" si="101"/>
        <v>1</v>
      </c>
      <c r="N530" s="633"/>
      <c r="O530" s="3167">
        <f t="shared" si="102"/>
        <v>1</v>
      </c>
      <c r="P530" s="633" t="s">
        <v>4859</v>
      </c>
      <c r="Q530" s="3167">
        <f t="shared" si="103"/>
        <v>0.95</v>
      </c>
      <c r="R530" s="21">
        <f t="shared" ca="1" si="86"/>
        <v>17.649100000000001</v>
      </c>
      <c r="S530" s="901">
        <f t="shared" ca="1" si="104"/>
        <v>0</v>
      </c>
      <c r="T530" s="687"/>
    </row>
    <row r="531" spans="1:20">
      <c r="A531" s="631" t="str">
        <f>'5号楼'!B511</f>
        <v>B3328</v>
      </c>
      <c r="B531" s="631">
        <f>'5号楼'!C511</f>
        <v>89.38</v>
      </c>
      <c r="C531" s="3167">
        <f t="shared" si="96"/>
        <v>1.3</v>
      </c>
      <c r="D531" s="633"/>
      <c r="E531" s="3167">
        <f t="shared" si="97"/>
        <v>1</v>
      </c>
      <c r="F531" s="633"/>
      <c r="G531" s="3167">
        <f t="shared" si="98"/>
        <v>1</v>
      </c>
      <c r="H531" s="633"/>
      <c r="I531" s="3167">
        <f t="shared" si="99"/>
        <v>1</v>
      </c>
      <c r="J531" s="633"/>
      <c r="K531" s="3167">
        <f t="shared" si="100"/>
        <v>1</v>
      </c>
      <c r="L531" s="633"/>
      <c r="M531" s="3167">
        <f t="shared" si="101"/>
        <v>1</v>
      </c>
      <c r="N531" s="633"/>
      <c r="O531" s="3167">
        <f t="shared" si="102"/>
        <v>1</v>
      </c>
      <c r="P531" s="633" t="s">
        <v>4859</v>
      </c>
      <c r="Q531" s="3167">
        <f t="shared" si="103"/>
        <v>0.95</v>
      </c>
      <c r="R531" s="21">
        <f t="shared" ca="1" si="86"/>
        <v>22.9438</v>
      </c>
      <c r="S531" s="901">
        <f t="shared" ca="1" si="104"/>
        <v>0</v>
      </c>
      <c r="T531" s="687"/>
    </row>
    <row r="532" spans="1:20">
      <c r="A532" s="631" t="str">
        <f>'5号楼'!B512</f>
        <v>B4001</v>
      </c>
      <c r="B532" s="631">
        <f>'5号楼'!C512</f>
        <v>59.92</v>
      </c>
      <c r="C532" s="3167">
        <f t="shared" si="96"/>
        <v>1</v>
      </c>
      <c r="D532" s="633"/>
      <c r="E532" s="3167">
        <f t="shared" si="97"/>
        <v>1</v>
      </c>
      <c r="F532" s="633"/>
      <c r="G532" s="3167">
        <f t="shared" si="98"/>
        <v>1</v>
      </c>
      <c r="H532" s="633"/>
      <c r="I532" s="3167">
        <f t="shared" si="99"/>
        <v>1</v>
      </c>
      <c r="J532" s="633"/>
      <c r="K532" s="3167">
        <f t="shared" si="100"/>
        <v>1</v>
      </c>
      <c r="L532" s="633"/>
      <c r="M532" s="3167">
        <f t="shared" si="101"/>
        <v>1</v>
      </c>
      <c r="N532" s="633"/>
      <c r="O532" s="3167">
        <f t="shared" si="102"/>
        <v>1</v>
      </c>
      <c r="P532" s="3201" t="s">
        <v>4862</v>
      </c>
      <c r="Q532" s="3167">
        <f t="shared" si="103"/>
        <v>0.9</v>
      </c>
      <c r="R532" s="21">
        <f t="shared" ca="1" si="86"/>
        <v>16.720199999999998</v>
      </c>
      <c r="S532" s="901">
        <f t="shared" ca="1" si="104"/>
        <v>0</v>
      </c>
      <c r="T532" s="687"/>
    </row>
    <row r="533" spans="1:20">
      <c r="A533" s="631" t="str">
        <f>'5号楼'!B513</f>
        <v>B4002</v>
      </c>
      <c r="B533" s="631">
        <f>'5号楼'!C513</f>
        <v>59.92</v>
      </c>
      <c r="C533" s="3167">
        <f t="shared" si="96"/>
        <v>1</v>
      </c>
      <c r="D533" s="633"/>
      <c r="E533" s="3167">
        <f t="shared" si="97"/>
        <v>1</v>
      </c>
      <c r="F533" s="633"/>
      <c r="G533" s="3167">
        <f t="shared" si="98"/>
        <v>1</v>
      </c>
      <c r="H533" s="633"/>
      <c r="I533" s="3167">
        <f t="shared" si="99"/>
        <v>1</v>
      </c>
      <c r="J533" s="633"/>
      <c r="K533" s="3167">
        <f t="shared" si="100"/>
        <v>1</v>
      </c>
      <c r="L533" s="633"/>
      <c r="M533" s="3167">
        <f t="shared" si="101"/>
        <v>1</v>
      </c>
      <c r="N533" s="633"/>
      <c r="O533" s="3167">
        <f t="shared" si="102"/>
        <v>1</v>
      </c>
      <c r="P533" s="3201" t="s">
        <v>4862</v>
      </c>
      <c r="Q533" s="3167">
        <f t="shared" si="103"/>
        <v>0.9</v>
      </c>
      <c r="R533" s="21">
        <f t="shared" ca="1" si="86"/>
        <v>16.720199999999998</v>
      </c>
      <c r="S533" s="901">
        <f t="shared" ca="1" si="104"/>
        <v>0</v>
      </c>
      <c r="T533" s="687"/>
    </row>
    <row r="534" spans="1:20">
      <c r="A534" s="631" t="str">
        <f>'5号楼'!B514</f>
        <v>B4003</v>
      </c>
      <c r="B534" s="631">
        <f>'5号楼'!C514</f>
        <v>59.92</v>
      </c>
      <c r="C534" s="3167">
        <f t="shared" si="96"/>
        <v>1</v>
      </c>
      <c r="D534" s="633"/>
      <c r="E534" s="3167">
        <f t="shared" si="97"/>
        <v>1</v>
      </c>
      <c r="F534" s="633"/>
      <c r="G534" s="3167">
        <f t="shared" si="98"/>
        <v>1</v>
      </c>
      <c r="H534" s="633"/>
      <c r="I534" s="3167">
        <f t="shared" si="99"/>
        <v>1</v>
      </c>
      <c r="J534" s="633"/>
      <c r="K534" s="3167">
        <f t="shared" si="100"/>
        <v>1</v>
      </c>
      <c r="L534" s="633"/>
      <c r="M534" s="3167">
        <f t="shared" si="101"/>
        <v>1</v>
      </c>
      <c r="N534" s="633"/>
      <c r="O534" s="3167">
        <f t="shared" si="102"/>
        <v>1</v>
      </c>
      <c r="P534" s="3201" t="s">
        <v>4862</v>
      </c>
      <c r="Q534" s="3167">
        <f t="shared" si="103"/>
        <v>0.9</v>
      </c>
      <c r="R534" s="21">
        <f t="shared" ca="1" si="86"/>
        <v>16.720199999999998</v>
      </c>
      <c r="S534" s="901">
        <f t="shared" ca="1" si="104"/>
        <v>0</v>
      </c>
      <c r="T534" s="687"/>
    </row>
    <row r="535" spans="1:20">
      <c r="A535" s="631" t="str">
        <f>'5号楼'!B515</f>
        <v>B4004</v>
      </c>
      <c r="B535" s="631">
        <f>'5号楼'!C515</f>
        <v>59.92</v>
      </c>
      <c r="C535" s="3167">
        <f t="shared" si="96"/>
        <v>1</v>
      </c>
      <c r="D535" s="633"/>
      <c r="E535" s="3167">
        <f t="shared" si="97"/>
        <v>1</v>
      </c>
      <c r="F535" s="633"/>
      <c r="G535" s="3167">
        <f t="shared" si="98"/>
        <v>1</v>
      </c>
      <c r="H535" s="633"/>
      <c r="I535" s="3167">
        <f t="shared" si="99"/>
        <v>1</v>
      </c>
      <c r="J535" s="633"/>
      <c r="K535" s="3167">
        <f t="shared" si="100"/>
        <v>1</v>
      </c>
      <c r="L535" s="633"/>
      <c r="M535" s="3167">
        <f t="shared" si="101"/>
        <v>1</v>
      </c>
      <c r="N535" s="633"/>
      <c r="O535" s="3167">
        <f t="shared" si="102"/>
        <v>1</v>
      </c>
      <c r="P535" s="3201" t="s">
        <v>4862</v>
      </c>
      <c r="Q535" s="3167">
        <f t="shared" si="103"/>
        <v>0.9</v>
      </c>
      <c r="R535" s="21">
        <f t="shared" ca="1" si="86"/>
        <v>16.720199999999998</v>
      </c>
      <c r="S535" s="901">
        <f t="shared" ca="1" si="104"/>
        <v>0</v>
      </c>
      <c r="T535" s="687"/>
    </row>
    <row r="536" spans="1:20">
      <c r="A536" s="631" t="str">
        <f>'5号楼'!B516</f>
        <v>B4005</v>
      </c>
      <c r="B536" s="631">
        <f>'5号楼'!C516</f>
        <v>52.93</v>
      </c>
      <c r="C536" s="3167">
        <f t="shared" si="96"/>
        <v>1</v>
      </c>
      <c r="D536" s="633"/>
      <c r="E536" s="3167">
        <f t="shared" si="97"/>
        <v>1</v>
      </c>
      <c r="F536" s="633"/>
      <c r="G536" s="3167">
        <f t="shared" si="98"/>
        <v>1</v>
      </c>
      <c r="H536" s="633"/>
      <c r="I536" s="3167">
        <f t="shared" si="99"/>
        <v>1</v>
      </c>
      <c r="J536" s="633"/>
      <c r="K536" s="3167">
        <f t="shared" si="100"/>
        <v>1</v>
      </c>
      <c r="L536" s="633"/>
      <c r="M536" s="3167">
        <f t="shared" si="101"/>
        <v>1</v>
      </c>
      <c r="N536" s="633"/>
      <c r="O536" s="3167">
        <f t="shared" si="102"/>
        <v>1</v>
      </c>
      <c r="P536" s="3201" t="s">
        <v>4862</v>
      </c>
      <c r="Q536" s="3167">
        <f t="shared" si="103"/>
        <v>0.9</v>
      </c>
      <c r="R536" s="21">
        <f t="shared" ca="1" si="86"/>
        <v>16.720199999999998</v>
      </c>
      <c r="S536" s="901">
        <f t="shared" ca="1" si="104"/>
        <v>0</v>
      </c>
      <c r="T536" s="687"/>
    </row>
    <row r="537" spans="1:20">
      <c r="A537" s="631" t="str">
        <f>'5号楼'!B517</f>
        <v>B4006</v>
      </c>
      <c r="B537" s="631">
        <f>'5号楼'!C517</f>
        <v>52.93</v>
      </c>
      <c r="C537" s="3167">
        <f t="shared" si="96"/>
        <v>1</v>
      </c>
      <c r="D537" s="633"/>
      <c r="E537" s="3167">
        <f t="shared" si="97"/>
        <v>1</v>
      </c>
      <c r="F537" s="633"/>
      <c r="G537" s="3167">
        <f t="shared" si="98"/>
        <v>1</v>
      </c>
      <c r="H537" s="633"/>
      <c r="I537" s="3167">
        <f t="shared" si="99"/>
        <v>1</v>
      </c>
      <c r="J537" s="633"/>
      <c r="K537" s="3167">
        <f t="shared" si="100"/>
        <v>1</v>
      </c>
      <c r="L537" s="633"/>
      <c r="M537" s="3167">
        <f t="shared" si="101"/>
        <v>1</v>
      </c>
      <c r="N537" s="633"/>
      <c r="O537" s="3167">
        <f t="shared" si="102"/>
        <v>1</v>
      </c>
      <c r="P537" s="3201" t="s">
        <v>4862</v>
      </c>
      <c r="Q537" s="3167">
        <f t="shared" si="103"/>
        <v>0.9</v>
      </c>
      <c r="R537" s="21">
        <f t="shared" ca="1" si="86"/>
        <v>16.720199999999998</v>
      </c>
      <c r="S537" s="901">
        <f t="shared" ca="1" si="104"/>
        <v>0</v>
      </c>
      <c r="T537" s="687"/>
    </row>
    <row r="538" spans="1:20">
      <c r="A538" s="631" t="str">
        <f>'5号楼'!B518</f>
        <v>B4007</v>
      </c>
      <c r="B538" s="631">
        <f>'5号楼'!C518</f>
        <v>52.93</v>
      </c>
      <c r="C538" s="3167">
        <f t="shared" si="96"/>
        <v>1</v>
      </c>
      <c r="D538" s="633"/>
      <c r="E538" s="3167">
        <f t="shared" si="97"/>
        <v>1</v>
      </c>
      <c r="F538" s="633"/>
      <c r="G538" s="3167">
        <f t="shared" si="98"/>
        <v>1</v>
      </c>
      <c r="H538" s="633"/>
      <c r="I538" s="3167">
        <f t="shared" si="99"/>
        <v>1</v>
      </c>
      <c r="J538" s="633"/>
      <c r="K538" s="3167">
        <f t="shared" si="100"/>
        <v>1</v>
      </c>
      <c r="L538" s="633"/>
      <c r="M538" s="3167">
        <f t="shared" si="101"/>
        <v>1</v>
      </c>
      <c r="N538" s="633"/>
      <c r="O538" s="3167">
        <f t="shared" si="102"/>
        <v>1</v>
      </c>
      <c r="P538" s="3201" t="s">
        <v>4862</v>
      </c>
      <c r="Q538" s="3167">
        <f t="shared" si="103"/>
        <v>0.9</v>
      </c>
      <c r="R538" s="21">
        <f t="shared" ref="R538:R601" ca="1" si="105">IF(B538="",0,ROUND($R$24*C538*E538*G538*I538*K538*M538*O538*Q538,4))</f>
        <v>16.720199999999998</v>
      </c>
      <c r="S538" s="901">
        <f t="shared" ca="1" si="104"/>
        <v>0</v>
      </c>
      <c r="T538" s="687"/>
    </row>
    <row r="539" spans="1:20">
      <c r="A539" s="631" t="str">
        <f>'5号楼'!B519</f>
        <v>B4008</v>
      </c>
      <c r="B539" s="631">
        <f>'5号楼'!C519</f>
        <v>52.93</v>
      </c>
      <c r="C539" s="3167">
        <f t="shared" si="96"/>
        <v>1</v>
      </c>
      <c r="D539" s="633"/>
      <c r="E539" s="3167">
        <f t="shared" si="97"/>
        <v>1</v>
      </c>
      <c r="F539" s="633"/>
      <c r="G539" s="3167">
        <f t="shared" si="98"/>
        <v>1</v>
      </c>
      <c r="H539" s="633"/>
      <c r="I539" s="3167">
        <f t="shared" si="99"/>
        <v>1</v>
      </c>
      <c r="J539" s="633"/>
      <c r="K539" s="3167">
        <f t="shared" si="100"/>
        <v>1</v>
      </c>
      <c r="L539" s="633"/>
      <c r="M539" s="3167">
        <f t="shared" si="101"/>
        <v>1</v>
      </c>
      <c r="N539" s="633"/>
      <c r="O539" s="3167">
        <f t="shared" si="102"/>
        <v>1</v>
      </c>
      <c r="P539" s="3201" t="s">
        <v>4862</v>
      </c>
      <c r="Q539" s="3167">
        <f t="shared" si="103"/>
        <v>0.9</v>
      </c>
      <c r="R539" s="21">
        <f t="shared" ca="1" si="105"/>
        <v>16.720199999999998</v>
      </c>
      <c r="S539" s="901">
        <f t="shared" ca="1" si="104"/>
        <v>0</v>
      </c>
      <c r="T539" s="687"/>
    </row>
    <row r="540" spans="1:20">
      <c r="A540" s="631" t="str">
        <f>'5号楼'!B520</f>
        <v>B4009</v>
      </c>
      <c r="B540" s="631">
        <f>'5号楼'!C520</f>
        <v>52.93</v>
      </c>
      <c r="C540" s="3167">
        <f t="shared" si="96"/>
        <v>1</v>
      </c>
      <c r="D540" s="633"/>
      <c r="E540" s="3167">
        <f t="shared" si="97"/>
        <v>1</v>
      </c>
      <c r="F540" s="633"/>
      <c r="G540" s="3167">
        <f t="shared" si="98"/>
        <v>1</v>
      </c>
      <c r="H540" s="633"/>
      <c r="I540" s="3167">
        <f t="shared" si="99"/>
        <v>1</v>
      </c>
      <c r="J540" s="633"/>
      <c r="K540" s="3167">
        <f t="shared" si="100"/>
        <v>1</v>
      </c>
      <c r="L540" s="633"/>
      <c r="M540" s="3167">
        <f t="shared" si="101"/>
        <v>1</v>
      </c>
      <c r="N540" s="633"/>
      <c r="O540" s="3167">
        <f t="shared" si="102"/>
        <v>1</v>
      </c>
      <c r="P540" s="3201" t="s">
        <v>4862</v>
      </c>
      <c r="Q540" s="3167">
        <f t="shared" si="103"/>
        <v>0.9</v>
      </c>
      <c r="R540" s="21">
        <f t="shared" ca="1" si="105"/>
        <v>16.720199999999998</v>
      </c>
      <c r="S540" s="901">
        <f t="shared" ca="1" si="104"/>
        <v>0</v>
      </c>
      <c r="T540" s="687"/>
    </row>
    <row r="541" spans="1:20">
      <c r="A541" s="631" t="str">
        <f>'5号楼'!B521</f>
        <v>B4010</v>
      </c>
      <c r="B541" s="631">
        <f>'5号楼'!C521</f>
        <v>52.93</v>
      </c>
      <c r="C541" s="3167">
        <f t="shared" si="96"/>
        <v>1</v>
      </c>
      <c r="D541" s="633"/>
      <c r="E541" s="3167">
        <f t="shared" si="97"/>
        <v>1</v>
      </c>
      <c r="F541" s="633"/>
      <c r="G541" s="3167">
        <f t="shared" si="98"/>
        <v>1</v>
      </c>
      <c r="H541" s="633"/>
      <c r="I541" s="3167">
        <f t="shared" si="99"/>
        <v>1</v>
      </c>
      <c r="J541" s="633"/>
      <c r="K541" s="3167">
        <f t="shared" si="100"/>
        <v>1</v>
      </c>
      <c r="L541" s="633"/>
      <c r="M541" s="3167">
        <f t="shared" si="101"/>
        <v>1</v>
      </c>
      <c r="N541" s="633"/>
      <c r="O541" s="3167">
        <f t="shared" si="102"/>
        <v>1</v>
      </c>
      <c r="P541" s="3201" t="s">
        <v>4862</v>
      </c>
      <c r="Q541" s="3167">
        <f t="shared" si="103"/>
        <v>0.9</v>
      </c>
      <c r="R541" s="21">
        <f t="shared" ca="1" si="105"/>
        <v>16.720199999999998</v>
      </c>
      <c r="S541" s="901">
        <f t="shared" ca="1" si="104"/>
        <v>0</v>
      </c>
      <c r="T541" s="687"/>
    </row>
    <row r="542" spans="1:20">
      <c r="A542" s="631" t="str">
        <f>'5号楼'!B522</f>
        <v>B4011</v>
      </c>
      <c r="B542" s="631">
        <f>'5号楼'!C522</f>
        <v>52.93</v>
      </c>
      <c r="C542" s="3167">
        <f t="shared" si="96"/>
        <v>1</v>
      </c>
      <c r="D542" s="633"/>
      <c r="E542" s="3167">
        <f t="shared" si="97"/>
        <v>1</v>
      </c>
      <c r="F542" s="633"/>
      <c r="G542" s="3167">
        <f t="shared" si="98"/>
        <v>1</v>
      </c>
      <c r="H542" s="633"/>
      <c r="I542" s="3167">
        <f t="shared" si="99"/>
        <v>1</v>
      </c>
      <c r="J542" s="633"/>
      <c r="K542" s="3167">
        <f t="shared" si="100"/>
        <v>1</v>
      </c>
      <c r="L542" s="633"/>
      <c r="M542" s="3167">
        <f t="shared" si="101"/>
        <v>1</v>
      </c>
      <c r="N542" s="633"/>
      <c r="O542" s="3167">
        <f t="shared" si="102"/>
        <v>1</v>
      </c>
      <c r="P542" s="3201" t="s">
        <v>4862</v>
      </c>
      <c r="Q542" s="3167">
        <f t="shared" si="103"/>
        <v>0.9</v>
      </c>
      <c r="R542" s="21">
        <f t="shared" ca="1" si="105"/>
        <v>16.720199999999998</v>
      </c>
      <c r="S542" s="901">
        <f t="shared" ca="1" si="104"/>
        <v>0</v>
      </c>
      <c r="T542" s="687"/>
    </row>
    <row r="543" spans="1:20">
      <c r="A543" s="631" t="str">
        <f>'5号楼'!B523</f>
        <v>B4012</v>
      </c>
      <c r="B543" s="631">
        <f>'5号楼'!C523</f>
        <v>52.93</v>
      </c>
      <c r="C543" s="3167">
        <f t="shared" si="96"/>
        <v>1</v>
      </c>
      <c r="D543" s="633"/>
      <c r="E543" s="3167">
        <f t="shared" si="97"/>
        <v>1</v>
      </c>
      <c r="F543" s="633"/>
      <c r="G543" s="3167">
        <f t="shared" si="98"/>
        <v>1</v>
      </c>
      <c r="H543" s="633"/>
      <c r="I543" s="3167">
        <f t="shared" si="99"/>
        <v>1</v>
      </c>
      <c r="J543" s="633"/>
      <c r="K543" s="3167">
        <f t="shared" si="100"/>
        <v>1</v>
      </c>
      <c r="L543" s="633"/>
      <c r="M543" s="3167">
        <f t="shared" si="101"/>
        <v>1</v>
      </c>
      <c r="N543" s="633"/>
      <c r="O543" s="3167">
        <f t="shared" si="102"/>
        <v>1</v>
      </c>
      <c r="P543" s="3201" t="s">
        <v>4862</v>
      </c>
      <c r="Q543" s="3167">
        <f t="shared" si="103"/>
        <v>0.9</v>
      </c>
      <c r="R543" s="21">
        <f t="shared" ca="1" si="105"/>
        <v>16.720199999999998</v>
      </c>
      <c r="S543" s="901">
        <f t="shared" ca="1" si="104"/>
        <v>0</v>
      </c>
      <c r="T543" s="687"/>
    </row>
    <row r="544" spans="1:20">
      <c r="A544" s="631" t="str">
        <f>'5号楼'!B524</f>
        <v>B4013</v>
      </c>
      <c r="B544" s="631">
        <f>'5号楼'!C524</f>
        <v>52.93</v>
      </c>
      <c r="C544" s="3167">
        <f t="shared" si="96"/>
        <v>1</v>
      </c>
      <c r="D544" s="633"/>
      <c r="E544" s="3167">
        <f t="shared" si="97"/>
        <v>1</v>
      </c>
      <c r="F544" s="633"/>
      <c r="G544" s="3167">
        <f t="shared" si="98"/>
        <v>1</v>
      </c>
      <c r="H544" s="633"/>
      <c r="I544" s="3167">
        <f t="shared" si="99"/>
        <v>1</v>
      </c>
      <c r="J544" s="633"/>
      <c r="K544" s="3167">
        <f t="shared" si="100"/>
        <v>1</v>
      </c>
      <c r="L544" s="633"/>
      <c r="M544" s="3167">
        <f t="shared" si="101"/>
        <v>1</v>
      </c>
      <c r="N544" s="633"/>
      <c r="O544" s="3167">
        <f t="shared" si="102"/>
        <v>1</v>
      </c>
      <c r="P544" s="3201" t="s">
        <v>4862</v>
      </c>
      <c r="Q544" s="3167">
        <f t="shared" si="103"/>
        <v>0.9</v>
      </c>
      <c r="R544" s="21">
        <f t="shared" ca="1" si="105"/>
        <v>16.720199999999998</v>
      </c>
      <c r="S544" s="901">
        <f t="shared" ca="1" si="104"/>
        <v>0</v>
      </c>
      <c r="T544" s="687"/>
    </row>
    <row r="545" spans="1:20">
      <c r="A545" s="631" t="str">
        <f>'5号楼'!B525</f>
        <v>B4014</v>
      </c>
      <c r="B545" s="631">
        <f>'5号楼'!C525</f>
        <v>52.93</v>
      </c>
      <c r="C545" s="3167">
        <f t="shared" si="96"/>
        <v>1</v>
      </c>
      <c r="D545" s="633"/>
      <c r="E545" s="3167">
        <f t="shared" si="97"/>
        <v>1</v>
      </c>
      <c r="F545" s="633"/>
      <c r="G545" s="3167">
        <f t="shared" si="98"/>
        <v>1</v>
      </c>
      <c r="H545" s="633"/>
      <c r="I545" s="3167">
        <f t="shared" si="99"/>
        <v>1</v>
      </c>
      <c r="J545" s="633"/>
      <c r="K545" s="3167">
        <f t="shared" si="100"/>
        <v>1</v>
      </c>
      <c r="L545" s="633"/>
      <c r="M545" s="3167">
        <f t="shared" si="101"/>
        <v>1</v>
      </c>
      <c r="N545" s="633"/>
      <c r="O545" s="3167">
        <f t="shared" si="102"/>
        <v>1</v>
      </c>
      <c r="P545" s="3201" t="s">
        <v>4862</v>
      </c>
      <c r="Q545" s="3167">
        <f t="shared" si="103"/>
        <v>0.9</v>
      </c>
      <c r="R545" s="21">
        <f t="shared" ca="1" si="105"/>
        <v>16.720199999999998</v>
      </c>
      <c r="S545" s="901">
        <f t="shared" ca="1" si="104"/>
        <v>0</v>
      </c>
      <c r="T545" s="687"/>
    </row>
    <row r="546" spans="1:20">
      <c r="A546" s="631" t="str">
        <f>'5号楼'!B526</f>
        <v>B4015</v>
      </c>
      <c r="B546" s="631">
        <f>'5号楼'!C526</f>
        <v>52.93</v>
      </c>
      <c r="C546" s="3167">
        <f t="shared" si="96"/>
        <v>1</v>
      </c>
      <c r="D546" s="633"/>
      <c r="E546" s="3167">
        <f t="shared" si="97"/>
        <v>1</v>
      </c>
      <c r="F546" s="633"/>
      <c r="G546" s="3167">
        <f t="shared" si="98"/>
        <v>1</v>
      </c>
      <c r="H546" s="633"/>
      <c r="I546" s="3167">
        <f t="shared" si="99"/>
        <v>1</v>
      </c>
      <c r="J546" s="633"/>
      <c r="K546" s="3167">
        <f t="shared" si="100"/>
        <v>1</v>
      </c>
      <c r="L546" s="633"/>
      <c r="M546" s="3167">
        <f t="shared" si="101"/>
        <v>1</v>
      </c>
      <c r="N546" s="633"/>
      <c r="O546" s="3167">
        <f t="shared" si="102"/>
        <v>1</v>
      </c>
      <c r="P546" s="3201" t="s">
        <v>4862</v>
      </c>
      <c r="Q546" s="3167">
        <f t="shared" si="103"/>
        <v>0.9</v>
      </c>
      <c r="R546" s="21">
        <f t="shared" ca="1" si="105"/>
        <v>16.720199999999998</v>
      </c>
      <c r="S546" s="901">
        <f t="shared" ca="1" si="104"/>
        <v>0</v>
      </c>
      <c r="T546" s="687"/>
    </row>
    <row r="547" spans="1:20">
      <c r="A547" s="631" t="str">
        <f>'5号楼'!B527</f>
        <v>B4016</v>
      </c>
      <c r="B547" s="631">
        <f>'5号楼'!C527</f>
        <v>52.93</v>
      </c>
      <c r="C547" s="3167">
        <f t="shared" si="96"/>
        <v>1</v>
      </c>
      <c r="D547" s="633"/>
      <c r="E547" s="3167">
        <f t="shared" si="97"/>
        <v>1</v>
      </c>
      <c r="F547" s="633"/>
      <c r="G547" s="3167">
        <f t="shared" si="98"/>
        <v>1</v>
      </c>
      <c r="H547" s="633"/>
      <c r="I547" s="3167">
        <f t="shared" si="99"/>
        <v>1</v>
      </c>
      <c r="J547" s="633"/>
      <c r="K547" s="3167">
        <f t="shared" si="100"/>
        <v>1</v>
      </c>
      <c r="L547" s="633"/>
      <c r="M547" s="3167">
        <f t="shared" si="101"/>
        <v>1</v>
      </c>
      <c r="N547" s="633"/>
      <c r="O547" s="3167">
        <f t="shared" si="102"/>
        <v>1</v>
      </c>
      <c r="P547" s="3201" t="s">
        <v>4862</v>
      </c>
      <c r="Q547" s="3167">
        <f t="shared" si="103"/>
        <v>0.9</v>
      </c>
      <c r="R547" s="21">
        <f t="shared" ca="1" si="105"/>
        <v>16.720199999999998</v>
      </c>
      <c r="S547" s="901">
        <f t="shared" ca="1" si="104"/>
        <v>0</v>
      </c>
      <c r="T547" s="687"/>
    </row>
    <row r="548" spans="1:20">
      <c r="A548" s="631" t="str">
        <f>'5号楼'!B528</f>
        <v>B4017</v>
      </c>
      <c r="B548" s="631">
        <f>'5号楼'!C528</f>
        <v>52.93</v>
      </c>
      <c r="C548" s="3167">
        <f t="shared" si="96"/>
        <v>1</v>
      </c>
      <c r="D548" s="633"/>
      <c r="E548" s="3167">
        <f t="shared" si="97"/>
        <v>1</v>
      </c>
      <c r="F548" s="633"/>
      <c r="G548" s="3167">
        <f t="shared" si="98"/>
        <v>1</v>
      </c>
      <c r="H548" s="633"/>
      <c r="I548" s="3167">
        <f t="shared" si="99"/>
        <v>1</v>
      </c>
      <c r="J548" s="633"/>
      <c r="K548" s="3167">
        <f t="shared" si="100"/>
        <v>1</v>
      </c>
      <c r="L548" s="633"/>
      <c r="M548" s="3167">
        <f t="shared" si="101"/>
        <v>1</v>
      </c>
      <c r="N548" s="633"/>
      <c r="O548" s="3167">
        <f t="shared" si="102"/>
        <v>1</v>
      </c>
      <c r="P548" s="3201" t="s">
        <v>4862</v>
      </c>
      <c r="Q548" s="3167">
        <f t="shared" si="103"/>
        <v>0.9</v>
      </c>
      <c r="R548" s="21">
        <f t="shared" ca="1" si="105"/>
        <v>16.720199999999998</v>
      </c>
      <c r="S548" s="901">
        <f t="shared" ca="1" si="104"/>
        <v>0</v>
      </c>
      <c r="T548" s="687"/>
    </row>
    <row r="549" spans="1:20">
      <c r="A549" s="631" t="str">
        <f>'5号楼'!B529</f>
        <v>B4018</v>
      </c>
      <c r="B549" s="631">
        <f>'5号楼'!C529</f>
        <v>52.93</v>
      </c>
      <c r="C549" s="3167">
        <f t="shared" si="96"/>
        <v>1</v>
      </c>
      <c r="D549" s="633"/>
      <c r="E549" s="3167">
        <f t="shared" si="97"/>
        <v>1</v>
      </c>
      <c r="F549" s="633"/>
      <c r="G549" s="3167">
        <f t="shared" si="98"/>
        <v>1</v>
      </c>
      <c r="H549" s="633"/>
      <c r="I549" s="3167">
        <f t="shared" si="99"/>
        <v>1</v>
      </c>
      <c r="J549" s="633"/>
      <c r="K549" s="3167">
        <f t="shared" si="100"/>
        <v>1</v>
      </c>
      <c r="L549" s="633"/>
      <c r="M549" s="3167">
        <f t="shared" si="101"/>
        <v>1</v>
      </c>
      <c r="N549" s="633"/>
      <c r="O549" s="3167">
        <f t="shared" si="102"/>
        <v>1</v>
      </c>
      <c r="P549" s="3201" t="s">
        <v>4862</v>
      </c>
      <c r="Q549" s="3167">
        <f t="shared" si="103"/>
        <v>0.9</v>
      </c>
      <c r="R549" s="21">
        <f t="shared" ca="1" si="105"/>
        <v>16.720199999999998</v>
      </c>
      <c r="S549" s="901">
        <f t="shared" ca="1" si="104"/>
        <v>0</v>
      </c>
      <c r="T549" s="687"/>
    </row>
    <row r="550" spans="1:20">
      <c r="A550" s="631" t="str">
        <f>'5号楼'!B530</f>
        <v>B4019</v>
      </c>
      <c r="B550" s="631">
        <f>'5号楼'!C530</f>
        <v>52.93</v>
      </c>
      <c r="C550" s="3167">
        <f t="shared" si="96"/>
        <v>1</v>
      </c>
      <c r="D550" s="633"/>
      <c r="E550" s="3167">
        <f t="shared" si="97"/>
        <v>1</v>
      </c>
      <c r="F550" s="633"/>
      <c r="G550" s="3167">
        <f t="shared" si="98"/>
        <v>1</v>
      </c>
      <c r="H550" s="633"/>
      <c r="I550" s="3167">
        <f t="shared" si="99"/>
        <v>1</v>
      </c>
      <c r="J550" s="633"/>
      <c r="K550" s="3167">
        <f t="shared" si="100"/>
        <v>1</v>
      </c>
      <c r="L550" s="633"/>
      <c r="M550" s="3167">
        <f t="shared" si="101"/>
        <v>1</v>
      </c>
      <c r="N550" s="633"/>
      <c r="O550" s="3167">
        <f t="shared" si="102"/>
        <v>1</v>
      </c>
      <c r="P550" s="3201" t="s">
        <v>4862</v>
      </c>
      <c r="Q550" s="3167">
        <f t="shared" si="103"/>
        <v>0.9</v>
      </c>
      <c r="R550" s="21">
        <f t="shared" ca="1" si="105"/>
        <v>16.720199999999998</v>
      </c>
      <c r="S550" s="901">
        <f t="shared" ca="1" si="104"/>
        <v>0</v>
      </c>
      <c r="T550" s="687"/>
    </row>
    <row r="551" spans="1:20">
      <c r="A551" s="631" t="str">
        <f>'5号楼'!B531</f>
        <v>B4020</v>
      </c>
      <c r="B551" s="631">
        <f>'5号楼'!C531</f>
        <v>52.93</v>
      </c>
      <c r="C551" s="3167">
        <f t="shared" si="96"/>
        <v>1</v>
      </c>
      <c r="D551" s="633"/>
      <c r="E551" s="3167">
        <f t="shared" si="97"/>
        <v>1</v>
      </c>
      <c r="F551" s="633"/>
      <c r="G551" s="3167">
        <f t="shared" si="98"/>
        <v>1</v>
      </c>
      <c r="H551" s="633"/>
      <c r="I551" s="3167">
        <f t="shared" si="99"/>
        <v>1</v>
      </c>
      <c r="J551" s="633"/>
      <c r="K551" s="3167">
        <f t="shared" si="100"/>
        <v>1</v>
      </c>
      <c r="L551" s="633"/>
      <c r="M551" s="3167">
        <f t="shared" si="101"/>
        <v>1</v>
      </c>
      <c r="N551" s="633"/>
      <c r="O551" s="3167">
        <f t="shared" si="102"/>
        <v>1</v>
      </c>
      <c r="P551" s="3201" t="s">
        <v>4862</v>
      </c>
      <c r="Q551" s="3167">
        <f t="shared" si="103"/>
        <v>0.9</v>
      </c>
      <c r="R551" s="21">
        <f t="shared" ca="1" si="105"/>
        <v>16.720199999999998</v>
      </c>
      <c r="S551" s="901">
        <f t="shared" ca="1" si="104"/>
        <v>0</v>
      </c>
      <c r="T551" s="687"/>
    </row>
    <row r="552" spans="1:20">
      <c r="A552" s="631" t="str">
        <f>'5号楼'!B532</f>
        <v>B4021</v>
      </c>
      <c r="B552" s="631">
        <f>'5号楼'!C532</f>
        <v>52.93</v>
      </c>
      <c r="C552" s="3167">
        <f t="shared" si="96"/>
        <v>1</v>
      </c>
      <c r="D552" s="633"/>
      <c r="E552" s="3167">
        <f t="shared" si="97"/>
        <v>1</v>
      </c>
      <c r="F552" s="633"/>
      <c r="G552" s="3167">
        <f t="shared" si="98"/>
        <v>1</v>
      </c>
      <c r="H552" s="633"/>
      <c r="I552" s="3167">
        <f t="shared" si="99"/>
        <v>1</v>
      </c>
      <c r="J552" s="633"/>
      <c r="K552" s="3167">
        <f t="shared" si="100"/>
        <v>1</v>
      </c>
      <c r="L552" s="633"/>
      <c r="M552" s="3167">
        <f t="shared" si="101"/>
        <v>1</v>
      </c>
      <c r="N552" s="633"/>
      <c r="O552" s="3167">
        <f t="shared" si="102"/>
        <v>1</v>
      </c>
      <c r="P552" s="3201" t="s">
        <v>4862</v>
      </c>
      <c r="Q552" s="3167">
        <f t="shared" si="103"/>
        <v>0.9</v>
      </c>
      <c r="R552" s="21">
        <f t="shared" ca="1" si="105"/>
        <v>16.720199999999998</v>
      </c>
      <c r="S552" s="901">
        <f t="shared" ca="1" si="104"/>
        <v>0</v>
      </c>
      <c r="T552" s="687"/>
    </row>
    <row r="553" spans="1:20">
      <c r="A553" s="631" t="str">
        <f>'5号楼'!B533</f>
        <v>B4022</v>
      </c>
      <c r="B553" s="631">
        <f>'5号楼'!C533</f>
        <v>52.93</v>
      </c>
      <c r="C553" s="3167">
        <f t="shared" si="96"/>
        <v>1</v>
      </c>
      <c r="D553" s="633"/>
      <c r="E553" s="3167">
        <f t="shared" si="97"/>
        <v>1</v>
      </c>
      <c r="F553" s="633"/>
      <c r="G553" s="3167">
        <f t="shared" si="98"/>
        <v>1</v>
      </c>
      <c r="H553" s="633"/>
      <c r="I553" s="3167">
        <f t="shared" si="99"/>
        <v>1</v>
      </c>
      <c r="J553" s="633"/>
      <c r="K553" s="3167">
        <f t="shared" si="100"/>
        <v>1</v>
      </c>
      <c r="L553" s="633"/>
      <c r="M553" s="3167">
        <f t="shared" si="101"/>
        <v>1</v>
      </c>
      <c r="N553" s="633"/>
      <c r="O553" s="3167">
        <f t="shared" si="102"/>
        <v>1</v>
      </c>
      <c r="P553" s="3201" t="s">
        <v>4862</v>
      </c>
      <c r="Q553" s="3167">
        <f t="shared" si="103"/>
        <v>0.9</v>
      </c>
      <c r="R553" s="21">
        <f t="shared" ca="1" si="105"/>
        <v>16.720199999999998</v>
      </c>
      <c r="S553" s="901">
        <f t="shared" ca="1" si="104"/>
        <v>0</v>
      </c>
      <c r="T553" s="687"/>
    </row>
    <row r="554" spans="1:20">
      <c r="A554" s="631" t="str">
        <f>'5号楼'!B534</f>
        <v>B4023</v>
      </c>
      <c r="B554" s="631">
        <f>'5号楼'!C534</f>
        <v>52.93</v>
      </c>
      <c r="C554" s="3167">
        <f t="shared" si="96"/>
        <v>1</v>
      </c>
      <c r="D554" s="633"/>
      <c r="E554" s="3167">
        <f t="shared" si="97"/>
        <v>1</v>
      </c>
      <c r="F554" s="633"/>
      <c r="G554" s="3167">
        <f t="shared" si="98"/>
        <v>1</v>
      </c>
      <c r="H554" s="633"/>
      <c r="I554" s="3167">
        <f t="shared" si="99"/>
        <v>1</v>
      </c>
      <c r="J554" s="633"/>
      <c r="K554" s="3167">
        <f t="shared" si="100"/>
        <v>1</v>
      </c>
      <c r="L554" s="633"/>
      <c r="M554" s="3167">
        <f t="shared" si="101"/>
        <v>1</v>
      </c>
      <c r="N554" s="633"/>
      <c r="O554" s="3167">
        <f t="shared" si="102"/>
        <v>1</v>
      </c>
      <c r="P554" s="3201" t="s">
        <v>4862</v>
      </c>
      <c r="Q554" s="3167">
        <f t="shared" si="103"/>
        <v>0.9</v>
      </c>
      <c r="R554" s="21">
        <f t="shared" ca="1" si="105"/>
        <v>16.720199999999998</v>
      </c>
      <c r="S554" s="901">
        <f t="shared" ca="1" si="104"/>
        <v>0</v>
      </c>
      <c r="T554" s="687"/>
    </row>
    <row r="555" spans="1:20">
      <c r="A555" s="631" t="str">
        <f>'5号楼'!B535</f>
        <v>B4024</v>
      </c>
      <c r="B555" s="631">
        <f>'5号楼'!C535</f>
        <v>52.93</v>
      </c>
      <c r="C555" s="3167">
        <f t="shared" si="96"/>
        <v>1</v>
      </c>
      <c r="D555" s="633"/>
      <c r="E555" s="3167">
        <f t="shared" si="97"/>
        <v>1</v>
      </c>
      <c r="F555" s="633"/>
      <c r="G555" s="3167">
        <f t="shared" si="98"/>
        <v>1</v>
      </c>
      <c r="H555" s="633"/>
      <c r="I555" s="3167">
        <f t="shared" si="99"/>
        <v>1</v>
      </c>
      <c r="J555" s="633"/>
      <c r="K555" s="3167">
        <f t="shared" si="100"/>
        <v>1</v>
      </c>
      <c r="L555" s="633"/>
      <c r="M555" s="3167">
        <f t="shared" si="101"/>
        <v>1</v>
      </c>
      <c r="N555" s="633"/>
      <c r="O555" s="3167">
        <f t="shared" si="102"/>
        <v>1</v>
      </c>
      <c r="P555" s="3201" t="s">
        <v>4862</v>
      </c>
      <c r="Q555" s="3167">
        <f t="shared" si="103"/>
        <v>0.9</v>
      </c>
      <c r="R555" s="21">
        <f t="shared" ca="1" si="105"/>
        <v>16.720199999999998</v>
      </c>
      <c r="S555" s="901">
        <f t="shared" ca="1" si="104"/>
        <v>0</v>
      </c>
      <c r="T555" s="687"/>
    </row>
    <row r="556" spans="1:20">
      <c r="A556" s="631" t="str">
        <f>'5号楼'!B536</f>
        <v>B4025</v>
      </c>
      <c r="B556" s="631">
        <f>'5号楼'!C536</f>
        <v>52.93</v>
      </c>
      <c r="C556" s="3167">
        <f t="shared" si="96"/>
        <v>1</v>
      </c>
      <c r="D556" s="633"/>
      <c r="E556" s="3167">
        <f t="shared" si="97"/>
        <v>1</v>
      </c>
      <c r="F556" s="633"/>
      <c r="G556" s="3167">
        <f t="shared" si="98"/>
        <v>1</v>
      </c>
      <c r="H556" s="633"/>
      <c r="I556" s="3167">
        <f t="shared" si="99"/>
        <v>1</v>
      </c>
      <c r="J556" s="633"/>
      <c r="K556" s="3167">
        <f t="shared" si="100"/>
        <v>1</v>
      </c>
      <c r="L556" s="633"/>
      <c r="M556" s="3167">
        <f t="shared" si="101"/>
        <v>1</v>
      </c>
      <c r="N556" s="633"/>
      <c r="O556" s="3167">
        <f t="shared" si="102"/>
        <v>1</v>
      </c>
      <c r="P556" s="3201" t="s">
        <v>4862</v>
      </c>
      <c r="Q556" s="3167">
        <f t="shared" si="103"/>
        <v>0.9</v>
      </c>
      <c r="R556" s="21">
        <f t="shared" ca="1" si="105"/>
        <v>16.720199999999998</v>
      </c>
      <c r="S556" s="901">
        <f t="shared" ca="1" si="104"/>
        <v>0</v>
      </c>
      <c r="T556" s="687"/>
    </row>
    <row r="557" spans="1:20">
      <c r="A557" s="631" t="str">
        <f>'5号楼'!B537</f>
        <v>B4026</v>
      </c>
      <c r="B557" s="631">
        <f>'5号楼'!C537</f>
        <v>59.92</v>
      </c>
      <c r="C557" s="3167">
        <f t="shared" si="96"/>
        <v>1</v>
      </c>
      <c r="D557" s="633"/>
      <c r="E557" s="3167">
        <f t="shared" si="97"/>
        <v>1</v>
      </c>
      <c r="F557" s="633"/>
      <c r="G557" s="3167">
        <f t="shared" si="98"/>
        <v>1</v>
      </c>
      <c r="H557" s="633"/>
      <c r="I557" s="3167">
        <f t="shared" si="99"/>
        <v>1</v>
      </c>
      <c r="J557" s="633"/>
      <c r="K557" s="3167">
        <f t="shared" si="100"/>
        <v>1</v>
      </c>
      <c r="L557" s="633"/>
      <c r="M557" s="3167">
        <f t="shared" si="101"/>
        <v>1</v>
      </c>
      <c r="N557" s="633"/>
      <c r="O557" s="3167">
        <f t="shared" si="102"/>
        <v>1</v>
      </c>
      <c r="P557" s="3201" t="s">
        <v>4862</v>
      </c>
      <c r="Q557" s="3167">
        <f t="shared" si="103"/>
        <v>0.9</v>
      </c>
      <c r="R557" s="21">
        <f t="shared" ca="1" si="105"/>
        <v>16.720199999999998</v>
      </c>
      <c r="S557" s="901">
        <f t="shared" ca="1" si="104"/>
        <v>0</v>
      </c>
      <c r="T557" s="687"/>
    </row>
    <row r="558" spans="1:20">
      <c r="A558" s="631" t="str">
        <f>'5号楼'!B538</f>
        <v>B4027</v>
      </c>
      <c r="B558" s="631">
        <f>'5号楼'!C538</f>
        <v>59.92</v>
      </c>
      <c r="C558" s="3167">
        <f t="shared" si="96"/>
        <v>1</v>
      </c>
      <c r="D558" s="633"/>
      <c r="E558" s="3167">
        <f t="shared" si="97"/>
        <v>1</v>
      </c>
      <c r="F558" s="633"/>
      <c r="G558" s="3167">
        <f t="shared" si="98"/>
        <v>1</v>
      </c>
      <c r="H558" s="633"/>
      <c r="I558" s="3167">
        <f t="shared" si="99"/>
        <v>1</v>
      </c>
      <c r="J558" s="633"/>
      <c r="K558" s="3167">
        <f t="shared" si="100"/>
        <v>1</v>
      </c>
      <c r="L558" s="633"/>
      <c r="M558" s="3167">
        <f t="shared" si="101"/>
        <v>1</v>
      </c>
      <c r="N558" s="633"/>
      <c r="O558" s="3167">
        <f t="shared" si="102"/>
        <v>1</v>
      </c>
      <c r="P558" s="3201" t="s">
        <v>4862</v>
      </c>
      <c r="Q558" s="3167">
        <f t="shared" si="103"/>
        <v>0.9</v>
      </c>
      <c r="R558" s="21">
        <f t="shared" ca="1" si="105"/>
        <v>16.720199999999998</v>
      </c>
      <c r="S558" s="901">
        <f t="shared" ca="1" si="104"/>
        <v>0</v>
      </c>
      <c r="T558" s="687"/>
    </row>
    <row r="559" spans="1:20">
      <c r="A559" s="631" t="str">
        <f>'5号楼'!B539</f>
        <v>B4028</v>
      </c>
      <c r="B559" s="631">
        <f>'5号楼'!C539</f>
        <v>59.92</v>
      </c>
      <c r="C559" s="3167">
        <f t="shared" si="96"/>
        <v>1</v>
      </c>
      <c r="D559" s="633"/>
      <c r="E559" s="3167">
        <f t="shared" si="97"/>
        <v>1</v>
      </c>
      <c r="F559" s="633"/>
      <c r="G559" s="3167">
        <f t="shared" si="98"/>
        <v>1</v>
      </c>
      <c r="H559" s="633"/>
      <c r="I559" s="3167">
        <f t="shared" si="99"/>
        <v>1</v>
      </c>
      <c r="J559" s="633"/>
      <c r="K559" s="3167">
        <f t="shared" si="100"/>
        <v>1</v>
      </c>
      <c r="L559" s="633"/>
      <c r="M559" s="3167">
        <f t="shared" si="101"/>
        <v>1</v>
      </c>
      <c r="N559" s="633"/>
      <c r="O559" s="3167">
        <f t="shared" si="102"/>
        <v>1</v>
      </c>
      <c r="P559" s="3201" t="s">
        <v>4862</v>
      </c>
      <c r="Q559" s="3167">
        <f t="shared" si="103"/>
        <v>0.9</v>
      </c>
      <c r="R559" s="21">
        <f t="shared" ca="1" si="105"/>
        <v>16.720199999999998</v>
      </c>
      <c r="S559" s="901">
        <f t="shared" ca="1" si="104"/>
        <v>0</v>
      </c>
      <c r="T559" s="687"/>
    </row>
    <row r="560" spans="1:20">
      <c r="A560" s="631" t="str">
        <f>'5号楼'!B540</f>
        <v>B4029</v>
      </c>
      <c r="B560" s="631">
        <f>'5号楼'!C540</f>
        <v>59.92</v>
      </c>
      <c r="C560" s="3167">
        <f t="shared" si="96"/>
        <v>1</v>
      </c>
      <c r="D560" s="633"/>
      <c r="E560" s="3167">
        <f t="shared" si="97"/>
        <v>1</v>
      </c>
      <c r="F560" s="633"/>
      <c r="G560" s="3167">
        <f t="shared" si="98"/>
        <v>1</v>
      </c>
      <c r="H560" s="633"/>
      <c r="I560" s="3167">
        <f t="shared" si="99"/>
        <v>1</v>
      </c>
      <c r="J560" s="633"/>
      <c r="K560" s="3167">
        <f t="shared" si="100"/>
        <v>1</v>
      </c>
      <c r="L560" s="633"/>
      <c r="M560" s="3167">
        <f t="shared" si="101"/>
        <v>1</v>
      </c>
      <c r="N560" s="633"/>
      <c r="O560" s="3167">
        <f t="shared" si="102"/>
        <v>1</v>
      </c>
      <c r="P560" s="3201" t="s">
        <v>4862</v>
      </c>
      <c r="Q560" s="3167">
        <f t="shared" si="103"/>
        <v>0.9</v>
      </c>
      <c r="R560" s="21">
        <f t="shared" ca="1" si="105"/>
        <v>16.720199999999998</v>
      </c>
      <c r="S560" s="901">
        <f t="shared" ca="1" si="104"/>
        <v>0</v>
      </c>
      <c r="T560" s="687"/>
    </row>
    <row r="561" spans="1:20">
      <c r="A561" s="631" t="str">
        <f>'5号楼'!B541</f>
        <v>B4030</v>
      </c>
      <c r="B561" s="631">
        <f>'5号楼'!C541</f>
        <v>59.92</v>
      </c>
      <c r="C561" s="3167">
        <f t="shared" si="96"/>
        <v>1</v>
      </c>
      <c r="D561" s="633"/>
      <c r="E561" s="3167">
        <f t="shared" si="97"/>
        <v>1</v>
      </c>
      <c r="F561" s="633"/>
      <c r="G561" s="3167">
        <f t="shared" si="98"/>
        <v>1</v>
      </c>
      <c r="H561" s="633"/>
      <c r="I561" s="3167">
        <f t="shared" si="99"/>
        <v>1</v>
      </c>
      <c r="J561" s="633"/>
      <c r="K561" s="3167">
        <f t="shared" si="100"/>
        <v>1</v>
      </c>
      <c r="L561" s="633"/>
      <c r="M561" s="3167">
        <f t="shared" si="101"/>
        <v>1</v>
      </c>
      <c r="N561" s="633"/>
      <c r="O561" s="3167">
        <f t="shared" si="102"/>
        <v>1</v>
      </c>
      <c r="P561" s="3201" t="s">
        <v>4862</v>
      </c>
      <c r="Q561" s="3167">
        <f t="shared" si="103"/>
        <v>0.9</v>
      </c>
      <c r="R561" s="21">
        <f t="shared" ca="1" si="105"/>
        <v>16.720199999999998</v>
      </c>
      <c r="S561" s="901">
        <f t="shared" ca="1" si="104"/>
        <v>0</v>
      </c>
      <c r="T561" s="687"/>
    </row>
    <row r="562" spans="1:20">
      <c r="A562" s="631" t="str">
        <f>'5号楼'!B542</f>
        <v>B4031</v>
      </c>
      <c r="B562" s="631">
        <f>'5号楼'!C542</f>
        <v>52.93</v>
      </c>
      <c r="C562" s="3167">
        <f t="shared" si="96"/>
        <v>1</v>
      </c>
      <c r="D562" s="633"/>
      <c r="E562" s="3167">
        <f t="shared" si="97"/>
        <v>1</v>
      </c>
      <c r="F562" s="633"/>
      <c r="G562" s="3167">
        <f t="shared" si="98"/>
        <v>1</v>
      </c>
      <c r="H562" s="633"/>
      <c r="I562" s="3167">
        <f t="shared" si="99"/>
        <v>1</v>
      </c>
      <c r="J562" s="633"/>
      <c r="K562" s="3167">
        <f t="shared" si="100"/>
        <v>1</v>
      </c>
      <c r="L562" s="633"/>
      <c r="M562" s="3167">
        <f t="shared" si="101"/>
        <v>1</v>
      </c>
      <c r="N562" s="633"/>
      <c r="O562" s="3167">
        <f t="shared" si="102"/>
        <v>1</v>
      </c>
      <c r="P562" s="3201" t="s">
        <v>4862</v>
      </c>
      <c r="Q562" s="3167">
        <f t="shared" si="103"/>
        <v>0.9</v>
      </c>
      <c r="R562" s="21">
        <f t="shared" ca="1" si="105"/>
        <v>16.720199999999998</v>
      </c>
      <c r="S562" s="901">
        <f t="shared" ca="1" si="104"/>
        <v>0</v>
      </c>
      <c r="T562" s="687"/>
    </row>
    <row r="563" spans="1:20">
      <c r="A563" s="631" t="str">
        <f>'5号楼'!B543</f>
        <v>B4032</v>
      </c>
      <c r="B563" s="631">
        <f>'5号楼'!C543</f>
        <v>52.93</v>
      </c>
      <c r="C563" s="3167">
        <f t="shared" si="96"/>
        <v>1</v>
      </c>
      <c r="D563" s="633"/>
      <c r="E563" s="3167">
        <f t="shared" si="97"/>
        <v>1</v>
      </c>
      <c r="F563" s="633"/>
      <c r="G563" s="3167">
        <f t="shared" si="98"/>
        <v>1</v>
      </c>
      <c r="H563" s="633"/>
      <c r="I563" s="3167">
        <f t="shared" si="99"/>
        <v>1</v>
      </c>
      <c r="J563" s="633"/>
      <c r="K563" s="3167">
        <f t="shared" si="100"/>
        <v>1</v>
      </c>
      <c r="L563" s="633"/>
      <c r="M563" s="3167">
        <f t="shared" si="101"/>
        <v>1</v>
      </c>
      <c r="N563" s="633"/>
      <c r="O563" s="3167">
        <f t="shared" si="102"/>
        <v>1</v>
      </c>
      <c r="P563" s="3201" t="s">
        <v>4862</v>
      </c>
      <c r="Q563" s="3167">
        <f t="shared" si="103"/>
        <v>0.9</v>
      </c>
      <c r="R563" s="21">
        <f t="shared" ca="1" si="105"/>
        <v>16.720199999999998</v>
      </c>
      <c r="S563" s="901">
        <f t="shared" ca="1" si="104"/>
        <v>0</v>
      </c>
      <c r="T563" s="687"/>
    </row>
    <row r="564" spans="1:20">
      <c r="A564" s="631" t="str">
        <f>'5号楼'!B544</f>
        <v>B4033</v>
      </c>
      <c r="B564" s="631">
        <f>'5号楼'!C544</f>
        <v>52.93</v>
      </c>
      <c r="C564" s="3167">
        <f t="shared" si="96"/>
        <v>1</v>
      </c>
      <c r="D564" s="633"/>
      <c r="E564" s="3167">
        <f t="shared" si="97"/>
        <v>1</v>
      </c>
      <c r="F564" s="633"/>
      <c r="G564" s="3167">
        <f t="shared" si="98"/>
        <v>1</v>
      </c>
      <c r="H564" s="633"/>
      <c r="I564" s="3167">
        <f t="shared" si="99"/>
        <v>1</v>
      </c>
      <c r="J564" s="633"/>
      <c r="K564" s="3167">
        <f t="shared" si="100"/>
        <v>1</v>
      </c>
      <c r="L564" s="633"/>
      <c r="M564" s="3167">
        <f t="shared" si="101"/>
        <v>1</v>
      </c>
      <c r="N564" s="633"/>
      <c r="O564" s="3167">
        <f t="shared" si="102"/>
        <v>1</v>
      </c>
      <c r="P564" s="3201" t="s">
        <v>4862</v>
      </c>
      <c r="Q564" s="3167">
        <f t="shared" si="103"/>
        <v>0.9</v>
      </c>
      <c r="R564" s="21">
        <f t="shared" ca="1" si="105"/>
        <v>16.720199999999998</v>
      </c>
      <c r="S564" s="901">
        <f t="shared" ca="1" si="104"/>
        <v>0</v>
      </c>
      <c r="T564" s="687"/>
    </row>
    <row r="565" spans="1:20">
      <c r="A565" s="631" t="str">
        <f>'5号楼'!B545</f>
        <v>B4034</v>
      </c>
      <c r="B565" s="631">
        <f>'5号楼'!C545</f>
        <v>52.93</v>
      </c>
      <c r="C565" s="3167">
        <f t="shared" si="96"/>
        <v>1</v>
      </c>
      <c r="D565" s="633"/>
      <c r="E565" s="3167">
        <f t="shared" si="97"/>
        <v>1</v>
      </c>
      <c r="F565" s="633"/>
      <c r="G565" s="3167">
        <f t="shared" si="98"/>
        <v>1</v>
      </c>
      <c r="H565" s="633"/>
      <c r="I565" s="3167">
        <f t="shared" si="99"/>
        <v>1</v>
      </c>
      <c r="J565" s="633"/>
      <c r="K565" s="3167">
        <f t="shared" si="100"/>
        <v>1</v>
      </c>
      <c r="L565" s="633"/>
      <c r="M565" s="3167">
        <f t="shared" si="101"/>
        <v>1</v>
      </c>
      <c r="N565" s="633"/>
      <c r="O565" s="3167">
        <f t="shared" si="102"/>
        <v>1</v>
      </c>
      <c r="P565" s="3201" t="s">
        <v>4862</v>
      </c>
      <c r="Q565" s="3167">
        <f t="shared" si="103"/>
        <v>0.9</v>
      </c>
      <c r="R565" s="21">
        <f t="shared" ca="1" si="105"/>
        <v>16.720199999999998</v>
      </c>
      <c r="S565" s="901">
        <f t="shared" ca="1" si="104"/>
        <v>0</v>
      </c>
      <c r="T565" s="687"/>
    </row>
    <row r="566" spans="1:20">
      <c r="A566" s="631" t="str">
        <f>'5号楼'!B546</f>
        <v>B4035</v>
      </c>
      <c r="B566" s="631">
        <f>'5号楼'!C546</f>
        <v>52.93</v>
      </c>
      <c r="C566" s="3167">
        <f t="shared" si="96"/>
        <v>1</v>
      </c>
      <c r="D566" s="633"/>
      <c r="E566" s="3167">
        <f t="shared" si="97"/>
        <v>1</v>
      </c>
      <c r="F566" s="633"/>
      <c r="G566" s="3167">
        <f t="shared" si="98"/>
        <v>1</v>
      </c>
      <c r="H566" s="633"/>
      <c r="I566" s="3167">
        <f t="shared" si="99"/>
        <v>1</v>
      </c>
      <c r="J566" s="633"/>
      <c r="K566" s="3167">
        <f t="shared" si="100"/>
        <v>1</v>
      </c>
      <c r="L566" s="633"/>
      <c r="M566" s="3167">
        <f t="shared" si="101"/>
        <v>1</v>
      </c>
      <c r="N566" s="633"/>
      <c r="O566" s="3167">
        <f t="shared" si="102"/>
        <v>1</v>
      </c>
      <c r="P566" s="3201" t="s">
        <v>4862</v>
      </c>
      <c r="Q566" s="3167">
        <f t="shared" si="103"/>
        <v>0.9</v>
      </c>
      <c r="R566" s="21">
        <f t="shared" ca="1" si="105"/>
        <v>16.720199999999998</v>
      </c>
      <c r="S566" s="901">
        <f t="shared" ca="1" si="104"/>
        <v>0</v>
      </c>
      <c r="T566" s="687"/>
    </row>
    <row r="567" spans="1:20">
      <c r="A567" s="631" t="str">
        <f>'5号楼'!B547</f>
        <v>B4036</v>
      </c>
      <c r="B567" s="631">
        <f>'5号楼'!C547</f>
        <v>52.93</v>
      </c>
      <c r="C567" s="3167">
        <f t="shared" si="96"/>
        <v>1</v>
      </c>
      <c r="D567" s="633"/>
      <c r="E567" s="3167">
        <f t="shared" si="97"/>
        <v>1</v>
      </c>
      <c r="F567" s="633"/>
      <c r="G567" s="3167">
        <f t="shared" si="98"/>
        <v>1</v>
      </c>
      <c r="H567" s="633"/>
      <c r="I567" s="3167">
        <f t="shared" si="99"/>
        <v>1</v>
      </c>
      <c r="J567" s="633"/>
      <c r="K567" s="3167">
        <f t="shared" si="100"/>
        <v>1</v>
      </c>
      <c r="L567" s="633"/>
      <c r="M567" s="3167">
        <f t="shared" si="101"/>
        <v>1</v>
      </c>
      <c r="N567" s="633"/>
      <c r="O567" s="3167">
        <f t="shared" si="102"/>
        <v>1</v>
      </c>
      <c r="P567" s="3201" t="s">
        <v>4862</v>
      </c>
      <c r="Q567" s="3167">
        <f t="shared" si="103"/>
        <v>0.9</v>
      </c>
      <c r="R567" s="21">
        <f t="shared" ca="1" si="105"/>
        <v>16.720199999999998</v>
      </c>
      <c r="S567" s="901">
        <f t="shared" ca="1" si="104"/>
        <v>0</v>
      </c>
      <c r="T567" s="687"/>
    </row>
    <row r="568" spans="1:20">
      <c r="A568" s="631" t="str">
        <f>'5号楼'!B548</f>
        <v>B4037</v>
      </c>
      <c r="B568" s="631">
        <f>'5号楼'!C548</f>
        <v>52.93</v>
      </c>
      <c r="C568" s="3167">
        <f t="shared" si="96"/>
        <v>1</v>
      </c>
      <c r="D568" s="633"/>
      <c r="E568" s="3167">
        <f t="shared" si="97"/>
        <v>1</v>
      </c>
      <c r="F568" s="633"/>
      <c r="G568" s="3167">
        <f t="shared" si="98"/>
        <v>1</v>
      </c>
      <c r="H568" s="633"/>
      <c r="I568" s="3167">
        <f t="shared" si="99"/>
        <v>1</v>
      </c>
      <c r="J568" s="633"/>
      <c r="K568" s="3167">
        <f t="shared" si="100"/>
        <v>1</v>
      </c>
      <c r="L568" s="633"/>
      <c r="M568" s="3167">
        <f t="shared" si="101"/>
        <v>1</v>
      </c>
      <c r="N568" s="633"/>
      <c r="O568" s="3167">
        <f t="shared" si="102"/>
        <v>1</v>
      </c>
      <c r="P568" s="3201" t="s">
        <v>4862</v>
      </c>
      <c r="Q568" s="3167">
        <f t="shared" si="103"/>
        <v>0.9</v>
      </c>
      <c r="R568" s="21">
        <f t="shared" ca="1" si="105"/>
        <v>16.720199999999998</v>
      </c>
      <c r="S568" s="901">
        <f t="shared" ca="1" si="104"/>
        <v>0</v>
      </c>
      <c r="T568" s="687"/>
    </row>
    <row r="569" spans="1:20">
      <c r="A569" s="631" t="str">
        <f>'5号楼'!B549</f>
        <v>B4038</v>
      </c>
      <c r="B569" s="631">
        <f>'5号楼'!C549</f>
        <v>52.93</v>
      </c>
      <c r="C569" s="3167">
        <f t="shared" si="96"/>
        <v>1</v>
      </c>
      <c r="D569" s="633"/>
      <c r="E569" s="3167">
        <f t="shared" si="97"/>
        <v>1</v>
      </c>
      <c r="F569" s="633"/>
      <c r="G569" s="3167">
        <f t="shared" si="98"/>
        <v>1</v>
      </c>
      <c r="H569" s="633"/>
      <c r="I569" s="3167">
        <f t="shared" si="99"/>
        <v>1</v>
      </c>
      <c r="J569" s="633"/>
      <c r="K569" s="3167">
        <f t="shared" si="100"/>
        <v>1</v>
      </c>
      <c r="L569" s="633"/>
      <c r="M569" s="3167">
        <f t="shared" si="101"/>
        <v>1</v>
      </c>
      <c r="N569" s="633"/>
      <c r="O569" s="3167">
        <f t="shared" si="102"/>
        <v>1</v>
      </c>
      <c r="P569" s="3201" t="s">
        <v>4862</v>
      </c>
      <c r="Q569" s="3167">
        <f t="shared" si="103"/>
        <v>0.9</v>
      </c>
      <c r="R569" s="21">
        <f t="shared" ca="1" si="105"/>
        <v>16.720199999999998</v>
      </c>
      <c r="S569" s="901">
        <f t="shared" ca="1" si="104"/>
        <v>0</v>
      </c>
      <c r="T569" s="687"/>
    </row>
    <row r="570" spans="1:20">
      <c r="A570" s="631" t="str">
        <f>'5号楼'!B550</f>
        <v>B4039</v>
      </c>
      <c r="B570" s="631">
        <f>'5号楼'!C550</f>
        <v>52.93</v>
      </c>
      <c r="C570" s="3167">
        <f t="shared" si="96"/>
        <v>1</v>
      </c>
      <c r="D570" s="633"/>
      <c r="E570" s="3167">
        <f t="shared" si="97"/>
        <v>1</v>
      </c>
      <c r="F570" s="633"/>
      <c r="G570" s="3167">
        <f t="shared" si="98"/>
        <v>1</v>
      </c>
      <c r="H570" s="633"/>
      <c r="I570" s="3167">
        <f t="shared" si="99"/>
        <v>1</v>
      </c>
      <c r="J570" s="633"/>
      <c r="K570" s="3167">
        <f t="shared" si="100"/>
        <v>1</v>
      </c>
      <c r="L570" s="633"/>
      <c r="M570" s="3167">
        <f t="shared" si="101"/>
        <v>1</v>
      </c>
      <c r="N570" s="633"/>
      <c r="O570" s="3167">
        <f t="shared" si="102"/>
        <v>1</v>
      </c>
      <c r="P570" s="3201" t="s">
        <v>4862</v>
      </c>
      <c r="Q570" s="3167">
        <f t="shared" si="103"/>
        <v>0.9</v>
      </c>
      <c r="R570" s="21">
        <f t="shared" ca="1" si="105"/>
        <v>16.720199999999998</v>
      </c>
      <c r="S570" s="901">
        <f t="shared" ca="1" si="104"/>
        <v>0</v>
      </c>
      <c r="T570" s="687"/>
    </row>
    <row r="571" spans="1:20">
      <c r="A571" s="631" t="str">
        <f>'5号楼'!B551</f>
        <v>B4040</v>
      </c>
      <c r="B571" s="631">
        <f>'5号楼'!C551</f>
        <v>52.93</v>
      </c>
      <c r="C571" s="3167">
        <f t="shared" si="96"/>
        <v>1</v>
      </c>
      <c r="D571" s="633"/>
      <c r="E571" s="3167">
        <f t="shared" si="97"/>
        <v>1</v>
      </c>
      <c r="F571" s="633"/>
      <c r="G571" s="3167">
        <f t="shared" si="98"/>
        <v>1</v>
      </c>
      <c r="H571" s="633"/>
      <c r="I571" s="3167">
        <f t="shared" si="99"/>
        <v>1</v>
      </c>
      <c r="J571" s="633"/>
      <c r="K571" s="3167">
        <f t="shared" si="100"/>
        <v>1</v>
      </c>
      <c r="L571" s="633"/>
      <c r="M571" s="3167">
        <f t="shared" si="101"/>
        <v>1</v>
      </c>
      <c r="N571" s="633"/>
      <c r="O571" s="3167">
        <f t="shared" si="102"/>
        <v>1</v>
      </c>
      <c r="P571" s="3201" t="s">
        <v>4862</v>
      </c>
      <c r="Q571" s="3167">
        <f t="shared" si="103"/>
        <v>0.9</v>
      </c>
      <c r="R571" s="21">
        <f t="shared" ca="1" si="105"/>
        <v>16.720199999999998</v>
      </c>
      <c r="S571" s="901">
        <f t="shared" ca="1" si="104"/>
        <v>0</v>
      </c>
      <c r="T571" s="687"/>
    </row>
    <row r="572" spans="1:20">
      <c r="A572" s="631" t="str">
        <f>'5号楼'!B552</f>
        <v>B4041</v>
      </c>
      <c r="B572" s="631">
        <f>'5号楼'!C552</f>
        <v>52.93</v>
      </c>
      <c r="C572" s="3167">
        <f t="shared" si="96"/>
        <v>1</v>
      </c>
      <c r="D572" s="633"/>
      <c r="E572" s="3167">
        <f t="shared" si="97"/>
        <v>1</v>
      </c>
      <c r="F572" s="633"/>
      <c r="G572" s="3167">
        <f t="shared" si="98"/>
        <v>1</v>
      </c>
      <c r="H572" s="633"/>
      <c r="I572" s="3167">
        <f t="shared" si="99"/>
        <v>1</v>
      </c>
      <c r="J572" s="633"/>
      <c r="K572" s="3167">
        <f t="shared" si="100"/>
        <v>1</v>
      </c>
      <c r="L572" s="633"/>
      <c r="M572" s="3167">
        <f t="shared" si="101"/>
        <v>1</v>
      </c>
      <c r="N572" s="633"/>
      <c r="O572" s="3167">
        <f t="shared" si="102"/>
        <v>1</v>
      </c>
      <c r="P572" s="3201" t="s">
        <v>4862</v>
      </c>
      <c r="Q572" s="3167">
        <f t="shared" si="103"/>
        <v>0.9</v>
      </c>
      <c r="R572" s="21">
        <f t="shared" ca="1" si="105"/>
        <v>16.720199999999998</v>
      </c>
      <c r="S572" s="901">
        <f t="shared" ca="1" si="104"/>
        <v>0</v>
      </c>
      <c r="T572" s="687"/>
    </row>
    <row r="573" spans="1:20">
      <c r="A573" s="631" t="str">
        <f>'5号楼'!B553</f>
        <v>B4042</v>
      </c>
      <c r="B573" s="631">
        <f>'5号楼'!C553</f>
        <v>52.93</v>
      </c>
      <c r="C573" s="3167">
        <f t="shared" si="96"/>
        <v>1</v>
      </c>
      <c r="D573" s="633"/>
      <c r="E573" s="3167">
        <f t="shared" si="97"/>
        <v>1</v>
      </c>
      <c r="F573" s="633"/>
      <c r="G573" s="3167">
        <f t="shared" si="98"/>
        <v>1</v>
      </c>
      <c r="H573" s="633"/>
      <c r="I573" s="3167">
        <f t="shared" si="99"/>
        <v>1</v>
      </c>
      <c r="J573" s="633"/>
      <c r="K573" s="3167">
        <f t="shared" si="100"/>
        <v>1</v>
      </c>
      <c r="L573" s="633"/>
      <c r="M573" s="3167">
        <f t="shared" si="101"/>
        <v>1</v>
      </c>
      <c r="N573" s="633"/>
      <c r="O573" s="3167">
        <f t="shared" si="102"/>
        <v>1</v>
      </c>
      <c r="P573" s="3201" t="s">
        <v>4862</v>
      </c>
      <c r="Q573" s="3167">
        <f t="shared" si="103"/>
        <v>0.9</v>
      </c>
      <c r="R573" s="21">
        <f t="shared" ca="1" si="105"/>
        <v>16.720199999999998</v>
      </c>
      <c r="S573" s="901">
        <f t="shared" ca="1" si="104"/>
        <v>0</v>
      </c>
      <c r="T573" s="687"/>
    </row>
    <row r="574" spans="1:20">
      <c r="A574" s="631" t="str">
        <f>'5号楼'!B554</f>
        <v>B4043</v>
      </c>
      <c r="B574" s="631">
        <f>'5号楼'!C554</f>
        <v>52.93</v>
      </c>
      <c r="C574" s="3167">
        <f t="shared" si="96"/>
        <v>1</v>
      </c>
      <c r="D574" s="633"/>
      <c r="E574" s="3167">
        <f t="shared" si="97"/>
        <v>1</v>
      </c>
      <c r="F574" s="633"/>
      <c r="G574" s="3167">
        <f t="shared" si="98"/>
        <v>1</v>
      </c>
      <c r="H574" s="633"/>
      <c r="I574" s="3167">
        <f t="shared" si="99"/>
        <v>1</v>
      </c>
      <c r="J574" s="633"/>
      <c r="K574" s="3167">
        <f t="shared" si="100"/>
        <v>1</v>
      </c>
      <c r="L574" s="633"/>
      <c r="M574" s="3167">
        <f t="shared" si="101"/>
        <v>1</v>
      </c>
      <c r="N574" s="633"/>
      <c r="O574" s="3167">
        <f t="shared" si="102"/>
        <v>1</v>
      </c>
      <c r="P574" s="3201" t="s">
        <v>4862</v>
      </c>
      <c r="Q574" s="3167">
        <f t="shared" si="103"/>
        <v>0.9</v>
      </c>
      <c r="R574" s="21">
        <f t="shared" ca="1" si="105"/>
        <v>16.720199999999998</v>
      </c>
      <c r="S574" s="901">
        <f t="shared" ca="1" si="104"/>
        <v>0</v>
      </c>
      <c r="T574" s="687"/>
    </row>
    <row r="575" spans="1:20">
      <c r="A575" s="631" t="str">
        <f>'5号楼'!B555</f>
        <v>B4044</v>
      </c>
      <c r="B575" s="631">
        <f>'5号楼'!C555</f>
        <v>52.93</v>
      </c>
      <c r="C575" s="3167">
        <f t="shared" si="96"/>
        <v>1</v>
      </c>
      <c r="D575" s="633"/>
      <c r="E575" s="3167">
        <f t="shared" si="97"/>
        <v>1</v>
      </c>
      <c r="F575" s="633"/>
      <c r="G575" s="3167">
        <f t="shared" si="98"/>
        <v>1</v>
      </c>
      <c r="H575" s="633"/>
      <c r="I575" s="3167">
        <f t="shared" si="99"/>
        <v>1</v>
      </c>
      <c r="J575" s="633"/>
      <c r="K575" s="3167">
        <f t="shared" si="100"/>
        <v>1</v>
      </c>
      <c r="L575" s="633"/>
      <c r="M575" s="3167">
        <f t="shared" si="101"/>
        <v>1</v>
      </c>
      <c r="N575" s="633"/>
      <c r="O575" s="3167">
        <f t="shared" si="102"/>
        <v>1</v>
      </c>
      <c r="P575" s="3201" t="s">
        <v>4862</v>
      </c>
      <c r="Q575" s="3167">
        <f t="shared" si="103"/>
        <v>0.9</v>
      </c>
      <c r="R575" s="21">
        <f t="shared" ca="1" si="105"/>
        <v>16.720199999999998</v>
      </c>
      <c r="S575" s="901">
        <f t="shared" ca="1" si="104"/>
        <v>0</v>
      </c>
      <c r="T575" s="687"/>
    </row>
    <row r="576" spans="1:20">
      <c r="A576" s="631" t="str">
        <f>'5号楼'!B556</f>
        <v>B4045</v>
      </c>
      <c r="B576" s="631">
        <f>'5号楼'!C556</f>
        <v>52.93</v>
      </c>
      <c r="C576" s="3167">
        <f t="shared" si="96"/>
        <v>1</v>
      </c>
      <c r="D576" s="633"/>
      <c r="E576" s="3167">
        <f t="shared" si="97"/>
        <v>1</v>
      </c>
      <c r="F576" s="633"/>
      <c r="G576" s="3167">
        <f t="shared" si="98"/>
        <v>1</v>
      </c>
      <c r="H576" s="633"/>
      <c r="I576" s="3167">
        <f t="shared" si="99"/>
        <v>1</v>
      </c>
      <c r="J576" s="633"/>
      <c r="K576" s="3167">
        <f t="shared" si="100"/>
        <v>1</v>
      </c>
      <c r="L576" s="633"/>
      <c r="M576" s="3167">
        <f t="shared" si="101"/>
        <v>1</v>
      </c>
      <c r="N576" s="633"/>
      <c r="O576" s="3167">
        <f t="shared" si="102"/>
        <v>1</v>
      </c>
      <c r="P576" s="3201" t="s">
        <v>4862</v>
      </c>
      <c r="Q576" s="3167">
        <f t="shared" si="103"/>
        <v>0.9</v>
      </c>
      <c r="R576" s="21">
        <f t="shared" ca="1" si="105"/>
        <v>16.720199999999998</v>
      </c>
      <c r="S576" s="901">
        <f t="shared" ca="1" si="104"/>
        <v>0</v>
      </c>
      <c r="T576" s="687"/>
    </row>
    <row r="577" spans="1:20">
      <c r="A577" s="631" t="str">
        <f>'5号楼'!B557</f>
        <v>B4046</v>
      </c>
      <c r="B577" s="631">
        <f>'5号楼'!C557</f>
        <v>52.93</v>
      </c>
      <c r="C577" s="3167">
        <f t="shared" si="96"/>
        <v>1</v>
      </c>
      <c r="D577" s="633"/>
      <c r="E577" s="3167">
        <f t="shared" si="97"/>
        <v>1</v>
      </c>
      <c r="F577" s="633"/>
      <c r="G577" s="3167">
        <f t="shared" si="98"/>
        <v>1</v>
      </c>
      <c r="H577" s="633"/>
      <c r="I577" s="3167">
        <f t="shared" si="99"/>
        <v>1</v>
      </c>
      <c r="J577" s="633"/>
      <c r="K577" s="3167">
        <f t="shared" si="100"/>
        <v>1</v>
      </c>
      <c r="L577" s="633"/>
      <c r="M577" s="3167">
        <f t="shared" si="101"/>
        <v>1</v>
      </c>
      <c r="N577" s="633"/>
      <c r="O577" s="3167">
        <f t="shared" si="102"/>
        <v>1</v>
      </c>
      <c r="P577" s="3201" t="s">
        <v>4862</v>
      </c>
      <c r="Q577" s="3167">
        <f t="shared" si="103"/>
        <v>0.9</v>
      </c>
      <c r="R577" s="21">
        <f t="shared" ca="1" si="105"/>
        <v>16.720199999999998</v>
      </c>
      <c r="S577" s="901">
        <f t="shared" ca="1" si="104"/>
        <v>0</v>
      </c>
      <c r="T577" s="687"/>
    </row>
    <row r="578" spans="1:20">
      <c r="A578" s="631" t="str">
        <f>'5号楼'!B558</f>
        <v>B4047</v>
      </c>
      <c r="B578" s="631">
        <f>'5号楼'!C558</f>
        <v>52.93</v>
      </c>
      <c r="C578" s="3167">
        <f t="shared" si="96"/>
        <v>1</v>
      </c>
      <c r="D578" s="633"/>
      <c r="E578" s="3167">
        <f t="shared" si="97"/>
        <v>1</v>
      </c>
      <c r="F578" s="633"/>
      <c r="G578" s="3167">
        <f t="shared" si="98"/>
        <v>1</v>
      </c>
      <c r="H578" s="633"/>
      <c r="I578" s="3167">
        <f t="shared" si="99"/>
        <v>1</v>
      </c>
      <c r="J578" s="633"/>
      <c r="K578" s="3167">
        <f t="shared" si="100"/>
        <v>1</v>
      </c>
      <c r="L578" s="633"/>
      <c r="M578" s="3167">
        <f t="shared" si="101"/>
        <v>1</v>
      </c>
      <c r="N578" s="633"/>
      <c r="O578" s="3167">
        <f t="shared" si="102"/>
        <v>1</v>
      </c>
      <c r="P578" s="3201" t="s">
        <v>4862</v>
      </c>
      <c r="Q578" s="3167">
        <f t="shared" si="103"/>
        <v>0.9</v>
      </c>
      <c r="R578" s="21">
        <f t="shared" ca="1" si="105"/>
        <v>16.720199999999998</v>
      </c>
      <c r="S578" s="901">
        <f t="shared" ca="1" si="104"/>
        <v>0</v>
      </c>
      <c r="T578" s="687"/>
    </row>
    <row r="579" spans="1:20">
      <c r="A579" s="631" t="str">
        <f>'5号楼'!B559</f>
        <v>B4048</v>
      </c>
      <c r="B579" s="631">
        <f>'5号楼'!C559</f>
        <v>52.93</v>
      </c>
      <c r="C579" s="3167">
        <f t="shared" si="96"/>
        <v>1</v>
      </c>
      <c r="D579" s="633"/>
      <c r="E579" s="3167">
        <f t="shared" si="97"/>
        <v>1</v>
      </c>
      <c r="F579" s="633"/>
      <c r="G579" s="3167">
        <f t="shared" si="98"/>
        <v>1</v>
      </c>
      <c r="H579" s="633"/>
      <c r="I579" s="3167">
        <f t="shared" si="99"/>
        <v>1</v>
      </c>
      <c r="J579" s="633"/>
      <c r="K579" s="3167">
        <f t="shared" si="100"/>
        <v>1</v>
      </c>
      <c r="L579" s="633"/>
      <c r="M579" s="3167">
        <f t="shared" si="101"/>
        <v>1</v>
      </c>
      <c r="N579" s="633"/>
      <c r="O579" s="3167">
        <f t="shared" si="102"/>
        <v>1</v>
      </c>
      <c r="P579" s="3201" t="s">
        <v>4862</v>
      </c>
      <c r="Q579" s="3167">
        <f t="shared" si="103"/>
        <v>0.9</v>
      </c>
      <c r="R579" s="21">
        <f t="shared" ca="1" si="105"/>
        <v>16.720199999999998</v>
      </c>
      <c r="S579" s="901">
        <f t="shared" ca="1" si="104"/>
        <v>0</v>
      </c>
      <c r="T579" s="687"/>
    </row>
    <row r="580" spans="1:20">
      <c r="A580" s="631" t="str">
        <f>'5号楼'!B560</f>
        <v>B4049</v>
      </c>
      <c r="B580" s="631">
        <f>'5号楼'!C560</f>
        <v>52.93</v>
      </c>
      <c r="C580" s="3167">
        <f t="shared" si="96"/>
        <v>1</v>
      </c>
      <c r="D580" s="633"/>
      <c r="E580" s="3167">
        <f t="shared" si="97"/>
        <v>1</v>
      </c>
      <c r="F580" s="633"/>
      <c r="G580" s="3167">
        <f t="shared" si="98"/>
        <v>1</v>
      </c>
      <c r="H580" s="633"/>
      <c r="I580" s="3167">
        <f t="shared" si="99"/>
        <v>1</v>
      </c>
      <c r="J580" s="633"/>
      <c r="K580" s="3167">
        <f t="shared" si="100"/>
        <v>1</v>
      </c>
      <c r="L580" s="633"/>
      <c r="M580" s="3167">
        <f t="shared" si="101"/>
        <v>1</v>
      </c>
      <c r="N580" s="633"/>
      <c r="O580" s="3167">
        <f t="shared" si="102"/>
        <v>1</v>
      </c>
      <c r="P580" s="3201" t="s">
        <v>4862</v>
      </c>
      <c r="Q580" s="3167">
        <f t="shared" si="103"/>
        <v>0.9</v>
      </c>
      <c r="R580" s="21">
        <f t="shared" ca="1" si="105"/>
        <v>16.720199999999998</v>
      </c>
      <c r="S580" s="901">
        <f t="shared" ca="1" si="104"/>
        <v>0</v>
      </c>
      <c r="T580" s="687"/>
    </row>
    <row r="581" spans="1:20">
      <c r="A581" s="631" t="str">
        <f>'5号楼'!B561</f>
        <v>B4050</v>
      </c>
      <c r="B581" s="631">
        <f>'5号楼'!C561</f>
        <v>52.93</v>
      </c>
      <c r="C581" s="3167">
        <f t="shared" si="96"/>
        <v>1</v>
      </c>
      <c r="D581" s="633"/>
      <c r="E581" s="3167">
        <f t="shared" si="97"/>
        <v>1</v>
      </c>
      <c r="F581" s="633"/>
      <c r="G581" s="3167">
        <f t="shared" si="98"/>
        <v>1</v>
      </c>
      <c r="H581" s="633"/>
      <c r="I581" s="3167">
        <f t="shared" si="99"/>
        <v>1</v>
      </c>
      <c r="J581" s="633"/>
      <c r="K581" s="3167">
        <f t="shared" si="100"/>
        <v>1</v>
      </c>
      <c r="L581" s="633"/>
      <c r="M581" s="3167">
        <f t="shared" si="101"/>
        <v>1</v>
      </c>
      <c r="N581" s="633"/>
      <c r="O581" s="3167">
        <f t="shared" si="102"/>
        <v>1</v>
      </c>
      <c r="P581" s="3201" t="s">
        <v>4862</v>
      </c>
      <c r="Q581" s="3167">
        <f t="shared" si="103"/>
        <v>0.9</v>
      </c>
      <c r="R581" s="21">
        <f t="shared" ca="1" si="105"/>
        <v>16.720199999999998</v>
      </c>
      <c r="S581" s="901">
        <f t="shared" ca="1" si="104"/>
        <v>0</v>
      </c>
      <c r="T581" s="687"/>
    </row>
    <row r="582" spans="1:20">
      <c r="A582" s="631" t="str">
        <f>'5号楼'!B562</f>
        <v>B4051</v>
      </c>
      <c r="B582" s="631">
        <f>'5号楼'!C562</f>
        <v>89.38</v>
      </c>
      <c r="C582" s="3167">
        <f t="shared" si="96"/>
        <v>1.3</v>
      </c>
      <c r="D582" s="633"/>
      <c r="E582" s="3167">
        <f t="shared" si="97"/>
        <v>1</v>
      </c>
      <c r="F582" s="633"/>
      <c r="G582" s="3167">
        <f t="shared" si="98"/>
        <v>1</v>
      </c>
      <c r="H582" s="633"/>
      <c r="I582" s="3167">
        <f t="shared" si="99"/>
        <v>1</v>
      </c>
      <c r="J582" s="633"/>
      <c r="K582" s="3167">
        <f t="shared" si="100"/>
        <v>1</v>
      </c>
      <c r="L582" s="633"/>
      <c r="M582" s="3167">
        <f t="shared" si="101"/>
        <v>1</v>
      </c>
      <c r="N582" s="633"/>
      <c r="O582" s="3167">
        <f t="shared" si="102"/>
        <v>1</v>
      </c>
      <c r="P582" s="3201" t="s">
        <v>4862</v>
      </c>
      <c r="Q582" s="3167">
        <f t="shared" si="103"/>
        <v>0.9</v>
      </c>
      <c r="R582" s="21">
        <f t="shared" ca="1" si="105"/>
        <v>21.7363</v>
      </c>
      <c r="S582" s="901">
        <f t="shared" ca="1" si="104"/>
        <v>0</v>
      </c>
      <c r="T582" s="687"/>
    </row>
    <row r="583" spans="1:20">
      <c r="A583" s="631" t="str">
        <f>'5号楼'!B563</f>
        <v>B4052</v>
      </c>
      <c r="B583" s="631">
        <f>'5号楼'!C563</f>
        <v>59.92</v>
      </c>
      <c r="C583" s="3167">
        <f t="shared" si="96"/>
        <v>1</v>
      </c>
      <c r="D583" s="633"/>
      <c r="E583" s="3167">
        <f t="shared" si="97"/>
        <v>1</v>
      </c>
      <c r="F583" s="633"/>
      <c r="G583" s="3167">
        <f t="shared" si="98"/>
        <v>1</v>
      </c>
      <c r="H583" s="633"/>
      <c r="I583" s="3167">
        <f t="shared" si="99"/>
        <v>1</v>
      </c>
      <c r="J583" s="633"/>
      <c r="K583" s="3167">
        <f t="shared" si="100"/>
        <v>1</v>
      </c>
      <c r="L583" s="633"/>
      <c r="M583" s="3167">
        <f t="shared" si="101"/>
        <v>1</v>
      </c>
      <c r="N583" s="633"/>
      <c r="O583" s="3167">
        <f t="shared" si="102"/>
        <v>1</v>
      </c>
      <c r="P583" s="3201" t="s">
        <v>4862</v>
      </c>
      <c r="Q583" s="3167">
        <f t="shared" si="103"/>
        <v>0.9</v>
      </c>
      <c r="R583" s="21">
        <f t="shared" ca="1" si="105"/>
        <v>16.720199999999998</v>
      </c>
      <c r="S583" s="901">
        <f t="shared" ca="1" si="104"/>
        <v>0</v>
      </c>
      <c r="T583" s="687"/>
    </row>
    <row r="584" spans="1:20">
      <c r="A584" s="631" t="str">
        <f>'5号楼'!B564</f>
        <v>B4053</v>
      </c>
      <c r="B584" s="631">
        <f>'5号楼'!C564</f>
        <v>59.92</v>
      </c>
      <c r="C584" s="3167">
        <f t="shared" si="96"/>
        <v>1</v>
      </c>
      <c r="D584" s="633"/>
      <c r="E584" s="3167">
        <f t="shared" si="97"/>
        <v>1</v>
      </c>
      <c r="F584" s="633"/>
      <c r="G584" s="3167">
        <f t="shared" si="98"/>
        <v>1</v>
      </c>
      <c r="H584" s="633"/>
      <c r="I584" s="3167">
        <f t="shared" si="99"/>
        <v>1</v>
      </c>
      <c r="J584" s="633"/>
      <c r="K584" s="3167">
        <f t="shared" si="100"/>
        <v>1</v>
      </c>
      <c r="L584" s="633"/>
      <c r="M584" s="3167">
        <f t="shared" si="101"/>
        <v>1</v>
      </c>
      <c r="N584" s="633"/>
      <c r="O584" s="3167">
        <f t="shared" si="102"/>
        <v>1</v>
      </c>
      <c r="P584" s="3201" t="s">
        <v>4862</v>
      </c>
      <c r="Q584" s="3167">
        <f t="shared" si="103"/>
        <v>0.9</v>
      </c>
      <c r="R584" s="21">
        <f t="shared" ca="1" si="105"/>
        <v>16.720199999999998</v>
      </c>
      <c r="S584" s="901">
        <f t="shared" ca="1" si="104"/>
        <v>0</v>
      </c>
      <c r="T584" s="687"/>
    </row>
    <row r="585" spans="1:20">
      <c r="A585" s="631" t="str">
        <f>'5号楼'!B565</f>
        <v>B4054</v>
      </c>
      <c r="B585" s="631">
        <f>'5号楼'!C565</f>
        <v>52.93</v>
      </c>
      <c r="C585" s="3167">
        <f t="shared" si="96"/>
        <v>1</v>
      </c>
      <c r="D585" s="633"/>
      <c r="E585" s="3167">
        <f t="shared" si="97"/>
        <v>1</v>
      </c>
      <c r="F585" s="633"/>
      <c r="G585" s="3167">
        <f t="shared" si="98"/>
        <v>1</v>
      </c>
      <c r="H585" s="633"/>
      <c r="I585" s="3167">
        <f t="shared" si="99"/>
        <v>1</v>
      </c>
      <c r="J585" s="633"/>
      <c r="K585" s="3167">
        <f t="shared" si="100"/>
        <v>1</v>
      </c>
      <c r="L585" s="633"/>
      <c r="M585" s="3167">
        <f t="shared" si="101"/>
        <v>1</v>
      </c>
      <c r="N585" s="633"/>
      <c r="O585" s="3167">
        <f t="shared" si="102"/>
        <v>1</v>
      </c>
      <c r="P585" s="3201" t="s">
        <v>4862</v>
      </c>
      <c r="Q585" s="3167">
        <f t="shared" si="103"/>
        <v>0.9</v>
      </c>
      <c r="R585" s="21">
        <f t="shared" ca="1" si="105"/>
        <v>16.720199999999998</v>
      </c>
      <c r="S585" s="901">
        <f t="shared" ca="1" si="104"/>
        <v>0</v>
      </c>
      <c r="T585" s="687"/>
    </row>
    <row r="586" spans="1:20">
      <c r="A586" s="631" t="str">
        <f>'5号楼'!B566</f>
        <v>B4055</v>
      </c>
      <c r="B586" s="631">
        <f>'5号楼'!C566</f>
        <v>52.93</v>
      </c>
      <c r="C586" s="3167">
        <f t="shared" si="96"/>
        <v>1</v>
      </c>
      <c r="D586" s="633"/>
      <c r="E586" s="3167">
        <f t="shared" si="97"/>
        <v>1</v>
      </c>
      <c r="F586" s="633"/>
      <c r="G586" s="3167">
        <f t="shared" si="98"/>
        <v>1</v>
      </c>
      <c r="H586" s="633"/>
      <c r="I586" s="3167">
        <f t="shared" si="99"/>
        <v>1</v>
      </c>
      <c r="J586" s="633"/>
      <c r="K586" s="3167">
        <f t="shared" si="100"/>
        <v>1</v>
      </c>
      <c r="L586" s="633"/>
      <c r="M586" s="3167">
        <f t="shared" si="101"/>
        <v>1</v>
      </c>
      <c r="N586" s="633"/>
      <c r="O586" s="3167">
        <f t="shared" si="102"/>
        <v>1</v>
      </c>
      <c r="P586" s="3201" t="s">
        <v>4862</v>
      </c>
      <c r="Q586" s="3167">
        <f t="shared" si="103"/>
        <v>0.9</v>
      </c>
      <c r="R586" s="21">
        <f t="shared" ca="1" si="105"/>
        <v>16.720199999999998</v>
      </c>
      <c r="S586" s="901">
        <f t="shared" ca="1" si="104"/>
        <v>0</v>
      </c>
      <c r="T586" s="687"/>
    </row>
    <row r="587" spans="1:20">
      <c r="A587" s="631" t="str">
        <f>'5号楼'!B567</f>
        <v>B4056</v>
      </c>
      <c r="B587" s="631">
        <f>'5号楼'!C567</f>
        <v>52.93</v>
      </c>
      <c r="C587" s="3167">
        <f t="shared" si="96"/>
        <v>1</v>
      </c>
      <c r="D587" s="633"/>
      <c r="E587" s="3167">
        <f t="shared" si="97"/>
        <v>1</v>
      </c>
      <c r="F587" s="633"/>
      <c r="G587" s="3167">
        <f t="shared" si="98"/>
        <v>1</v>
      </c>
      <c r="H587" s="633"/>
      <c r="I587" s="3167">
        <f t="shared" si="99"/>
        <v>1</v>
      </c>
      <c r="J587" s="633"/>
      <c r="K587" s="3167">
        <f t="shared" si="100"/>
        <v>1</v>
      </c>
      <c r="L587" s="633"/>
      <c r="M587" s="3167">
        <f t="shared" si="101"/>
        <v>1</v>
      </c>
      <c r="N587" s="633"/>
      <c r="O587" s="3167">
        <f t="shared" si="102"/>
        <v>1</v>
      </c>
      <c r="P587" s="3201" t="s">
        <v>4862</v>
      </c>
      <c r="Q587" s="3167">
        <f t="shared" si="103"/>
        <v>0.9</v>
      </c>
      <c r="R587" s="21">
        <f t="shared" ca="1" si="105"/>
        <v>16.720199999999998</v>
      </c>
      <c r="S587" s="901">
        <f t="shared" ca="1" si="104"/>
        <v>0</v>
      </c>
      <c r="T587" s="687"/>
    </row>
    <row r="588" spans="1:20">
      <c r="A588" s="631" t="str">
        <f>'5号楼'!B568</f>
        <v>B4057</v>
      </c>
      <c r="B588" s="631">
        <f>'5号楼'!C568</f>
        <v>52.93</v>
      </c>
      <c r="C588" s="3167">
        <f t="shared" si="96"/>
        <v>1</v>
      </c>
      <c r="D588" s="633"/>
      <c r="E588" s="3167">
        <f t="shared" si="97"/>
        <v>1</v>
      </c>
      <c r="F588" s="633"/>
      <c r="G588" s="3167">
        <f t="shared" si="98"/>
        <v>1</v>
      </c>
      <c r="H588" s="633"/>
      <c r="I588" s="3167">
        <f t="shared" si="99"/>
        <v>1</v>
      </c>
      <c r="J588" s="633"/>
      <c r="K588" s="3167">
        <f t="shared" si="100"/>
        <v>1</v>
      </c>
      <c r="L588" s="633"/>
      <c r="M588" s="3167">
        <f t="shared" si="101"/>
        <v>1</v>
      </c>
      <c r="N588" s="633"/>
      <c r="O588" s="3167">
        <f t="shared" si="102"/>
        <v>1</v>
      </c>
      <c r="P588" s="3201" t="s">
        <v>4862</v>
      </c>
      <c r="Q588" s="3167">
        <f t="shared" si="103"/>
        <v>0.9</v>
      </c>
      <c r="R588" s="21">
        <f t="shared" ca="1" si="105"/>
        <v>16.720199999999998</v>
      </c>
      <c r="S588" s="901">
        <f t="shared" ca="1" si="104"/>
        <v>0</v>
      </c>
      <c r="T588" s="687"/>
    </row>
    <row r="589" spans="1:20">
      <c r="A589" s="631" t="str">
        <f>'5号楼'!B569</f>
        <v>B4058</v>
      </c>
      <c r="B589" s="631">
        <f>'5号楼'!C569</f>
        <v>52.93</v>
      </c>
      <c r="C589" s="3167">
        <f t="shared" si="96"/>
        <v>1</v>
      </c>
      <c r="D589" s="633"/>
      <c r="E589" s="3167">
        <f t="shared" si="97"/>
        <v>1</v>
      </c>
      <c r="F589" s="633"/>
      <c r="G589" s="3167">
        <f t="shared" si="98"/>
        <v>1</v>
      </c>
      <c r="H589" s="633"/>
      <c r="I589" s="3167">
        <f t="shared" si="99"/>
        <v>1</v>
      </c>
      <c r="J589" s="633"/>
      <c r="K589" s="3167">
        <f t="shared" si="100"/>
        <v>1</v>
      </c>
      <c r="L589" s="633"/>
      <c r="M589" s="3167">
        <f t="shared" si="101"/>
        <v>1</v>
      </c>
      <c r="N589" s="633"/>
      <c r="O589" s="3167">
        <f t="shared" si="102"/>
        <v>1</v>
      </c>
      <c r="P589" s="3201" t="s">
        <v>4862</v>
      </c>
      <c r="Q589" s="3167">
        <f t="shared" si="103"/>
        <v>0.9</v>
      </c>
      <c r="R589" s="21">
        <f t="shared" ca="1" si="105"/>
        <v>16.720199999999998</v>
      </c>
      <c r="S589" s="901">
        <f t="shared" ca="1" si="104"/>
        <v>0</v>
      </c>
      <c r="T589" s="687"/>
    </row>
    <row r="590" spans="1:20">
      <c r="A590" s="631" t="str">
        <f>'5号楼'!B570</f>
        <v>B4059</v>
      </c>
      <c r="B590" s="631">
        <f>'5号楼'!C570</f>
        <v>52.93</v>
      </c>
      <c r="C590" s="3167">
        <f t="shared" si="96"/>
        <v>1</v>
      </c>
      <c r="D590" s="633"/>
      <c r="E590" s="3167">
        <f t="shared" si="97"/>
        <v>1</v>
      </c>
      <c r="F590" s="633"/>
      <c r="G590" s="3167">
        <f t="shared" si="98"/>
        <v>1</v>
      </c>
      <c r="H590" s="633"/>
      <c r="I590" s="3167">
        <f t="shared" si="99"/>
        <v>1</v>
      </c>
      <c r="J590" s="633"/>
      <c r="K590" s="3167">
        <f t="shared" si="100"/>
        <v>1</v>
      </c>
      <c r="L590" s="633"/>
      <c r="M590" s="3167">
        <f t="shared" si="101"/>
        <v>1</v>
      </c>
      <c r="N590" s="633"/>
      <c r="O590" s="3167">
        <f t="shared" si="102"/>
        <v>1</v>
      </c>
      <c r="P590" s="3201" t="s">
        <v>4862</v>
      </c>
      <c r="Q590" s="3167">
        <f t="shared" si="103"/>
        <v>0.9</v>
      </c>
      <c r="R590" s="21">
        <f t="shared" ca="1" si="105"/>
        <v>16.720199999999998</v>
      </c>
      <c r="S590" s="901">
        <f t="shared" ca="1" si="104"/>
        <v>0</v>
      </c>
      <c r="T590" s="687"/>
    </row>
    <row r="591" spans="1:20">
      <c r="A591" s="631" t="str">
        <f>'5号楼'!B571</f>
        <v>B4060</v>
      </c>
      <c r="B591" s="631">
        <f>'5号楼'!C571</f>
        <v>52.93</v>
      </c>
      <c r="C591" s="3167">
        <f t="shared" si="96"/>
        <v>1</v>
      </c>
      <c r="D591" s="633"/>
      <c r="E591" s="3167">
        <f t="shared" si="97"/>
        <v>1</v>
      </c>
      <c r="F591" s="633"/>
      <c r="G591" s="3167">
        <f t="shared" si="98"/>
        <v>1</v>
      </c>
      <c r="H591" s="633"/>
      <c r="I591" s="3167">
        <f t="shared" si="99"/>
        <v>1</v>
      </c>
      <c r="J591" s="633"/>
      <c r="K591" s="3167">
        <f t="shared" si="100"/>
        <v>1</v>
      </c>
      <c r="L591" s="633"/>
      <c r="M591" s="3167">
        <f t="shared" si="101"/>
        <v>1</v>
      </c>
      <c r="N591" s="633"/>
      <c r="O591" s="3167">
        <f t="shared" si="102"/>
        <v>1</v>
      </c>
      <c r="P591" s="3201" t="s">
        <v>4862</v>
      </c>
      <c r="Q591" s="3167">
        <f t="shared" si="103"/>
        <v>0.9</v>
      </c>
      <c r="R591" s="21">
        <f t="shared" ca="1" si="105"/>
        <v>16.720199999999998</v>
      </c>
      <c r="S591" s="901">
        <f t="shared" ca="1" si="104"/>
        <v>0</v>
      </c>
      <c r="T591" s="687"/>
    </row>
    <row r="592" spans="1:20">
      <c r="A592" s="631" t="str">
        <f>'5号楼'!B572</f>
        <v>B4061</v>
      </c>
      <c r="B592" s="631">
        <f>'5号楼'!C572</f>
        <v>52.93</v>
      </c>
      <c r="C592" s="3167">
        <f t="shared" ref="C592:C655" si="106">IF(B592="",1,(LOOKUP(B592,$3:$3,$4:$4)-LOOKUP($B$24,$3:$3,$4:$4)+100)/100)</f>
        <v>1</v>
      </c>
      <c r="D592" s="633"/>
      <c r="E592" s="3167">
        <f t="shared" ref="E592:E655" si="107">(SUMIF($5:$5,D592,$6:$6)-SUMIF($5:$5,$D$24,$6:$6)+100)/100</f>
        <v>1</v>
      </c>
      <c r="F592" s="633"/>
      <c r="G592" s="3167">
        <f t="shared" ref="G592:G655" si="108">(SUMIF($7:$7,F592,$8:$8)-SUMIF($7:$7,$F$24,$8:$8)+100)/100</f>
        <v>1</v>
      </c>
      <c r="H592" s="633"/>
      <c r="I592" s="3167">
        <f t="shared" ref="I592:I655" si="109">(SUMIF($9:$9,H592,$10:$10)-SUMIF($9:$9,$H$24,$10:$10)+100)/100</f>
        <v>1</v>
      </c>
      <c r="J592" s="633"/>
      <c r="K592" s="3167">
        <f t="shared" ref="K592:K655" si="110">(SUMIF($11:$11,J592,$12:$12)-SUMIF($11:$11,$J$24,$12:$12)+100)/100</f>
        <v>1</v>
      </c>
      <c r="L592" s="633"/>
      <c r="M592" s="3167">
        <f t="shared" ref="M592:M655" si="111">(SUMIF($13:$13,L592,$14:$14)-SUMIF($13:$13,$L$24,$14:$14)+100)/100</f>
        <v>1</v>
      </c>
      <c r="N592" s="633"/>
      <c r="O592" s="3167">
        <f t="shared" ref="O592:O655" si="112">(SUMIF($15:$15,N592,$16:$16)-SUMIF($15:$15,$N$24,$16:$16)+100)/100</f>
        <v>1</v>
      </c>
      <c r="P592" s="3201" t="s">
        <v>4862</v>
      </c>
      <c r="Q592" s="3167">
        <f t="shared" ref="Q592:Q655" si="113">(SUMIF($17:$17,P592,$18:$18)-SUMIF($17:$17,$P$24,$18:$18)+100)/100</f>
        <v>0.9</v>
      </c>
      <c r="R592" s="21">
        <f t="shared" ca="1" si="105"/>
        <v>16.720199999999998</v>
      </c>
      <c r="S592" s="901">
        <f t="shared" ref="S592:S655" ca="1" si="114">ROUND(R592*B592/10000,0)</f>
        <v>0</v>
      </c>
      <c r="T592" s="687"/>
    </row>
    <row r="593" spans="1:20">
      <c r="A593" s="631" t="str">
        <f>'5号楼'!B573</f>
        <v>B4062</v>
      </c>
      <c r="B593" s="631">
        <f>'5号楼'!C573</f>
        <v>52.93</v>
      </c>
      <c r="C593" s="3167">
        <f t="shared" si="106"/>
        <v>1</v>
      </c>
      <c r="D593" s="633"/>
      <c r="E593" s="3167">
        <f t="shared" si="107"/>
        <v>1</v>
      </c>
      <c r="F593" s="633"/>
      <c r="G593" s="3167">
        <f t="shared" si="108"/>
        <v>1</v>
      </c>
      <c r="H593" s="633"/>
      <c r="I593" s="3167">
        <f t="shared" si="109"/>
        <v>1</v>
      </c>
      <c r="J593" s="633"/>
      <c r="K593" s="3167">
        <f t="shared" si="110"/>
        <v>1</v>
      </c>
      <c r="L593" s="633"/>
      <c r="M593" s="3167">
        <f t="shared" si="111"/>
        <v>1</v>
      </c>
      <c r="N593" s="633"/>
      <c r="O593" s="3167">
        <f t="shared" si="112"/>
        <v>1</v>
      </c>
      <c r="P593" s="3201" t="s">
        <v>4862</v>
      </c>
      <c r="Q593" s="3167">
        <f t="shared" si="113"/>
        <v>0.9</v>
      </c>
      <c r="R593" s="21">
        <f t="shared" ca="1" si="105"/>
        <v>16.720199999999998</v>
      </c>
      <c r="S593" s="901">
        <f t="shared" ca="1" si="114"/>
        <v>0</v>
      </c>
      <c r="T593" s="687"/>
    </row>
    <row r="594" spans="1:20">
      <c r="A594" s="631" t="str">
        <f>'5号楼'!B574</f>
        <v>B4063</v>
      </c>
      <c r="B594" s="631">
        <f>'5号楼'!C574</f>
        <v>52.93</v>
      </c>
      <c r="C594" s="3167">
        <f t="shared" si="106"/>
        <v>1</v>
      </c>
      <c r="D594" s="633"/>
      <c r="E594" s="3167">
        <f t="shared" si="107"/>
        <v>1</v>
      </c>
      <c r="F594" s="633"/>
      <c r="G594" s="3167">
        <f t="shared" si="108"/>
        <v>1</v>
      </c>
      <c r="H594" s="633"/>
      <c r="I594" s="3167">
        <f t="shared" si="109"/>
        <v>1</v>
      </c>
      <c r="J594" s="633"/>
      <c r="K594" s="3167">
        <f t="shared" si="110"/>
        <v>1</v>
      </c>
      <c r="L594" s="633"/>
      <c r="M594" s="3167">
        <f t="shared" si="111"/>
        <v>1</v>
      </c>
      <c r="N594" s="633"/>
      <c r="O594" s="3167">
        <f t="shared" si="112"/>
        <v>1</v>
      </c>
      <c r="P594" s="3201" t="s">
        <v>4862</v>
      </c>
      <c r="Q594" s="3167">
        <f t="shared" si="113"/>
        <v>0.9</v>
      </c>
      <c r="R594" s="21">
        <f t="shared" ca="1" si="105"/>
        <v>16.720199999999998</v>
      </c>
      <c r="S594" s="901">
        <f t="shared" ca="1" si="114"/>
        <v>0</v>
      </c>
      <c r="T594" s="687"/>
    </row>
    <row r="595" spans="1:20">
      <c r="A595" s="631" t="str">
        <f>'5号楼'!B575</f>
        <v>B4064</v>
      </c>
      <c r="B595" s="631">
        <f>'5号楼'!C575</f>
        <v>52.93</v>
      </c>
      <c r="C595" s="3167">
        <f t="shared" si="106"/>
        <v>1</v>
      </c>
      <c r="D595" s="633"/>
      <c r="E595" s="3167">
        <f t="shared" si="107"/>
        <v>1</v>
      </c>
      <c r="F595" s="633"/>
      <c r="G595" s="3167">
        <f t="shared" si="108"/>
        <v>1</v>
      </c>
      <c r="H595" s="633"/>
      <c r="I595" s="3167">
        <f t="shared" si="109"/>
        <v>1</v>
      </c>
      <c r="J595" s="633"/>
      <c r="K595" s="3167">
        <f t="shared" si="110"/>
        <v>1</v>
      </c>
      <c r="L595" s="633"/>
      <c r="M595" s="3167">
        <f t="shared" si="111"/>
        <v>1</v>
      </c>
      <c r="N595" s="633"/>
      <c r="O595" s="3167">
        <f t="shared" si="112"/>
        <v>1</v>
      </c>
      <c r="P595" s="3201" t="s">
        <v>4862</v>
      </c>
      <c r="Q595" s="3167">
        <f t="shared" si="113"/>
        <v>0.9</v>
      </c>
      <c r="R595" s="21">
        <f t="shared" ca="1" si="105"/>
        <v>16.720199999999998</v>
      </c>
      <c r="S595" s="901">
        <f t="shared" ca="1" si="114"/>
        <v>0</v>
      </c>
      <c r="T595" s="687"/>
    </row>
    <row r="596" spans="1:20">
      <c r="A596" s="631" t="str">
        <f>'5号楼'!B576</f>
        <v>B4065</v>
      </c>
      <c r="B596" s="631">
        <f>'5号楼'!C576</f>
        <v>52.93</v>
      </c>
      <c r="C596" s="3167">
        <f t="shared" si="106"/>
        <v>1</v>
      </c>
      <c r="D596" s="633"/>
      <c r="E596" s="3167">
        <f t="shared" si="107"/>
        <v>1</v>
      </c>
      <c r="F596" s="633"/>
      <c r="G596" s="3167">
        <f t="shared" si="108"/>
        <v>1</v>
      </c>
      <c r="H596" s="633"/>
      <c r="I596" s="3167">
        <f t="shared" si="109"/>
        <v>1</v>
      </c>
      <c r="J596" s="633"/>
      <c r="K596" s="3167">
        <f t="shared" si="110"/>
        <v>1</v>
      </c>
      <c r="L596" s="633"/>
      <c r="M596" s="3167">
        <f t="shared" si="111"/>
        <v>1</v>
      </c>
      <c r="N596" s="633"/>
      <c r="O596" s="3167">
        <f t="shared" si="112"/>
        <v>1</v>
      </c>
      <c r="P596" s="3201" t="s">
        <v>4862</v>
      </c>
      <c r="Q596" s="3167">
        <f t="shared" si="113"/>
        <v>0.9</v>
      </c>
      <c r="R596" s="21">
        <f t="shared" ca="1" si="105"/>
        <v>16.720199999999998</v>
      </c>
      <c r="S596" s="901">
        <f t="shared" ca="1" si="114"/>
        <v>0</v>
      </c>
      <c r="T596" s="687"/>
    </row>
    <row r="597" spans="1:20">
      <c r="A597" s="631" t="str">
        <f>'5号楼'!B577</f>
        <v>B4066</v>
      </c>
      <c r="B597" s="631">
        <f>'5号楼'!C577</f>
        <v>52.93</v>
      </c>
      <c r="C597" s="3167">
        <f t="shared" si="106"/>
        <v>1</v>
      </c>
      <c r="D597" s="633"/>
      <c r="E597" s="3167">
        <f t="shared" si="107"/>
        <v>1</v>
      </c>
      <c r="F597" s="633"/>
      <c r="G597" s="3167">
        <f t="shared" si="108"/>
        <v>1</v>
      </c>
      <c r="H597" s="633"/>
      <c r="I597" s="3167">
        <f t="shared" si="109"/>
        <v>1</v>
      </c>
      <c r="J597" s="633"/>
      <c r="K597" s="3167">
        <f t="shared" si="110"/>
        <v>1</v>
      </c>
      <c r="L597" s="633"/>
      <c r="M597" s="3167">
        <f t="shared" si="111"/>
        <v>1</v>
      </c>
      <c r="N597" s="633"/>
      <c r="O597" s="3167">
        <f t="shared" si="112"/>
        <v>1</v>
      </c>
      <c r="P597" s="3201" t="s">
        <v>4862</v>
      </c>
      <c r="Q597" s="3167">
        <f t="shared" si="113"/>
        <v>0.9</v>
      </c>
      <c r="R597" s="21">
        <f t="shared" ca="1" si="105"/>
        <v>16.720199999999998</v>
      </c>
      <c r="S597" s="901">
        <f t="shared" ca="1" si="114"/>
        <v>0</v>
      </c>
      <c r="T597" s="687"/>
    </row>
    <row r="598" spans="1:20">
      <c r="A598" s="631" t="str">
        <f>'5号楼'!B578</f>
        <v>B4067</v>
      </c>
      <c r="B598" s="631">
        <f>'5号楼'!C578</f>
        <v>52.93</v>
      </c>
      <c r="C598" s="3167">
        <f t="shared" si="106"/>
        <v>1</v>
      </c>
      <c r="D598" s="633"/>
      <c r="E598" s="3167">
        <f t="shared" si="107"/>
        <v>1</v>
      </c>
      <c r="F598" s="633"/>
      <c r="G598" s="3167">
        <f t="shared" si="108"/>
        <v>1</v>
      </c>
      <c r="H598" s="633"/>
      <c r="I598" s="3167">
        <f t="shared" si="109"/>
        <v>1</v>
      </c>
      <c r="J598" s="633"/>
      <c r="K598" s="3167">
        <f t="shared" si="110"/>
        <v>1</v>
      </c>
      <c r="L598" s="633"/>
      <c r="M598" s="3167">
        <f t="shared" si="111"/>
        <v>1</v>
      </c>
      <c r="N598" s="633"/>
      <c r="O598" s="3167">
        <f t="shared" si="112"/>
        <v>1</v>
      </c>
      <c r="P598" s="3201" t="s">
        <v>4862</v>
      </c>
      <c r="Q598" s="3167">
        <f t="shared" si="113"/>
        <v>0.9</v>
      </c>
      <c r="R598" s="21">
        <f t="shared" ca="1" si="105"/>
        <v>16.720199999999998</v>
      </c>
      <c r="S598" s="901">
        <f t="shared" ca="1" si="114"/>
        <v>0</v>
      </c>
      <c r="T598" s="687"/>
    </row>
    <row r="599" spans="1:20">
      <c r="A599" s="631" t="str">
        <f>'5号楼'!B579</f>
        <v>B4068</v>
      </c>
      <c r="B599" s="631">
        <f>'5号楼'!C579</f>
        <v>52.93</v>
      </c>
      <c r="C599" s="3167">
        <f t="shared" si="106"/>
        <v>1</v>
      </c>
      <c r="D599" s="633"/>
      <c r="E599" s="3167">
        <f t="shared" si="107"/>
        <v>1</v>
      </c>
      <c r="F599" s="633"/>
      <c r="G599" s="3167">
        <f t="shared" si="108"/>
        <v>1</v>
      </c>
      <c r="H599" s="633"/>
      <c r="I599" s="3167">
        <f t="shared" si="109"/>
        <v>1</v>
      </c>
      <c r="J599" s="633"/>
      <c r="K599" s="3167">
        <f t="shared" si="110"/>
        <v>1</v>
      </c>
      <c r="L599" s="633"/>
      <c r="M599" s="3167">
        <f t="shared" si="111"/>
        <v>1</v>
      </c>
      <c r="N599" s="633"/>
      <c r="O599" s="3167">
        <f t="shared" si="112"/>
        <v>1</v>
      </c>
      <c r="P599" s="3201" t="s">
        <v>4862</v>
      </c>
      <c r="Q599" s="3167">
        <f t="shared" si="113"/>
        <v>0.9</v>
      </c>
      <c r="R599" s="21">
        <f t="shared" ca="1" si="105"/>
        <v>16.720199999999998</v>
      </c>
      <c r="S599" s="901">
        <f t="shared" ca="1" si="114"/>
        <v>0</v>
      </c>
      <c r="T599" s="687"/>
    </row>
    <row r="600" spans="1:20">
      <c r="A600" s="631" t="str">
        <f>'5号楼'!B580</f>
        <v>B4069</v>
      </c>
      <c r="B600" s="631">
        <f>'5号楼'!C580</f>
        <v>52.93</v>
      </c>
      <c r="C600" s="3167">
        <f t="shared" si="106"/>
        <v>1</v>
      </c>
      <c r="D600" s="633"/>
      <c r="E600" s="3167">
        <f t="shared" si="107"/>
        <v>1</v>
      </c>
      <c r="F600" s="633"/>
      <c r="G600" s="3167">
        <f t="shared" si="108"/>
        <v>1</v>
      </c>
      <c r="H600" s="633"/>
      <c r="I600" s="3167">
        <f t="shared" si="109"/>
        <v>1</v>
      </c>
      <c r="J600" s="633"/>
      <c r="K600" s="3167">
        <f t="shared" si="110"/>
        <v>1</v>
      </c>
      <c r="L600" s="633"/>
      <c r="M600" s="3167">
        <f t="shared" si="111"/>
        <v>1</v>
      </c>
      <c r="N600" s="633"/>
      <c r="O600" s="3167">
        <f t="shared" si="112"/>
        <v>1</v>
      </c>
      <c r="P600" s="3201" t="s">
        <v>4862</v>
      </c>
      <c r="Q600" s="3167">
        <f t="shared" si="113"/>
        <v>0.9</v>
      </c>
      <c r="R600" s="21">
        <f t="shared" ca="1" si="105"/>
        <v>16.720199999999998</v>
      </c>
      <c r="S600" s="901">
        <f t="shared" ca="1" si="114"/>
        <v>0</v>
      </c>
      <c r="T600" s="687"/>
    </row>
    <row r="601" spans="1:20">
      <c r="A601" s="631" t="str">
        <f>'5号楼'!B581</f>
        <v>B4070</v>
      </c>
      <c r="B601" s="631">
        <f>'5号楼'!C581</f>
        <v>52.93</v>
      </c>
      <c r="C601" s="3167">
        <f t="shared" si="106"/>
        <v>1</v>
      </c>
      <c r="D601" s="633"/>
      <c r="E601" s="3167">
        <f t="shared" si="107"/>
        <v>1</v>
      </c>
      <c r="F601" s="633"/>
      <c r="G601" s="3167">
        <f t="shared" si="108"/>
        <v>1</v>
      </c>
      <c r="H601" s="633"/>
      <c r="I601" s="3167">
        <f t="shared" si="109"/>
        <v>1</v>
      </c>
      <c r="J601" s="633"/>
      <c r="K601" s="3167">
        <f t="shared" si="110"/>
        <v>1</v>
      </c>
      <c r="L601" s="633"/>
      <c r="M601" s="3167">
        <f t="shared" si="111"/>
        <v>1</v>
      </c>
      <c r="N601" s="633"/>
      <c r="O601" s="3167">
        <f t="shared" si="112"/>
        <v>1</v>
      </c>
      <c r="P601" s="3201" t="s">
        <v>4862</v>
      </c>
      <c r="Q601" s="3167">
        <f t="shared" si="113"/>
        <v>0.9</v>
      </c>
      <c r="R601" s="21">
        <f t="shared" ca="1" si="105"/>
        <v>16.720199999999998</v>
      </c>
      <c r="S601" s="901">
        <f t="shared" ca="1" si="114"/>
        <v>0</v>
      </c>
      <c r="T601" s="687"/>
    </row>
    <row r="602" spans="1:20">
      <c r="A602" s="631" t="str">
        <f>'5号楼'!B582</f>
        <v>B4071</v>
      </c>
      <c r="B602" s="631">
        <f>'5号楼'!C582</f>
        <v>52.93</v>
      </c>
      <c r="C602" s="3167">
        <f t="shared" si="106"/>
        <v>1</v>
      </c>
      <c r="D602" s="633"/>
      <c r="E602" s="3167">
        <f t="shared" si="107"/>
        <v>1</v>
      </c>
      <c r="F602" s="633"/>
      <c r="G602" s="3167">
        <f t="shared" si="108"/>
        <v>1</v>
      </c>
      <c r="H602" s="633"/>
      <c r="I602" s="3167">
        <f t="shared" si="109"/>
        <v>1</v>
      </c>
      <c r="J602" s="633"/>
      <c r="K602" s="3167">
        <f t="shared" si="110"/>
        <v>1</v>
      </c>
      <c r="L602" s="633"/>
      <c r="M602" s="3167">
        <f t="shared" si="111"/>
        <v>1</v>
      </c>
      <c r="N602" s="633"/>
      <c r="O602" s="3167">
        <f t="shared" si="112"/>
        <v>1</v>
      </c>
      <c r="P602" s="3201" t="s">
        <v>4862</v>
      </c>
      <c r="Q602" s="3167">
        <f t="shared" si="113"/>
        <v>0.9</v>
      </c>
      <c r="R602" s="21">
        <f t="shared" ref="R602:R665" ca="1" si="115">IF(B602="",0,ROUND($R$24*C602*E602*G602*I602*K602*M602*O602*Q602,4))</f>
        <v>16.720199999999998</v>
      </c>
      <c r="S602" s="901">
        <f t="shared" ca="1" si="114"/>
        <v>0</v>
      </c>
      <c r="T602" s="687"/>
    </row>
    <row r="603" spans="1:20">
      <c r="A603" s="631" t="str">
        <f>'5号楼'!B583</f>
        <v>B4072</v>
      </c>
      <c r="B603" s="631">
        <f>'5号楼'!C583</f>
        <v>52.93</v>
      </c>
      <c r="C603" s="3167">
        <f t="shared" si="106"/>
        <v>1</v>
      </c>
      <c r="D603" s="633"/>
      <c r="E603" s="3167">
        <f t="shared" si="107"/>
        <v>1</v>
      </c>
      <c r="F603" s="633"/>
      <c r="G603" s="3167">
        <f t="shared" si="108"/>
        <v>1</v>
      </c>
      <c r="H603" s="633"/>
      <c r="I603" s="3167">
        <f t="shared" si="109"/>
        <v>1</v>
      </c>
      <c r="J603" s="633"/>
      <c r="K603" s="3167">
        <f t="shared" si="110"/>
        <v>1</v>
      </c>
      <c r="L603" s="633"/>
      <c r="M603" s="3167">
        <f t="shared" si="111"/>
        <v>1</v>
      </c>
      <c r="N603" s="633"/>
      <c r="O603" s="3167">
        <f t="shared" si="112"/>
        <v>1</v>
      </c>
      <c r="P603" s="3201" t="s">
        <v>4862</v>
      </c>
      <c r="Q603" s="3167">
        <f t="shared" si="113"/>
        <v>0.9</v>
      </c>
      <c r="R603" s="21">
        <f t="shared" ca="1" si="115"/>
        <v>16.720199999999998</v>
      </c>
      <c r="S603" s="901">
        <f t="shared" ca="1" si="114"/>
        <v>0</v>
      </c>
      <c r="T603" s="687"/>
    </row>
    <row r="604" spans="1:20">
      <c r="A604" s="631" t="str">
        <f>'5号楼'!B584</f>
        <v>B4073</v>
      </c>
      <c r="B604" s="631">
        <f>'5号楼'!C584</f>
        <v>52.93</v>
      </c>
      <c r="C604" s="3167">
        <f t="shared" si="106"/>
        <v>1</v>
      </c>
      <c r="D604" s="633"/>
      <c r="E604" s="3167">
        <f t="shared" si="107"/>
        <v>1</v>
      </c>
      <c r="F604" s="633"/>
      <c r="G604" s="3167">
        <f t="shared" si="108"/>
        <v>1</v>
      </c>
      <c r="H604" s="633"/>
      <c r="I604" s="3167">
        <f t="shared" si="109"/>
        <v>1</v>
      </c>
      <c r="J604" s="633"/>
      <c r="K604" s="3167">
        <f t="shared" si="110"/>
        <v>1</v>
      </c>
      <c r="L604" s="633"/>
      <c r="M604" s="3167">
        <f t="shared" si="111"/>
        <v>1</v>
      </c>
      <c r="N604" s="633"/>
      <c r="O604" s="3167">
        <f t="shared" si="112"/>
        <v>1</v>
      </c>
      <c r="P604" s="3201" t="s">
        <v>4862</v>
      </c>
      <c r="Q604" s="3167">
        <f t="shared" si="113"/>
        <v>0.9</v>
      </c>
      <c r="R604" s="21">
        <f t="shared" ca="1" si="115"/>
        <v>16.720199999999998</v>
      </c>
      <c r="S604" s="901">
        <f t="shared" ca="1" si="114"/>
        <v>0</v>
      </c>
      <c r="T604" s="687"/>
    </row>
    <row r="605" spans="1:20">
      <c r="A605" s="631" t="str">
        <f>'5号楼'!B585</f>
        <v>B4074</v>
      </c>
      <c r="B605" s="631">
        <f>'5号楼'!C585</f>
        <v>52.93</v>
      </c>
      <c r="C605" s="3167">
        <f t="shared" si="106"/>
        <v>1</v>
      </c>
      <c r="D605" s="633"/>
      <c r="E605" s="3167">
        <f t="shared" si="107"/>
        <v>1</v>
      </c>
      <c r="F605" s="633"/>
      <c r="G605" s="3167">
        <f t="shared" si="108"/>
        <v>1</v>
      </c>
      <c r="H605" s="633"/>
      <c r="I605" s="3167">
        <f t="shared" si="109"/>
        <v>1</v>
      </c>
      <c r="J605" s="633"/>
      <c r="K605" s="3167">
        <f t="shared" si="110"/>
        <v>1</v>
      </c>
      <c r="L605" s="633"/>
      <c r="M605" s="3167">
        <f t="shared" si="111"/>
        <v>1</v>
      </c>
      <c r="N605" s="633"/>
      <c r="O605" s="3167">
        <f t="shared" si="112"/>
        <v>1</v>
      </c>
      <c r="P605" s="3201" t="s">
        <v>4862</v>
      </c>
      <c r="Q605" s="3167">
        <f t="shared" si="113"/>
        <v>0.9</v>
      </c>
      <c r="R605" s="21">
        <f t="shared" ca="1" si="115"/>
        <v>16.720199999999998</v>
      </c>
      <c r="S605" s="901">
        <f t="shared" ca="1" si="114"/>
        <v>0</v>
      </c>
      <c r="T605" s="687"/>
    </row>
    <row r="606" spans="1:20">
      <c r="A606" s="631" t="str">
        <f>'5号楼'!B586</f>
        <v>B4075</v>
      </c>
      <c r="B606" s="631">
        <f>'5号楼'!C586</f>
        <v>52.93</v>
      </c>
      <c r="C606" s="3167">
        <f t="shared" si="106"/>
        <v>1</v>
      </c>
      <c r="D606" s="633"/>
      <c r="E606" s="3167">
        <f t="shared" si="107"/>
        <v>1</v>
      </c>
      <c r="F606" s="633"/>
      <c r="G606" s="3167">
        <f t="shared" si="108"/>
        <v>1</v>
      </c>
      <c r="H606" s="633"/>
      <c r="I606" s="3167">
        <f t="shared" si="109"/>
        <v>1</v>
      </c>
      <c r="J606" s="633"/>
      <c r="K606" s="3167">
        <f t="shared" si="110"/>
        <v>1</v>
      </c>
      <c r="L606" s="633"/>
      <c r="M606" s="3167">
        <f t="shared" si="111"/>
        <v>1</v>
      </c>
      <c r="N606" s="633"/>
      <c r="O606" s="3167">
        <f t="shared" si="112"/>
        <v>1</v>
      </c>
      <c r="P606" s="3201" t="s">
        <v>4862</v>
      </c>
      <c r="Q606" s="3167">
        <f t="shared" si="113"/>
        <v>0.9</v>
      </c>
      <c r="R606" s="21">
        <f t="shared" ca="1" si="115"/>
        <v>16.720199999999998</v>
      </c>
      <c r="S606" s="901">
        <f t="shared" ca="1" si="114"/>
        <v>0</v>
      </c>
      <c r="T606" s="687"/>
    </row>
    <row r="607" spans="1:20">
      <c r="A607" s="631" t="str">
        <f>'5号楼'!B587</f>
        <v>B4076</v>
      </c>
      <c r="B607" s="631">
        <f>'5号楼'!C587</f>
        <v>52.93</v>
      </c>
      <c r="C607" s="3167">
        <f t="shared" si="106"/>
        <v>1</v>
      </c>
      <c r="D607" s="633"/>
      <c r="E607" s="3167">
        <f t="shared" si="107"/>
        <v>1</v>
      </c>
      <c r="F607" s="633"/>
      <c r="G607" s="3167">
        <f t="shared" si="108"/>
        <v>1</v>
      </c>
      <c r="H607" s="633"/>
      <c r="I607" s="3167">
        <f t="shared" si="109"/>
        <v>1</v>
      </c>
      <c r="J607" s="633"/>
      <c r="K607" s="3167">
        <f t="shared" si="110"/>
        <v>1</v>
      </c>
      <c r="L607" s="633"/>
      <c r="M607" s="3167">
        <f t="shared" si="111"/>
        <v>1</v>
      </c>
      <c r="N607" s="633"/>
      <c r="O607" s="3167">
        <f t="shared" si="112"/>
        <v>1</v>
      </c>
      <c r="P607" s="3201" t="s">
        <v>4862</v>
      </c>
      <c r="Q607" s="3167">
        <f t="shared" si="113"/>
        <v>0.9</v>
      </c>
      <c r="R607" s="21">
        <f t="shared" ca="1" si="115"/>
        <v>16.720199999999998</v>
      </c>
      <c r="S607" s="901">
        <f t="shared" ca="1" si="114"/>
        <v>0</v>
      </c>
      <c r="T607" s="687"/>
    </row>
    <row r="608" spans="1:20">
      <c r="A608" s="631" t="str">
        <f>'5号楼'!B588</f>
        <v>B4077</v>
      </c>
      <c r="B608" s="631">
        <f>'5号楼'!C588</f>
        <v>59.92</v>
      </c>
      <c r="C608" s="3167">
        <f t="shared" si="106"/>
        <v>1</v>
      </c>
      <c r="D608" s="633"/>
      <c r="E608" s="3167">
        <f t="shared" si="107"/>
        <v>1</v>
      </c>
      <c r="F608" s="633"/>
      <c r="G608" s="3167">
        <f t="shared" si="108"/>
        <v>1</v>
      </c>
      <c r="H608" s="633"/>
      <c r="I608" s="3167">
        <f t="shared" si="109"/>
        <v>1</v>
      </c>
      <c r="J608" s="633"/>
      <c r="K608" s="3167">
        <f t="shared" si="110"/>
        <v>1</v>
      </c>
      <c r="L608" s="633"/>
      <c r="M608" s="3167">
        <f t="shared" si="111"/>
        <v>1</v>
      </c>
      <c r="N608" s="633"/>
      <c r="O608" s="3167">
        <f t="shared" si="112"/>
        <v>1</v>
      </c>
      <c r="P608" s="3201" t="s">
        <v>4862</v>
      </c>
      <c r="Q608" s="3167">
        <f t="shared" si="113"/>
        <v>0.9</v>
      </c>
      <c r="R608" s="21">
        <f t="shared" ca="1" si="115"/>
        <v>16.720199999999998</v>
      </c>
      <c r="S608" s="901">
        <f t="shared" ca="1" si="114"/>
        <v>0</v>
      </c>
      <c r="T608" s="687"/>
    </row>
    <row r="609" spans="1:20">
      <c r="A609" s="631" t="str">
        <f>'5号楼'!B589</f>
        <v>B4078</v>
      </c>
      <c r="B609" s="631">
        <f>'5号楼'!C589</f>
        <v>59.92</v>
      </c>
      <c r="C609" s="3167">
        <f t="shared" si="106"/>
        <v>1</v>
      </c>
      <c r="D609" s="633"/>
      <c r="E609" s="3167">
        <f t="shared" si="107"/>
        <v>1</v>
      </c>
      <c r="F609" s="633"/>
      <c r="G609" s="3167">
        <f t="shared" si="108"/>
        <v>1</v>
      </c>
      <c r="H609" s="633"/>
      <c r="I609" s="3167">
        <f t="shared" si="109"/>
        <v>1</v>
      </c>
      <c r="J609" s="633"/>
      <c r="K609" s="3167">
        <f t="shared" si="110"/>
        <v>1</v>
      </c>
      <c r="L609" s="633"/>
      <c r="M609" s="3167">
        <f t="shared" si="111"/>
        <v>1</v>
      </c>
      <c r="N609" s="633"/>
      <c r="O609" s="3167">
        <f t="shared" si="112"/>
        <v>1</v>
      </c>
      <c r="P609" s="3201" t="s">
        <v>4862</v>
      </c>
      <c r="Q609" s="3167">
        <f t="shared" si="113"/>
        <v>0.9</v>
      </c>
      <c r="R609" s="21">
        <f t="shared" ca="1" si="115"/>
        <v>16.720199999999998</v>
      </c>
      <c r="S609" s="901">
        <f t="shared" ca="1" si="114"/>
        <v>0</v>
      </c>
      <c r="T609" s="687"/>
    </row>
    <row r="610" spans="1:20">
      <c r="A610" s="631" t="str">
        <f>'5号楼'!B590</f>
        <v>B4079</v>
      </c>
      <c r="B610" s="631">
        <f>'5号楼'!C590</f>
        <v>59.92</v>
      </c>
      <c r="C610" s="3167">
        <f t="shared" si="106"/>
        <v>1</v>
      </c>
      <c r="D610" s="633"/>
      <c r="E610" s="3167">
        <f t="shared" si="107"/>
        <v>1</v>
      </c>
      <c r="F610" s="633"/>
      <c r="G610" s="3167">
        <f t="shared" si="108"/>
        <v>1</v>
      </c>
      <c r="H610" s="633"/>
      <c r="I610" s="3167">
        <f t="shared" si="109"/>
        <v>1</v>
      </c>
      <c r="J610" s="633"/>
      <c r="K610" s="3167">
        <f t="shared" si="110"/>
        <v>1</v>
      </c>
      <c r="L610" s="633"/>
      <c r="M610" s="3167">
        <f t="shared" si="111"/>
        <v>1</v>
      </c>
      <c r="N610" s="633"/>
      <c r="O610" s="3167">
        <f t="shared" si="112"/>
        <v>1</v>
      </c>
      <c r="P610" s="3201" t="s">
        <v>4862</v>
      </c>
      <c r="Q610" s="3167">
        <f t="shared" si="113"/>
        <v>0.9</v>
      </c>
      <c r="R610" s="21">
        <f t="shared" ca="1" si="115"/>
        <v>16.720199999999998</v>
      </c>
      <c r="S610" s="901">
        <f t="shared" ca="1" si="114"/>
        <v>0</v>
      </c>
      <c r="T610" s="687"/>
    </row>
    <row r="611" spans="1:20">
      <c r="A611" s="631" t="str">
        <f>'5号楼'!B591</f>
        <v>B4080</v>
      </c>
      <c r="B611" s="631">
        <f>'5号楼'!C591</f>
        <v>59.92</v>
      </c>
      <c r="C611" s="3167">
        <f t="shared" si="106"/>
        <v>1</v>
      </c>
      <c r="D611" s="633"/>
      <c r="E611" s="3167">
        <f t="shared" si="107"/>
        <v>1</v>
      </c>
      <c r="F611" s="633"/>
      <c r="G611" s="3167">
        <f t="shared" si="108"/>
        <v>1</v>
      </c>
      <c r="H611" s="633"/>
      <c r="I611" s="3167">
        <f t="shared" si="109"/>
        <v>1</v>
      </c>
      <c r="J611" s="633"/>
      <c r="K611" s="3167">
        <f t="shared" si="110"/>
        <v>1</v>
      </c>
      <c r="L611" s="633"/>
      <c r="M611" s="3167">
        <f t="shared" si="111"/>
        <v>1</v>
      </c>
      <c r="N611" s="633"/>
      <c r="O611" s="3167">
        <f t="shared" si="112"/>
        <v>1</v>
      </c>
      <c r="P611" s="3201" t="s">
        <v>4862</v>
      </c>
      <c r="Q611" s="3167">
        <f t="shared" si="113"/>
        <v>0.9</v>
      </c>
      <c r="R611" s="21">
        <f t="shared" ca="1" si="115"/>
        <v>16.720199999999998</v>
      </c>
      <c r="S611" s="901">
        <f t="shared" ca="1" si="114"/>
        <v>0</v>
      </c>
      <c r="T611" s="687"/>
    </row>
    <row r="612" spans="1:20">
      <c r="A612" s="631" t="str">
        <f>'5号楼'!B592</f>
        <v>B4081</v>
      </c>
      <c r="B612" s="631">
        <f>'5号楼'!C592</f>
        <v>59.92</v>
      </c>
      <c r="C612" s="3167">
        <f t="shared" si="106"/>
        <v>1</v>
      </c>
      <c r="D612" s="633"/>
      <c r="E612" s="3167">
        <f t="shared" si="107"/>
        <v>1</v>
      </c>
      <c r="F612" s="633"/>
      <c r="G612" s="3167">
        <f t="shared" si="108"/>
        <v>1</v>
      </c>
      <c r="H612" s="633"/>
      <c r="I612" s="3167">
        <f t="shared" si="109"/>
        <v>1</v>
      </c>
      <c r="J612" s="633"/>
      <c r="K612" s="3167">
        <f t="shared" si="110"/>
        <v>1</v>
      </c>
      <c r="L612" s="633"/>
      <c r="M612" s="3167">
        <f t="shared" si="111"/>
        <v>1</v>
      </c>
      <c r="N612" s="633"/>
      <c r="O612" s="3167">
        <f t="shared" si="112"/>
        <v>1</v>
      </c>
      <c r="P612" s="3201" t="s">
        <v>4862</v>
      </c>
      <c r="Q612" s="3167">
        <f t="shared" si="113"/>
        <v>0.9</v>
      </c>
      <c r="R612" s="21">
        <f t="shared" ca="1" si="115"/>
        <v>16.720199999999998</v>
      </c>
      <c r="S612" s="901">
        <f t="shared" ca="1" si="114"/>
        <v>0</v>
      </c>
      <c r="T612" s="687"/>
    </row>
    <row r="613" spans="1:20">
      <c r="A613" s="631" t="str">
        <f>'5号楼'!B593</f>
        <v>B4082</v>
      </c>
      <c r="B613" s="631">
        <f>'5号楼'!C593</f>
        <v>59.92</v>
      </c>
      <c r="C613" s="3167">
        <f t="shared" si="106"/>
        <v>1</v>
      </c>
      <c r="D613" s="633"/>
      <c r="E613" s="3167">
        <f t="shared" si="107"/>
        <v>1</v>
      </c>
      <c r="F613" s="633"/>
      <c r="G613" s="3167">
        <f t="shared" si="108"/>
        <v>1</v>
      </c>
      <c r="H613" s="633"/>
      <c r="I613" s="3167">
        <f t="shared" si="109"/>
        <v>1</v>
      </c>
      <c r="J613" s="633"/>
      <c r="K613" s="3167">
        <f t="shared" si="110"/>
        <v>1</v>
      </c>
      <c r="L613" s="633"/>
      <c r="M613" s="3167">
        <f t="shared" si="111"/>
        <v>1</v>
      </c>
      <c r="N613" s="633"/>
      <c r="O613" s="3167">
        <f t="shared" si="112"/>
        <v>1</v>
      </c>
      <c r="P613" s="3201" t="s">
        <v>4862</v>
      </c>
      <c r="Q613" s="3167">
        <f t="shared" si="113"/>
        <v>0.9</v>
      </c>
      <c r="R613" s="21">
        <f t="shared" ca="1" si="115"/>
        <v>16.720199999999998</v>
      </c>
      <c r="S613" s="901">
        <f t="shared" ca="1" si="114"/>
        <v>0</v>
      </c>
      <c r="T613" s="687"/>
    </row>
    <row r="614" spans="1:20">
      <c r="A614" s="631" t="str">
        <f>'5号楼'!B594</f>
        <v>B4083</v>
      </c>
      <c r="B614" s="631">
        <f>'5号楼'!C594</f>
        <v>59.92</v>
      </c>
      <c r="C614" s="3167">
        <f t="shared" si="106"/>
        <v>1</v>
      </c>
      <c r="D614" s="633"/>
      <c r="E614" s="3167">
        <f t="shared" si="107"/>
        <v>1</v>
      </c>
      <c r="F614" s="633"/>
      <c r="G614" s="3167">
        <f t="shared" si="108"/>
        <v>1</v>
      </c>
      <c r="H614" s="633"/>
      <c r="I614" s="3167">
        <f t="shared" si="109"/>
        <v>1</v>
      </c>
      <c r="J614" s="633"/>
      <c r="K614" s="3167">
        <f t="shared" si="110"/>
        <v>1</v>
      </c>
      <c r="L614" s="633"/>
      <c r="M614" s="3167">
        <f t="shared" si="111"/>
        <v>1</v>
      </c>
      <c r="N614" s="633"/>
      <c r="O614" s="3167">
        <f t="shared" si="112"/>
        <v>1</v>
      </c>
      <c r="P614" s="3201" t="s">
        <v>4862</v>
      </c>
      <c r="Q614" s="3167">
        <f t="shared" si="113"/>
        <v>0.9</v>
      </c>
      <c r="R614" s="21">
        <f t="shared" ca="1" si="115"/>
        <v>16.720199999999998</v>
      </c>
      <c r="S614" s="901">
        <f t="shared" ca="1" si="114"/>
        <v>0</v>
      </c>
      <c r="T614" s="687"/>
    </row>
    <row r="615" spans="1:20">
      <c r="A615" s="631" t="str">
        <f>'5号楼'!B595</f>
        <v>B4084</v>
      </c>
      <c r="B615" s="631">
        <f>'5号楼'!C595</f>
        <v>59.92</v>
      </c>
      <c r="C615" s="3167">
        <f t="shared" si="106"/>
        <v>1</v>
      </c>
      <c r="D615" s="633"/>
      <c r="E615" s="3167">
        <f t="shared" si="107"/>
        <v>1</v>
      </c>
      <c r="F615" s="633"/>
      <c r="G615" s="3167">
        <f t="shared" si="108"/>
        <v>1</v>
      </c>
      <c r="H615" s="633"/>
      <c r="I615" s="3167">
        <f t="shared" si="109"/>
        <v>1</v>
      </c>
      <c r="J615" s="633"/>
      <c r="K615" s="3167">
        <f t="shared" si="110"/>
        <v>1</v>
      </c>
      <c r="L615" s="633"/>
      <c r="M615" s="3167">
        <f t="shared" si="111"/>
        <v>1</v>
      </c>
      <c r="N615" s="633"/>
      <c r="O615" s="3167">
        <f t="shared" si="112"/>
        <v>1</v>
      </c>
      <c r="P615" s="3201" t="s">
        <v>4862</v>
      </c>
      <c r="Q615" s="3167">
        <f t="shared" si="113"/>
        <v>0.9</v>
      </c>
      <c r="R615" s="21">
        <f t="shared" ca="1" si="115"/>
        <v>16.720199999999998</v>
      </c>
      <c r="S615" s="901">
        <f t="shared" ca="1" si="114"/>
        <v>0</v>
      </c>
      <c r="T615" s="687"/>
    </row>
    <row r="616" spans="1:20">
      <c r="A616" s="631" t="str">
        <f>'5号楼'!B596</f>
        <v>B4085</v>
      </c>
      <c r="B616" s="631">
        <f>'5号楼'!C596</f>
        <v>59.92</v>
      </c>
      <c r="C616" s="3167">
        <f t="shared" si="106"/>
        <v>1</v>
      </c>
      <c r="D616" s="633"/>
      <c r="E616" s="3167">
        <f t="shared" si="107"/>
        <v>1</v>
      </c>
      <c r="F616" s="633"/>
      <c r="G616" s="3167">
        <f t="shared" si="108"/>
        <v>1</v>
      </c>
      <c r="H616" s="633"/>
      <c r="I616" s="3167">
        <f t="shared" si="109"/>
        <v>1</v>
      </c>
      <c r="J616" s="633"/>
      <c r="K616" s="3167">
        <f t="shared" si="110"/>
        <v>1</v>
      </c>
      <c r="L616" s="633"/>
      <c r="M616" s="3167">
        <f t="shared" si="111"/>
        <v>1</v>
      </c>
      <c r="N616" s="633"/>
      <c r="O616" s="3167">
        <f t="shared" si="112"/>
        <v>1</v>
      </c>
      <c r="P616" s="3201" t="s">
        <v>4862</v>
      </c>
      <c r="Q616" s="3167">
        <f t="shared" si="113"/>
        <v>0.9</v>
      </c>
      <c r="R616" s="21">
        <f t="shared" ca="1" si="115"/>
        <v>16.720199999999998</v>
      </c>
      <c r="S616" s="901">
        <f t="shared" ca="1" si="114"/>
        <v>0</v>
      </c>
      <c r="T616" s="687"/>
    </row>
    <row r="617" spans="1:20">
      <c r="A617" s="631" t="str">
        <f>'5号楼'!B597</f>
        <v>B4086</v>
      </c>
      <c r="B617" s="631">
        <f>'5号楼'!C597</f>
        <v>59.92</v>
      </c>
      <c r="C617" s="3167">
        <f t="shared" si="106"/>
        <v>1</v>
      </c>
      <c r="D617" s="633"/>
      <c r="E617" s="3167">
        <f t="shared" si="107"/>
        <v>1</v>
      </c>
      <c r="F617" s="633"/>
      <c r="G617" s="3167">
        <f t="shared" si="108"/>
        <v>1</v>
      </c>
      <c r="H617" s="633"/>
      <c r="I617" s="3167">
        <f t="shared" si="109"/>
        <v>1</v>
      </c>
      <c r="J617" s="633"/>
      <c r="K617" s="3167">
        <f t="shared" si="110"/>
        <v>1</v>
      </c>
      <c r="L617" s="633"/>
      <c r="M617" s="3167">
        <f t="shared" si="111"/>
        <v>1</v>
      </c>
      <c r="N617" s="633"/>
      <c r="O617" s="3167">
        <f t="shared" si="112"/>
        <v>1</v>
      </c>
      <c r="P617" s="3201" t="s">
        <v>4862</v>
      </c>
      <c r="Q617" s="3167">
        <f t="shared" si="113"/>
        <v>0.9</v>
      </c>
      <c r="R617" s="21">
        <f t="shared" ca="1" si="115"/>
        <v>16.720199999999998</v>
      </c>
      <c r="S617" s="901">
        <f t="shared" ca="1" si="114"/>
        <v>0</v>
      </c>
      <c r="T617" s="687"/>
    </row>
    <row r="618" spans="1:20">
      <c r="A618" s="631" t="str">
        <f>'5号楼'!B598</f>
        <v>B4087</v>
      </c>
      <c r="B618" s="631">
        <f>'5号楼'!C598</f>
        <v>59.92</v>
      </c>
      <c r="C618" s="3167">
        <f t="shared" si="106"/>
        <v>1</v>
      </c>
      <c r="D618" s="633"/>
      <c r="E618" s="3167">
        <f t="shared" si="107"/>
        <v>1</v>
      </c>
      <c r="F618" s="633"/>
      <c r="G618" s="3167">
        <f t="shared" si="108"/>
        <v>1</v>
      </c>
      <c r="H618" s="633"/>
      <c r="I618" s="3167">
        <f t="shared" si="109"/>
        <v>1</v>
      </c>
      <c r="J618" s="633"/>
      <c r="K618" s="3167">
        <f t="shared" si="110"/>
        <v>1</v>
      </c>
      <c r="L618" s="633"/>
      <c r="M618" s="3167">
        <f t="shared" si="111"/>
        <v>1</v>
      </c>
      <c r="N618" s="633"/>
      <c r="O618" s="3167">
        <f t="shared" si="112"/>
        <v>1</v>
      </c>
      <c r="P618" s="3201" t="s">
        <v>4862</v>
      </c>
      <c r="Q618" s="3167">
        <f t="shared" si="113"/>
        <v>0.9</v>
      </c>
      <c r="R618" s="21">
        <f t="shared" ca="1" si="115"/>
        <v>16.720199999999998</v>
      </c>
      <c r="S618" s="901">
        <f t="shared" ca="1" si="114"/>
        <v>0</v>
      </c>
      <c r="T618" s="687"/>
    </row>
    <row r="619" spans="1:20">
      <c r="A619" s="631" t="str">
        <f>'5号楼'!B599</f>
        <v>B4088</v>
      </c>
      <c r="B619" s="631">
        <f>'5号楼'!C599</f>
        <v>59.92</v>
      </c>
      <c r="C619" s="3167">
        <f t="shared" si="106"/>
        <v>1</v>
      </c>
      <c r="D619" s="633"/>
      <c r="E619" s="3167">
        <f t="shared" si="107"/>
        <v>1</v>
      </c>
      <c r="F619" s="633"/>
      <c r="G619" s="3167">
        <f t="shared" si="108"/>
        <v>1</v>
      </c>
      <c r="H619" s="633"/>
      <c r="I619" s="3167">
        <f t="shared" si="109"/>
        <v>1</v>
      </c>
      <c r="J619" s="633"/>
      <c r="K619" s="3167">
        <f t="shared" si="110"/>
        <v>1</v>
      </c>
      <c r="L619" s="633"/>
      <c r="M619" s="3167">
        <f t="shared" si="111"/>
        <v>1</v>
      </c>
      <c r="N619" s="633"/>
      <c r="O619" s="3167">
        <f t="shared" si="112"/>
        <v>1</v>
      </c>
      <c r="P619" s="3201" t="s">
        <v>4862</v>
      </c>
      <c r="Q619" s="3167">
        <f t="shared" si="113"/>
        <v>0.9</v>
      </c>
      <c r="R619" s="21">
        <f t="shared" ca="1" si="115"/>
        <v>16.720199999999998</v>
      </c>
      <c r="S619" s="901">
        <f t="shared" ca="1" si="114"/>
        <v>0</v>
      </c>
      <c r="T619" s="687"/>
    </row>
    <row r="620" spans="1:20">
      <c r="A620" s="631" t="str">
        <f>'5号楼'!B600</f>
        <v>B4089</v>
      </c>
      <c r="B620" s="631">
        <f>'5号楼'!C600</f>
        <v>50.93</v>
      </c>
      <c r="C620" s="3167">
        <f t="shared" si="106"/>
        <v>1</v>
      </c>
      <c r="D620" s="633"/>
      <c r="E620" s="3167">
        <f t="shared" si="107"/>
        <v>1</v>
      </c>
      <c r="F620" s="633"/>
      <c r="G620" s="3167">
        <f t="shared" si="108"/>
        <v>1</v>
      </c>
      <c r="H620" s="633"/>
      <c r="I620" s="3167">
        <f t="shared" si="109"/>
        <v>1</v>
      </c>
      <c r="J620" s="633"/>
      <c r="K620" s="3167">
        <f t="shared" si="110"/>
        <v>1</v>
      </c>
      <c r="L620" s="633"/>
      <c r="M620" s="3167">
        <f t="shared" si="111"/>
        <v>1</v>
      </c>
      <c r="N620" s="633"/>
      <c r="O620" s="3167">
        <f t="shared" si="112"/>
        <v>1</v>
      </c>
      <c r="P620" s="3201" t="s">
        <v>4862</v>
      </c>
      <c r="Q620" s="3167">
        <f t="shared" si="113"/>
        <v>0.9</v>
      </c>
      <c r="R620" s="21">
        <f t="shared" ca="1" si="115"/>
        <v>16.720199999999998</v>
      </c>
      <c r="S620" s="901">
        <f t="shared" ca="1" si="114"/>
        <v>0</v>
      </c>
      <c r="T620" s="687"/>
    </row>
    <row r="621" spans="1:20">
      <c r="A621" s="631" t="str">
        <f>'5号楼'!B601</f>
        <v>B4090</v>
      </c>
      <c r="B621" s="631">
        <f>'5号楼'!C601</f>
        <v>50.93</v>
      </c>
      <c r="C621" s="3167">
        <f t="shared" si="106"/>
        <v>1</v>
      </c>
      <c r="D621" s="633"/>
      <c r="E621" s="3167">
        <f t="shared" si="107"/>
        <v>1</v>
      </c>
      <c r="F621" s="633"/>
      <c r="G621" s="3167">
        <f t="shared" si="108"/>
        <v>1</v>
      </c>
      <c r="H621" s="633"/>
      <c r="I621" s="3167">
        <f t="shared" si="109"/>
        <v>1</v>
      </c>
      <c r="J621" s="633"/>
      <c r="K621" s="3167">
        <f t="shared" si="110"/>
        <v>1</v>
      </c>
      <c r="L621" s="633"/>
      <c r="M621" s="3167">
        <f t="shared" si="111"/>
        <v>1</v>
      </c>
      <c r="N621" s="633"/>
      <c r="O621" s="3167">
        <f t="shared" si="112"/>
        <v>1</v>
      </c>
      <c r="P621" s="3201" t="s">
        <v>4862</v>
      </c>
      <c r="Q621" s="3167">
        <f t="shared" si="113"/>
        <v>0.9</v>
      </c>
      <c r="R621" s="21">
        <f t="shared" ca="1" si="115"/>
        <v>16.720199999999998</v>
      </c>
      <c r="S621" s="901">
        <f t="shared" ca="1" si="114"/>
        <v>0</v>
      </c>
      <c r="T621" s="687"/>
    </row>
    <row r="622" spans="1:20">
      <c r="A622" s="631" t="str">
        <f>'5号楼'!B602</f>
        <v>B4091</v>
      </c>
      <c r="B622" s="631">
        <f>'5号楼'!C602</f>
        <v>50.93</v>
      </c>
      <c r="C622" s="3167">
        <f t="shared" si="106"/>
        <v>1</v>
      </c>
      <c r="D622" s="633"/>
      <c r="E622" s="3167">
        <f t="shared" si="107"/>
        <v>1</v>
      </c>
      <c r="F622" s="633"/>
      <c r="G622" s="3167">
        <f t="shared" si="108"/>
        <v>1</v>
      </c>
      <c r="H622" s="633"/>
      <c r="I622" s="3167">
        <f t="shared" si="109"/>
        <v>1</v>
      </c>
      <c r="J622" s="633"/>
      <c r="K622" s="3167">
        <f t="shared" si="110"/>
        <v>1</v>
      </c>
      <c r="L622" s="633"/>
      <c r="M622" s="3167">
        <f t="shared" si="111"/>
        <v>1</v>
      </c>
      <c r="N622" s="633"/>
      <c r="O622" s="3167">
        <f t="shared" si="112"/>
        <v>1</v>
      </c>
      <c r="P622" s="3201" t="s">
        <v>4862</v>
      </c>
      <c r="Q622" s="3167">
        <f t="shared" si="113"/>
        <v>0.9</v>
      </c>
      <c r="R622" s="21">
        <f t="shared" ca="1" si="115"/>
        <v>16.720199999999998</v>
      </c>
      <c r="S622" s="901">
        <f t="shared" ca="1" si="114"/>
        <v>0</v>
      </c>
      <c r="T622" s="687"/>
    </row>
    <row r="623" spans="1:20">
      <c r="A623" s="631" t="str">
        <f>'5号楼'!B603</f>
        <v>B4092</v>
      </c>
      <c r="B623" s="631">
        <f>'5号楼'!C603</f>
        <v>50.93</v>
      </c>
      <c r="C623" s="3167">
        <f t="shared" si="106"/>
        <v>1</v>
      </c>
      <c r="D623" s="633"/>
      <c r="E623" s="3167">
        <f t="shared" si="107"/>
        <v>1</v>
      </c>
      <c r="F623" s="633"/>
      <c r="G623" s="3167">
        <f t="shared" si="108"/>
        <v>1</v>
      </c>
      <c r="H623" s="633"/>
      <c r="I623" s="3167">
        <f t="shared" si="109"/>
        <v>1</v>
      </c>
      <c r="J623" s="633"/>
      <c r="K623" s="3167">
        <f t="shared" si="110"/>
        <v>1</v>
      </c>
      <c r="L623" s="633"/>
      <c r="M623" s="3167">
        <f t="shared" si="111"/>
        <v>1</v>
      </c>
      <c r="N623" s="633"/>
      <c r="O623" s="3167">
        <f t="shared" si="112"/>
        <v>1</v>
      </c>
      <c r="P623" s="3201" t="s">
        <v>4862</v>
      </c>
      <c r="Q623" s="3167">
        <f t="shared" si="113"/>
        <v>0.9</v>
      </c>
      <c r="R623" s="21">
        <f t="shared" ca="1" si="115"/>
        <v>16.720199999999998</v>
      </c>
      <c r="S623" s="901">
        <f t="shared" ca="1" si="114"/>
        <v>0</v>
      </c>
      <c r="T623" s="687"/>
    </row>
    <row r="624" spans="1:20">
      <c r="A624" s="631" t="str">
        <f>'5号楼'!B604</f>
        <v>B4093</v>
      </c>
      <c r="B624" s="631">
        <f>'5号楼'!C604</f>
        <v>50.93</v>
      </c>
      <c r="C624" s="3167">
        <f t="shared" si="106"/>
        <v>1</v>
      </c>
      <c r="D624" s="633"/>
      <c r="E624" s="3167">
        <f t="shared" si="107"/>
        <v>1</v>
      </c>
      <c r="F624" s="633"/>
      <c r="G624" s="3167">
        <f t="shared" si="108"/>
        <v>1</v>
      </c>
      <c r="H624" s="633"/>
      <c r="I624" s="3167">
        <f t="shared" si="109"/>
        <v>1</v>
      </c>
      <c r="J624" s="633"/>
      <c r="K624" s="3167">
        <f t="shared" si="110"/>
        <v>1</v>
      </c>
      <c r="L624" s="633"/>
      <c r="M624" s="3167">
        <f t="shared" si="111"/>
        <v>1</v>
      </c>
      <c r="N624" s="633"/>
      <c r="O624" s="3167">
        <f t="shared" si="112"/>
        <v>1</v>
      </c>
      <c r="P624" s="3201" t="s">
        <v>4862</v>
      </c>
      <c r="Q624" s="3167">
        <f t="shared" si="113"/>
        <v>0.9</v>
      </c>
      <c r="R624" s="21">
        <f t="shared" ca="1" si="115"/>
        <v>16.720199999999998</v>
      </c>
      <c r="S624" s="901">
        <f t="shared" ca="1" si="114"/>
        <v>0</v>
      </c>
      <c r="T624" s="687"/>
    </row>
    <row r="625" spans="1:20">
      <c r="A625" s="631" t="str">
        <f>'5号楼'!B605</f>
        <v>B4094</v>
      </c>
      <c r="B625" s="631">
        <f>'5号楼'!C605</f>
        <v>50.93</v>
      </c>
      <c r="C625" s="3167">
        <f t="shared" si="106"/>
        <v>1</v>
      </c>
      <c r="D625" s="633"/>
      <c r="E625" s="3167">
        <f t="shared" si="107"/>
        <v>1</v>
      </c>
      <c r="F625" s="633"/>
      <c r="G625" s="3167">
        <f t="shared" si="108"/>
        <v>1</v>
      </c>
      <c r="H625" s="633"/>
      <c r="I625" s="3167">
        <f t="shared" si="109"/>
        <v>1</v>
      </c>
      <c r="J625" s="633"/>
      <c r="K625" s="3167">
        <f t="shared" si="110"/>
        <v>1</v>
      </c>
      <c r="L625" s="633"/>
      <c r="M625" s="3167">
        <f t="shared" si="111"/>
        <v>1</v>
      </c>
      <c r="N625" s="633"/>
      <c r="O625" s="3167">
        <f t="shared" si="112"/>
        <v>1</v>
      </c>
      <c r="P625" s="3201" t="s">
        <v>4862</v>
      </c>
      <c r="Q625" s="3167">
        <f t="shared" si="113"/>
        <v>0.9</v>
      </c>
      <c r="R625" s="21">
        <f t="shared" ca="1" si="115"/>
        <v>16.720199999999998</v>
      </c>
      <c r="S625" s="901">
        <f t="shared" ca="1" si="114"/>
        <v>0</v>
      </c>
      <c r="T625" s="687"/>
    </row>
    <row r="626" spans="1:20">
      <c r="A626" s="631" t="str">
        <f>'5号楼'!B606</f>
        <v>B4095</v>
      </c>
      <c r="B626" s="631">
        <f>'5号楼'!C606</f>
        <v>50.93</v>
      </c>
      <c r="C626" s="3167">
        <f t="shared" si="106"/>
        <v>1</v>
      </c>
      <c r="D626" s="633"/>
      <c r="E626" s="3167">
        <f t="shared" si="107"/>
        <v>1</v>
      </c>
      <c r="F626" s="633"/>
      <c r="G626" s="3167">
        <f t="shared" si="108"/>
        <v>1</v>
      </c>
      <c r="H626" s="633"/>
      <c r="I626" s="3167">
        <f t="shared" si="109"/>
        <v>1</v>
      </c>
      <c r="J626" s="633"/>
      <c r="K626" s="3167">
        <f t="shared" si="110"/>
        <v>1</v>
      </c>
      <c r="L626" s="633"/>
      <c r="M626" s="3167">
        <f t="shared" si="111"/>
        <v>1</v>
      </c>
      <c r="N626" s="633"/>
      <c r="O626" s="3167">
        <f t="shared" si="112"/>
        <v>1</v>
      </c>
      <c r="P626" s="3201" t="s">
        <v>4862</v>
      </c>
      <c r="Q626" s="3167">
        <f t="shared" si="113"/>
        <v>0.9</v>
      </c>
      <c r="R626" s="21">
        <f t="shared" ca="1" si="115"/>
        <v>16.720199999999998</v>
      </c>
      <c r="S626" s="901">
        <f t="shared" ca="1" si="114"/>
        <v>0</v>
      </c>
      <c r="T626" s="687"/>
    </row>
    <row r="627" spans="1:20">
      <c r="A627" s="631" t="str">
        <f>'5号楼'!B607</f>
        <v>B4096</v>
      </c>
      <c r="B627" s="631">
        <f>'5号楼'!C607</f>
        <v>50.93</v>
      </c>
      <c r="C627" s="3167">
        <f t="shared" si="106"/>
        <v>1</v>
      </c>
      <c r="D627" s="633"/>
      <c r="E627" s="3167">
        <f t="shared" si="107"/>
        <v>1</v>
      </c>
      <c r="F627" s="633"/>
      <c r="G627" s="3167">
        <f t="shared" si="108"/>
        <v>1</v>
      </c>
      <c r="H627" s="633"/>
      <c r="I627" s="3167">
        <f t="shared" si="109"/>
        <v>1</v>
      </c>
      <c r="J627" s="633"/>
      <c r="K627" s="3167">
        <f t="shared" si="110"/>
        <v>1</v>
      </c>
      <c r="L627" s="633"/>
      <c r="M627" s="3167">
        <f t="shared" si="111"/>
        <v>1</v>
      </c>
      <c r="N627" s="633"/>
      <c r="O627" s="3167">
        <f t="shared" si="112"/>
        <v>1</v>
      </c>
      <c r="P627" s="3201" t="s">
        <v>4862</v>
      </c>
      <c r="Q627" s="3167">
        <f t="shared" si="113"/>
        <v>0.9</v>
      </c>
      <c r="R627" s="21">
        <f t="shared" ca="1" si="115"/>
        <v>16.720199999999998</v>
      </c>
      <c r="S627" s="901">
        <f t="shared" ca="1" si="114"/>
        <v>0</v>
      </c>
      <c r="T627" s="687"/>
    </row>
    <row r="628" spans="1:20">
      <c r="A628" s="631" t="str">
        <f>'5号楼'!B608</f>
        <v>B4097</v>
      </c>
      <c r="B628" s="631">
        <f>'5号楼'!C608</f>
        <v>50.93</v>
      </c>
      <c r="C628" s="3167">
        <f t="shared" si="106"/>
        <v>1</v>
      </c>
      <c r="D628" s="633"/>
      <c r="E628" s="3167">
        <f t="shared" si="107"/>
        <v>1</v>
      </c>
      <c r="F628" s="633"/>
      <c r="G628" s="3167">
        <f t="shared" si="108"/>
        <v>1</v>
      </c>
      <c r="H628" s="633"/>
      <c r="I628" s="3167">
        <f t="shared" si="109"/>
        <v>1</v>
      </c>
      <c r="J628" s="633"/>
      <c r="K628" s="3167">
        <f t="shared" si="110"/>
        <v>1</v>
      </c>
      <c r="L628" s="633"/>
      <c r="M628" s="3167">
        <f t="shared" si="111"/>
        <v>1</v>
      </c>
      <c r="N628" s="633"/>
      <c r="O628" s="3167">
        <f t="shared" si="112"/>
        <v>1</v>
      </c>
      <c r="P628" s="3201" t="s">
        <v>4862</v>
      </c>
      <c r="Q628" s="3167">
        <f t="shared" si="113"/>
        <v>0.9</v>
      </c>
      <c r="R628" s="21">
        <f t="shared" ca="1" si="115"/>
        <v>16.720199999999998</v>
      </c>
      <c r="S628" s="901">
        <f t="shared" ca="1" si="114"/>
        <v>0</v>
      </c>
      <c r="T628" s="687"/>
    </row>
    <row r="629" spans="1:20">
      <c r="A629" s="631" t="str">
        <f>'5号楼'!B609</f>
        <v>B4098</v>
      </c>
      <c r="B629" s="631">
        <f>'5号楼'!C609</f>
        <v>50.93</v>
      </c>
      <c r="C629" s="3167">
        <f t="shared" si="106"/>
        <v>1</v>
      </c>
      <c r="D629" s="633"/>
      <c r="E629" s="3167">
        <f t="shared" si="107"/>
        <v>1</v>
      </c>
      <c r="F629" s="633"/>
      <c r="G629" s="3167">
        <f t="shared" si="108"/>
        <v>1</v>
      </c>
      <c r="H629" s="633"/>
      <c r="I629" s="3167">
        <f t="shared" si="109"/>
        <v>1</v>
      </c>
      <c r="J629" s="633"/>
      <c r="K629" s="3167">
        <f t="shared" si="110"/>
        <v>1</v>
      </c>
      <c r="L629" s="633"/>
      <c r="M629" s="3167">
        <f t="shared" si="111"/>
        <v>1</v>
      </c>
      <c r="N629" s="633"/>
      <c r="O629" s="3167">
        <f t="shared" si="112"/>
        <v>1</v>
      </c>
      <c r="P629" s="3201" t="s">
        <v>4862</v>
      </c>
      <c r="Q629" s="3167">
        <f t="shared" si="113"/>
        <v>0.9</v>
      </c>
      <c r="R629" s="21">
        <f t="shared" ca="1" si="115"/>
        <v>16.720199999999998</v>
      </c>
      <c r="S629" s="901">
        <f t="shared" ca="1" si="114"/>
        <v>0</v>
      </c>
      <c r="T629" s="687"/>
    </row>
    <row r="630" spans="1:20">
      <c r="A630" s="631" t="str">
        <f>'5号楼'!B610</f>
        <v>B4099</v>
      </c>
      <c r="B630" s="631">
        <f>'5号楼'!C610</f>
        <v>50.93</v>
      </c>
      <c r="C630" s="3167">
        <f t="shared" si="106"/>
        <v>1</v>
      </c>
      <c r="D630" s="633"/>
      <c r="E630" s="3167">
        <f t="shared" si="107"/>
        <v>1</v>
      </c>
      <c r="F630" s="633"/>
      <c r="G630" s="3167">
        <f t="shared" si="108"/>
        <v>1</v>
      </c>
      <c r="H630" s="633"/>
      <c r="I630" s="3167">
        <f t="shared" si="109"/>
        <v>1</v>
      </c>
      <c r="J630" s="633"/>
      <c r="K630" s="3167">
        <f t="shared" si="110"/>
        <v>1</v>
      </c>
      <c r="L630" s="633"/>
      <c r="M630" s="3167">
        <f t="shared" si="111"/>
        <v>1</v>
      </c>
      <c r="N630" s="633"/>
      <c r="O630" s="3167">
        <f t="shared" si="112"/>
        <v>1</v>
      </c>
      <c r="P630" s="3201" t="s">
        <v>4862</v>
      </c>
      <c r="Q630" s="3167">
        <f t="shared" si="113"/>
        <v>0.9</v>
      </c>
      <c r="R630" s="21">
        <f t="shared" ca="1" si="115"/>
        <v>16.720199999999998</v>
      </c>
      <c r="S630" s="901">
        <f t="shared" ca="1" si="114"/>
        <v>0</v>
      </c>
      <c r="T630" s="687"/>
    </row>
    <row r="631" spans="1:20">
      <c r="A631" s="631" t="str">
        <f>'5号楼'!B611</f>
        <v>B4100</v>
      </c>
      <c r="B631" s="631">
        <f>'5号楼'!C611</f>
        <v>50.93</v>
      </c>
      <c r="C631" s="3167">
        <f t="shared" si="106"/>
        <v>1</v>
      </c>
      <c r="D631" s="633"/>
      <c r="E631" s="3167">
        <f t="shared" si="107"/>
        <v>1</v>
      </c>
      <c r="F631" s="633"/>
      <c r="G631" s="3167">
        <f t="shared" si="108"/>
        <v>1</v>
      </c>
      <c r="H631" s="633"/>
      <c r="I631" s="3167">
        <f t="shared" si="109"/>
        <v>1</v>
      </c>
      <c r="J631" s="633"/>
      <c r="K631" s="3167">
        <f t="shared" si="110"/>
        <v>1</v>
      </c>
      <c r="L631" s="633"/>
      <c r="M631" s="3167">
        <f t="shared" si="111"/>
        <v>1</v>
      </c>
      <c r="N631" s="633"/>
      <c r="O631" s="3167">
        <f t="shared" si="112"/>
        <v>1</v>
      </c>
      <c r="P631" s="3201" t="s">
        <v>4862</v>
      </c>
      <c r="Q631" s="3167">
        <f t="shared" si="113"/>
        <v>0.9</v>
      </c>
      <c r="R631" s="21">
        <f t="shared" ca="1" si="115"/>
        <v>16.720199999999998</v>
      </c>
      <c r="S631" s="901">
        <f t="shared" ca="1" si="114"/>
        <v>0</v>
      </c>
      <c r="T631" s="687"/>
    </row>
    <row r="632" spans="1:20">
      <c r="A632" s="631" t="str">
        <f>'5号楼'!B612</f>
        <v>B4101</v>
      </c>
      <c r="B632" s="631">
        <f>'5号楼'!C612</f>
        <v>50.93</v>
      </c>
      <c r="C632" s="3167">
        <f t="shared" si="106"/>
        <v>1</v>
      </c>
      <c r="D632" s="633"/>
      <c r="E632" s="3167">
        <f t="shared" si="107"/>
        <v>1</v>
      </c>
      <c r="F632" s="633"/>
      <c r="G632" s="3167">
        <f t="shared" si="108"/>
        <v>1</v>
      </c>
      <c r="H632" s="633"/>
      <c r="I632" s="3167">
        <f t="shared" si="109"/>
        <v>1</v>
      </c>
      <c r="J632" s="633"/>
      <c r="K632" s="3167">
        <f t="shared" si="110"/>
        <v>1</v>
      </c>
      <c r="L632" s="633"/>
      <c r="M632" s="3167">
        <f t="shared" si="111"/>
        <v>1</v>
      </c>
      <c r="N632" s="633"/>
      <c r="O632" s="3167">
        <f t="shared" si="112"/>
        <v>1</v>
      </c>
      <c r="P632" s="3201" t="s">
        <v>4862</v>
      </c>
      <c r="Q632" s="3167">
        <f t="shared" si="113"/>
        <v>0.9</v>
      </c>
      <c r="R632" s="21">
        <f t="shared" ca="1" si="115"/>
        <v>16.720199999999998</v>
      </c>
      <c r="S632" s="901">
        <f t="shared" ca="1" si="114"/>
        <v>0</v>
      </c>
      <c r="T632" s="687"/>
    </row>
    <row r="633" spans="1:20">
      <c r="A633" s="631" t="str">
        <f>'5号楼'!B613</f>
        <v>B4102</v>
      </c>
      <c r="B633" s="631">
        <f>'5号楼'!C613</f>
        <v>50.93</v>
      </c>
      <c r="C633" s="3167">
        <f t="shared" si="106"/>
        <v>1</v>
      </c>
      <c r="D633" s="633"/>
      <c r="E633" s="3167">
        <f t="shared" si="107"/>
        <v>1</v>
      </c>
      <c r="F633" s="633"/>
      <c r="G633" s="3167">
        <f t="shared" si="108"/>
        <v>1</v>
      </c>
      <c r="H633" s="633"/>
      <c r="I633" s="3167">
        <f t="shared" si="109"/>
        <v>1</v>
      </c>
      <c r="J633" s="633"/>
      <c r="K633" s="3167">
        <f t="shared" si="110"/>
        <v>1</v>
      </c>
      <c r="L633" s="633"/>
      <c r="M633" s="3167">
        <f t="shared" si="111"/>
        <v>1</v>
      </c>
      <c r="N633" s="633"/>
      <c r="O633" s="3167">
        <f t="shared" si="112"/>
        <v>1</v>
      </c>
      <c r="P633" s="3201" t="s">
        <v>4862</v>
      </c>
      <c r="Q633" s="3167">
        <f t="shared" si="113"/>
        <v>0.9</v>
      </c>
      <c r="R633" s="21">
        <f t="shared" ca="1" si="115"/>
        <v>16.720199999999998</v>
      </c>
      <c r="S633" s="901">
        <f t="shared" ca="1" si="114"/>
        <v>0</v>
      </c>
      <c r="T633" s="687"/>
    </row>
    <row r="634" spans="1:20">
      <c r="A634" s="631" t="str">
        <f>'5号楼'!B614</f>
        <v>B4103</v>
      </c>
      <c r="B634" s="631">
        <f>'5号楼'!C614</f>
        <v>52.93</v>
      </c>
      <c r="C634" s="3167">
        <f t="shared" si="106"/>
        <v>1</v>
      </c>
      <c r="D634" s="633"/>
      <c r="E634" s="3167">
        <f t="shared" si="107"/>
        <v>1</v>
      </c>
      <c r="F634" s="633"/>
      <c r="G634" s="3167">
        <f t="shared" si="108"/>
        <v>1</v>
      </c>
      <c r="H634" s="633"/>
      <c r="I634" s="3167">
        <f t="shared" si="109"/>
        <v>1</v>
      </c>
      <c r="J634" s="633"/>
      <c r="K634" s="3167">
        <f t="shared" si="110"/>
        <v>1</v>
      </c>
      <c r="L634" s="633"/>
      <c r="M634" s="3167">
        <f t="shared" si="111"/>
        <v>1</v>
      </c>
      <c r="N634" s="633"/>
      <c r="O634" s="3167">
        <f t="shared" si="112"/>
        <v>1</v>
      </c>
      <c r="P634" s="3201" t="s">
        <v>4862</v>
      </c>
      <c r="Q634" s="3167">
        <f t="shared" si="113"/>
        <v>0.9</v>
      </c>
      <c r="R634" s="21">
        <f t="shared" ca="1" si="115"/>
        <v>16.720199999999998</v>
      </c>
      <c r="S634" s="901">
        <f t="shared" ca="1" si="114"/>
        <v>0</v>
      </c>
      <c r="T634" s="687"/>
    </row>
    <row r="635" spans="1:20">
      <c r="A635" s="631" t="str">
        <f>'5号楼'!B615</f>
        <v>B4104</v>
      </c>
      <c r="B635" s="631">
        <f>'5号楼'!C615</f>
        <v>52.93</v>
      </c>
      <c r="C635" s="3167">
        <f t="shared" si="106"/>
        <v>1</v>
      </c>
      <c r="D635" s="633"/>
      <c r="E635" s="3167">
        <f t="shared" si="107"/>
        <v>1</v>
      </c>
      <c r="F635" s="633"/>
      <c r="G635" s="3167">
        <f t="shared" si="108"/>
        <v>1</v>
      </c>
      <c r="H635" s="633"/>
      <c r="I635" s="3167">
        <f t="shared" si="109"/>
        <v>1</v>
      </c>
      <c r="J635" s="633"/>
      <c r="K635" s="3167">
        <f t="shared" si="110"/>
        <v>1</v>
      </c>
      <c r="L635" s="633"/>
      <c r="M635" s="3167">
        <f t="shared" si="111"/>
        <v>1</v>
      </c>
      <c r="N635" s="633"/>
      <c r="O635" s="3167">
        <f t="shared" si="112"/>
        <v>1</v>
      </c>
      <c r="P635" s="3201" t="s">
        <v>4862</v>
      </c>
      <c r="Q635" s="3167">
        <f t="shared" si="113"/>
        <v>0.9</v>
      </c>
      <c r="R635" s="21">
        <f t="shared" ca="1" si="115"/>
        <v>16.720199999999998</v>
      </c>
      <c r="S635" s="901">
        <f t="shared" ca="1" si="114"/>
        <v>0</v>
      </c>
      <c r="T635" s="687"/>
    </row>
    <row r="636" spans="1:20">
      <c r="A636" s="631" t="str">
        <f>'5号楼'!B616</f>
        <v>B4105</v>
      </c>
      <c r="B636" s="631">
        <f>'5号楼'!C616</f>
        <v>52.93</v>
      </c>
      <c r="C636" s="3167">
        <f t="shared" si="106"/>
        <v>1</v>
      </c>
      <c r="D636" s="633"/>
      <c r="E636" s="3167">
        <f t="shared" si="107"/>
        <v>1</v>
      </c>
      <c r="F636" s="633"/>
      <c r="G636" s="3167">
        <f t="shared" si="108"/>
        <v>1</v>
      </c>
      <c r="H636" s="633"/>
      <c r="I636" s="3167">
        <f t="shared" si="109"/>
        <v>1</v>
      </c>
      <c r="J636" s="633"/>
      <c r="K636" s="3167">
        <f t="shared" si="110"/>
        <v>1</v>
      </c>
      <c r="L636" s="633"/>
      <c r="M636" s="3167">
        <f t="shared" si="111"/>
        <v>1</v>
      </c>
      <c r="N636" s="633"/>
      <c r="O636" s="3167">
        <f t="shared" si="112"/>
        <v>1</v>
      </c>
      <c r="P636" s="3201" t="s">
        <v>4862</v>
      </c>
      <c r="Q636" s="3167">
        <f t="shared" si="113"/>
        <v>0.9</v>
      </c>
      <c r="R636" s="21">
        <f t="shared" ca="1" si="115"/>
        <v>16.720199999999998</v>
      </c>
      <c r="S636" s="901">
        <f t="shared" ca="1" si="114"/>
        <v>0</v>
      </c>
      <c r="T636" s="687"/>
    </row>
    <row r="637" spans="1:20">
      <c r="A637" s="631" t="str">
        <f>'5号楼'!B617</f>
        <v>B4106</v>
      </c>
      <c r="B637" s="631">
        <f>'5号楼'!C617</f>
        <v>52.93</v>
      </c>
      <c r="C637" s="3167">
        <f t="shared" si="106"/>
        <v>1</v>
      </c>
      <c r="D637" s="633"/>
      <c r="E637" s="3167">
        <f t="shared" si="107"/>
        <v>1</v>
      </c>
      <c r="F637" s="633"/>
      <c r="G637" s="3167">
        <f t="shared" si="108"/>
        <v>1</v>
      </c>
      <c r="H637" s="633"/>
      <c r="I637" s="3167">
        <f t="shared" si="109"/>
        <v>1</v>
      </c>
      <c r="J637" s="633"/>
      <c r="K637" s="3167">
        <f t="shared" si="110"/>
        <v>1</v>
      </c>
      <c r="L637" s="633"/>
      <c r="M637" s="3167">
        <f t="shared" si="111"/>
        <v>1</v>
      </c>
      <c r="N637" s="633"/>
      <c r="O637" s="3167">
        <f t="shared" si="112"/>
        <v>1</v>
      </c>
      <c r="P637" s="3201" t="s">
        <v>4862</v>
      </c>
      <c r="Q637" s="3167">
        <f t="shared" si="113"/>
        <v>0.9</v>
      </c>
      <c r="R637" s="21">
        <f t="shared" ca="1" si="115"/>
        <v>16.720199999999998</v>
      </c>
      <c r="S637" s="901">
        <f t="shared" ca="1" si="114"/>
        <v>0</v>
      </c>
      <c r="T637" s="687"/>
    </row>
    <row r="638" spans="1:20">
      <c r="A638" s="631" t="str">
        <f>'5号楼'!B618</f>
        <v>B4107</v>
      </c>
      <c r="B638" s="631">
        <f>'5号楼'!C618</f>
        <v>52.93</v>
      </c>
      <c r="C638" s="3167">
        <f t="shared" si="106"/>
        <v>1</v>
      </c>
      <c r="D638" s="633"/>
      <c r="E638" s="3167">
        <f t="shared" si="107"/>
        <v>1</v>
      </c>
      <c r="F638" s="633"/>
      <c r="G638" s="3167">
        <f t="shared" si="108"/>
        <v>1</v>
      </c>
      <c r="H638" s="633"/>
      <c r="I638" s="3167">
        <f t="shared" si="109"/>
        <v>1</v>
      </c>
      <c r="J638" s="633"/>
      <c r="K638" s="3167">
        <f t="shared" si="110"/>
        <v>1</v>
      </c>
      <c r="L638" s="633"/>
      <c r="M638" s="3167">
        <f t="shared" si="111"/>
        <v>1</v>
      </c>
      <c r="N638" s="633"/>
      <c r="O638" s="3167">
        <f t="shared" si="112"/>
        <v>1</v>
      </c>
      <c r="P638" s="3201" t="s">
        <v>4862</v>
      </c>
      <c r="Q638" s="3167">
        <f t="shared" si="113"/>
        <v>0.9</v>
      </c>
      <c r="R638" s="21">
        <f t="shared" ca="1" si="115"/>
        <v>16.720199999999998</v>
      </c>
      <c r="S638" s="901">
        <f t="shared" ca="1" si="114"/>
        <v>0</v>
      </c>
      <c r="T638" s="687"/>
    </row>
    <row r="639" spans="1:20">
      <c r="A639" s="631" t="str">
        <f>'5号楼'!B619</f>
        <v>B4108</v>
      </c>
      <c r="B639" s="631">
        <f>'5号楼'!C619</f>
        <v>52.93</v>
      </c>
      <c r="C639" s="3167">
        <f t="shared" si="106"/>
        <v>1</v>
      </c>
      <c r="D639" s="633"/>
      <c r="E639" s="3167">
        <f t="shared" si="107"/>
        <v>1</v>
      </c>
      <c r="F639" s="633"/>
      <c r="G639" s="3167">
        <f t="shared" si="108"/>
        <v>1</v>
      </c>
      <c r="H639" s="633"/>
      <c r="I639" s="3167">
        <f t="shared" si="109"/>
        <v>1</v>
      </c>
      <c r="J639" s="633"/>
      <c r="K639" s="3167">
        <f t="shared" si="110"/>
        <v>1</v>
      </c>
      <c r="L639" s="633"/>
      <c r="M639" s="3167">
        <f t="shared" si="111"/>
        <v>1</v>
      </c>
      <c r="N639" s="633"/>
      <c r="O639" s="3167">
        <f t="shared" si="112"/>
        <v>1</v>
      </c>
      <c r="P639" s="3201" t="s">
        <v>4862</v>
      </c>
      <c r="Q639" s="3167">
        <f t="shared" si="113"/>
        <v>0.9</v>
      </c>
      <c r="R639" s="21">
        <f t="shared" ca="1" si="115"/>
        <v>16.720199999999998</v>
      </c>
      <c r="S639" s="901">
        <f t="shared" ca="1" si="114"/>
        <v>0</v>
      </c>
      <c r="T639" s="687"/>
    </row>
    <row r="640" spans="1:20">
      <c r="A640" s="631" t="str">
        <f>'5号楼'!B620</f>
        <v>B4109</v>
      </c>
      <c r="B640" s="631">
        <f>'5号楼'!C620</f>
        <v>52.93</v>
      </c>
      <c r="C640" s="3167">
        <f t="shared" si="106"/>
        <v>1</v>
      </c>
      <c r="D640" s="633"/>
      <c r="E640" s="3167">
        <f t="shared" si="107"/>
        <v>1</v>
      </c>
      <c r="F640" s="633"/>
      <c r="G640" s="3167">
        <f t="shared" si="108"/>
        <v>1</v>
      </c>
      <c r="H640" s="633"/>
      <c r="I640" s="3167">
        <f t="shared" si="109"/>
        <v>1</v>
      </c>
      <c r="J640" s="633"/>
      <c r="K640" s="3167">
        <f t="shared" si="110"/>
        <v>1</v>
      </c>
      <c r="L640" s="633"/>
      <c r="M640" s="3167">
        <f t="shared" si="111"/>
        <v>1</v>
      </c>
      <c r="N640" s="633"/>
      <c r="O640" s="3167">
        <f t="shared" si="112"/>
        <v>1</v>
      </c>
      <c r="P640" s="3201" t="s">
        <v>4862</v>
      </c>
      <c r="Q640" s="3167">
        <f t="shared" si="113"/>
        <v>0.9</v>
      </c>
      <c r="R640" s="21">
        <f t="shared" ca="1" si="115"/>
        <v>16.720199999999998</v>
      </c>
      <c r="S640" s="901">
        <f t="shared" ca="1" si="114"/>
        <v>0</v>
      </c>
      <c r="T640" s="687"/>
    </row>
    <row r="641" spans="1:20">
      <c r="A641" s="631" t="str">
        <f>'5号楼'!B621</f>
        <v>B4110</v>
      </c>
      <c r="B641" s="631">
        <f>'5号楼'!C621</f>
        <v>52.93</v>
      </c>
      <c r="C641" s="3167">
        <f t="shared" si="106"/>
        <v>1</v>
      </c>
      <c r="D641" s="633"/>
      <c r="E641" s="3167">
        <f t="shared" si="107"/>
        <v>1</v>
      </c>
      <c r="F641" s="633"/>
      <c r="G641" s="3167">
        <f t="shared" si="108"/>
        <v>1</v>
      </c>
      <c r="H641" s="633"/>
      <c r="I641" s="3167">
        <f t="shared" si="109"/>
        <v>1</v>
      </c>
      <c r="J641" s="633"/>
      <c r="K641" s="3167">
        <f t="shared" si="110"/>
        <v>1</v>
      </c>
      <c r="L641" s="633"/>
      <c r="M641" s="3167">
        <f t="shared" si="111"/>
        <v>1</v>
      </c>
      <c r="N641" s="633"/>
      <c r="O641" s="3167">
        <f t="shared" si="112"/>
        <v>1</v>
      </c>
      <c r="P641" s="3201" t="s">
        <v>4862</v>
      </c>
      <c r="Q641" s="3167">
        <f t="shared" si="113"/>
        <v>0.9</v>
      </c>
      <c r="R641" s="21">
        <f t="shared" ca="1" si="115"/>
        <v>16.720199999999998</v>
      </c>
      <c r="S641" s="901">
        <f t="shared" ca="1" si="114"/>
        <v>0</v>
      </c>
      <c r="T641" s="687"/>
    </row>
    <row r="642" spans="1:20">
      <c r="A642" s="631" t="str">
        <f>'5号楼'!B622</f>
        <v>B4111</v>
      </c>
      <c r="B642" s="631">
        <f>'5号楼'!C622</f>
        <v>52.93</v>
      </c>
      <c r="C642" s="3167">
        <f t="shared" si="106"/>
        <v>1</v>
      </c>
      <c r="D642" s="633"/>
      <c r="E642" s="3167">
        <f t="shared" si="107"/>
        <v>1</v>
      </c>
      <c r="F642" s="633"/>
      <c r="G642" s="3167">
        <f t="shared" si="108"/>
        <v>1</v>
      </c>
      <c r="H642" s="633"/>
      <c r="I642" s="3167">
        <f t="shared" si="109"/>
        <v>1</v>
      </c>
      <c r="J642" s="633"/>
      <c r="K642" s="3167">
        <f t="shared" si="110"/>
        <v>1</v>
      </c>
      <c r="L642" s="633"/>
      <c r="M642" s="3167">
        <f t="shared" si="111"/>
        <v>1</v>
      </c>
      <c r="N642" s="633"/>
      <c r="O642" s="3167">
        <f t="shared" si="112"/>
        <v>1</v>
      </c>
      <c r="P642" s="3201" t="s">
        <v>4862</v>
      </c>
      <c r="Q642" s="3167">
        <f t="shared" si="113"/>
        <v>0.9</v>
      </c>
      <c r="R642" s="21">
        <f t="shared" ca="1" si="115"/>
        <v>16.720199999999998</v>
      </c>
      <c r="S642" s="901">
        <f t="shared" ca="1" si="114"/>
        <v>0</v>
      </c>
      <c r="T642" s="687"/>
    </row>
    <row r="643" spans="1:20">
      <c r="A643" s="631" t="str">
        <f>'5号楼'!B623</f>
        <v>B4112</v>
      </c>
      <c r="B643" s="631">
        <f>'5号楼'!C623</f>
        <v>52.93</v>
      </c>
      <c r="C643" s="3167">
        <f t="shared" si="106"/>
        <v>1</v>
      </c>
      <c r="D643" s="633"/>
      <c r="E643" s="3167">
        <f t="shared" si="107"/>
        <v>1</v>
      </c>
      <c r="F643" s="633"/>
      <c r="G643" s="3167">
        <f t="shared" si="108"/>
        <v>1</v>
      </c>
      <c r="H643" s="633"/>
      <c r="I643" s="3167">
        <f t="shared" si="109"/>
        <v>1</v>
      </c>
      <c r="J643" s="633"/>
      <c r="K643" s="3167">
        <f t="shared" si="110"/>
        <v>1</v>
      </c>
      <c r="L643" s="633"/>
      <c r="M643" s="3167">
        <f t="shared" si="111"/>
        <v>1</v>
      </c>
      <c r="N643" s="633"/>
      <c r="O643" s="3167">
        <f t="shared" si="112"/>
        <v>1</v>
      </c>
      <c r="P643" s="3201" t="s">
        <v>4862</v>
      </c>
      <c r="Q643" s="3167">
        <f t="shared" si="113"/>
        <v>0.9</v>
      </c>
      <c r="R643" s="21">
        <f t="shared" ca="1" si="115"/>
        <v>16.720199999999998</v>
      </c>
      <c r="S643" s="901">
        <f t="shared" ca="1" si="114"/>
        <v>0</v>
      </c>
      <c r="T643" s="687"/>
    </row>
    <row r="644" spans="1:20">
      <c r="A644" s="631" t="str">
        <f>'5号楼'!B624</f>
        <v>B4113</v>
      </c>
      <c r="B644" s="631">
        <f>'5号楼'!C624</f>
        <v>52.93</v>
      </c>
      <c r="C644" s="3167">
        <f t="shared" si="106"/>
        <v>1</v>
      </c>
      <c r="D644" s="633"/>
      <c r="E644" s="3167">
        <f t="shared" si="107"/>
        <v>1</v>
      </c>
      <c r="F644" s="633"/>
      <c r="G644" s="3167">
        <f t="shared" si="108"/>
        <v>1</v>
      </c>
      <c r="H644" s="633"/>
      <c r="I644" s="3167">
        <f t="shared" si="109"/>
        <v>1</v>
      </c>
      <c r="J644" s="633"/>
      <c r="K644" s="3167">
        <f t="shared" si="110"/>
        <v>1</v>
      </c>
      <c r="L644" s="633"/>
      <c r="M644" s="3167">
        <f t="shared" si="111"/>
        <v>1</v>
      </c>
      <c r="N644" s="633"/>
      <c r="O644" s="3167">
        <f t="shared" si="112"/>
        <v>1</v>
      </c>
      <c r="P644" s="3201" t="s">
        <v>4862</v>
      </c>
      <c r="Q644" s="3167">
        <f t="shared" si="113"/>
        <v>0.9</v>
      </c>
      <c r="R644" s="21">
        <f t="shared" ca="1" si="115"/>
        <v>16.720199999999998</v>
      </c>
      <c r="S644" s="901">
        <f t="shared" ca="1" si="114"/>
        <v>0</v>
      </c>
      <c r="T644" s="687"/>
    </row>
    <row r="645" spans="1:20">
      <c r="A645" s="631" t="str">
        <f>'5号楼'!B625</f>
        <v>B4114</v>
      </c>
      <c r="B645" s="631">
        <f>'5号楼'!C625</f>
        <v>52.93</v>
      </c>
      <c r="C645" s="3167">
        <f t="shared" si="106"/>
        <v>1</v>
      </c>
      <c r="D645" s="633"/>
      <c r="E645" s="3167">
        <f t="shared" si="107"/>
        <v>1</v>
      </c>
      <c r="F645" s="633"/>
      <c r="G645" s="3167">
        <f t="shared" si="108"/>
        <v>1</v>
      </c>
      <c r="H645" s="633"/>
      <c r="I645" s="3167">
        <f t="shared" si="109"/>
        <v>1</v>
      </c>
      <c r="J645" s="633"/>
      <c r="K645" s="3167">
        <f t="shared" si="110"/>
        <v>1</v>
      </c>
      <c r="L645" s="633"/>
      <c r="M645" s="3167">
        <f t="shared" si="111"/>
        <v>1</v>
      </c>
      <c r="N645" s="633"/>
      <c r="O645" s="3167">
        <f t="shared" si="112"/>
        <v>1</v>
      </c>
      <c r="P645" s="3201" t="s">
        <v>4862</v>
      </c>
      <c r="Q645" s="3167">
        <f t="shared" si="113"/>
        <v>0.9</v>
      </c>
      <c r="R645" s="21">
        <f t="shared" ca="1" si="115"/>
        <v>16.720199999999998</v>
      </c>
      <c r="S645" s="901">
        <f t="shared" ca="1" si="114"/>
        <v>0</v>
      </c>
      <c r="T645" s="687"/>
    </row>
    <row r="646" spans="1:20">
      <c r="A646" s="631" t="str">
        <f>'5号楼'!B626</f>
        <v>B4115</v>
      </c>
      <c r="B646" s="631">
        <f>'5号楼'!C626</f>
        <v>52.93</v>
      </c>
      <c r="C646" s="3167">
        <f t="shared" si="106"/>
        <v>1</v>
      </c>
      <c r="D646" s="633"/>
      <c r="E646" s="3167">
        <f t="shared" si="107"/>
        <v>1</v>
      </c>
      <c r="F646" s="633"/>
      <c r="G646" s="3167">
        <f t="shared" si="108"/>
        <v>1</v>
      </c>
      <c r="H646" s="633"/>
      <c r="I646" s="3167">
        <f t="shared" si="109"/>
        <v>1</v>
      </c>
      <c r="J646" s="633"/>
      <c r="K646" s="3167">
        <f t="shared" si="110"/>
        <v>1</v>
      </c>
      <c r="L646" s="633"/>
      <c r="M646" s="3167">
        <f t="shared" si="111"/>
        <v>1</v>
      </c>
      <c r="N646" s="633"/>
      <c r="O646" s="3167">
        <f t="shared" si="112"/>
        <v>1</v>
      </c>
      <c r="P646" s="3201" t="s">
        <v>4862</v>
      </c>
      <c r="Q646" s="3167">
        <f t="shared" si="113"/>
        <v>0.9</v>
      </c>
      <c r="R646" s="21">
        <f t="shared" ca="1" si="115"/>
        <v>16.720199999999998</v>
      </c>
      <c r="S646" s="901">
        <f t="shared" ca="1" si="114"/>
        <v>0</v>
      </c>
      <c r="T646" s="687"/>
    </row>
    <row r="647" spans="1:20">
      <c r="A647" s="631" t="str">
        <f>'5号楼'!B627</f>
        <v>B4116</v>
      </c>
      <c r="B647" s="631">
        <f>'5号楼'!C627</f>
        <v>52.93</v>
      </c>
      <c r="C647" s="3167">
        <f t="shared" si="106"/>
        <v>1</v>
      </c>
      <c r="D647" s="633"/>
      <c r="E647" s="3167">
        <f t="shared" si="107"/>
        <v>1</v>
      </c>
      <c r="F647" s="633"/>
      <c r="G647" s="3167">
        <f t="shared" si="108"/>
        <v>1</v>
      </c>
      <c r="H647" s="633"/>
      <c r="I647" s="3167">
        <f t="shared" si="109"/>
        <v>1</v>
      </c>
      <c r="J647" s="633"/>
      <c r="K647" s="3167">
        <f t="shared" si="110"/>
        <v>1</v>
      </c>
      <c r="L647" s="633"/>
      <c r="M647" s="3167">
        <f t="shared" si="111"/>
        <v>1</v>
      </c>
      <c r="N647" s="633"/>
      <c r="O647" s="3167">
        <f t="shared" si="112"/>
        <v>1</v>
      </c>
      <c r="P647" s="3201" t="s">
        <v>4862</v>
      </c>
      <c r="Q647" s="3167">
        <f t="shared" si="113"/>
        <v>0.9</v>
      </c>
      <c r="R647" s="21">
        <f t="shared" ca="1" si="115"/>
        <v>16.720199999999998</v>
      </c>
      <c r="S647" s="901">
        <f t="shared" ca="1" si="114"/>
        <v>0</v>
      </c>
      <c r="T647" s="687"/>
    </row>
    <row r="648" spans="1:20">
      <c r="A648" s="631" t="str">
        <f>'5号楼'!B628</f>
        <v>B4117</v>
      </c>
      <c r="B648" s="631">
        <f>'5号楼'!C628</f>
        <v>52.93</v>
      </c>
      <c r="C648" s="3167">
        <f t="shared" si="106"/>
        <v>1</v>
      </c>
      <c r="D648" s="633"/>
      <c r="E648" s="3167">
        <f t="shared" si="107"/>
        <v>1</v>
      </c>
      <c r="F648" s="633"/>
      <c r="G648" s="3167">
        <f t="shared" si="108"/>
        <v>1</v>
      </c>
      <c r="H648" s="633"/>
      <c r="I648" s="3167">
        <f t="shared" si="109"/>
        <v>1</v>
      </c>
      <c r="J648" s="633"/>
      <c r="K648" s="3167">
        <f t="shared" si="110"/>
        <v>1</v>
      </c>
      <c r="L648" s="633"/>
      <c r="M648" s="3167">
        <f t="shared" si="111"/>
        <v>1</v>
      </c>
      <c r="N648" s="633"/>
      <c r="O648" s="3167">
        <f t="shared" si="112"/>
        <v>1</v>
      </c>
      <c r="P648" s="3201" t="s">
        <v>4862</v>
      </c>
      <c r="Q648" s="3167">
        <f t="shared" si="113"/>
        <v>0.9</v>
      </c>
      <c r="R648" s="21">
        <f t="shared" ca="1" si="115"/>
        <v>16.720199999999998</v>
      </c>
      <c r="S648" s="901">
        <f t="shared" ca="1" si="114"/>
        <v>0</v>
      </c>
      <c r="T648" s="687"/>
    </row>
    <row r="649" spans="1:20">
      <c r="A649" s="631" t="str">
        <f>'5号楼'!B629</f>
        <v>B4118</v>
      </c>
      <c r="B649" s="631">
        <f>'5号楼'!C629</f>
        <v>52.93</v>
      </c>
      <c r="C649" s="3167">
        <f t="shared" si="106"/>
        <v>1</v>
      </c>
      <c r="D649" s="633"/>
      <c r="E649" s="3167">
        <f t="shared" si="107"/>
        <v>1</v>
      </c>
      <c r="F649" s="633"/>
      <c r="G649" s="3167">
        <f t="shared" si="108"/>
        <v>1</v>
      </c>
      <c r="H649" s="633"/>
      <c r="I649" s="3167">
        <f t="shared" si="109"/>
        <v>1</v>
      </c>
      <c r="J649" s="633"/>
      <c r="K649" s="3167">
        <f t="shared" si="110"/>
        <v>1</v>
      </c>
      <c r="L649" s="633"/>
      <c r="M649" s="3167">
        <f t="shared" si="111"/>
        <v>1</v>
      </c>
      <c r="N649" s="633"/>
      <c r="O649" s="3167">
        <f t="shared" si="112"/>
        <v>1</v>
      </c>
      <c r="P649" s="3201" t="s">
        <v>4862</v>
      </c>
      <c r="Q649" s="3167">
        <f t="shared" si="113"/>
        <v>0.9</v>
      </c>
      <c r="R649" s="21">
        <f t="shared" ca="1" si="115"/>
        <v>16.720199999999998</v>
      </c>
      <c r="S649" s="901">
        <f t="shared" ca="1" si="114"/>
        <v>0</v>
      </c>
      <c r="T649" s="687"/>
    </row>
    <row r="650" spans="1:20">
      <c r="A650" s="631" t="str">
        <f>'5号楼'!B630</f>
        <v>B4119</v>
      </c>
      <c r="B650" s="631">
        <f>'5号楼'!C630</f>
        <v>52.93</v>
      </c>
      <c r="C650" s="3167">
        <f t="shared" si="106"/>
        <v>1</v>
      </c>
      <c r="D650" s="633"/>
      <c r="E650" s="3167">
        <f t="shared" si="107"/>
        <v>1</v>
      </c>
      <c r="F650" s="633"/>
      <c r="G650" s="3167">
        <f t="shared" si="108"/>
        <v>1</v>
      </c>
      <c r="H650" s="633"/>
      <c r="I650" s="3167">
        <f t="shared" si="109"/>
        <v>1</v>
      </c>
      <c r="J650" s="633"/>
      <c r="K650" s="3167">
        <f t="shared" si="110"/>
        <v>1</v>
      </c>
      <c r="L650" s="633"/>
      <c r="M650" s="3167">
        <f t="shared" si="111"/>
        <v>1</v>
      </c>
      <c r="N650" s="633"/>
      <c r="O650" s="3167">
        <f t="shared" si="112"/>
        <v>1</v>
      </c>
      <c r="P650" s="3201" t="s">
        <v>4862</v>
      </c>
      <c r="Q650" s="3167">
        <f t="shared" si="113"/>
        <v>0.9</v>
      </c>
      <c r="R650" s="21">
        <f t="shared" ca="1" si="115"/>
        <v>16.720199999999998</v>
      </c>
      <c r="S650" s="901">
        <f t="shared" ca="1" si="114"/>
        <v>0</v>
      </c>
      <c r="T650" s="687"/>
    </row>
    <row r="651" spans="1:20">
      <c r="A651" s="631" t="str">
        <f>'5号楼'!B631</f>
        <v>B4120</v>
      </c>
      <c r="B651" s="631">
        <f>'5号楼'!C631</f>
        <v>52.93</v>
      </c>
      <c r="C651" s="3167">
        <f t="shared" si="106"/>
        <v>1</v>
      </c>
      <c r="D651" s="633"/>
      <c r="E651" s="3167">
        <f t="shared" si="107"/>
        <v>1</v>
      </c>
      <c r="F651" s="633"/>
      <c r="G651" s="3167">
        <f t="shared" si="108"/>
        <v>1</v>
      </c>
      <c r="H651" s="633"/>
      <c r="I651" s="3167">
        <f t="shared" si="109"/>
        <v>1</v>
      </c>
      <c r="J651" s="633"/>
      <c r="K651" s="3167">
        <f t="shared" si="110"/>
        <v>1</v>
      </c>
      <c r="L651" s="633"/>
      <c r="M651" s="3167">
        <f t="shared" si="111"/>
        <v>1</v>
      </c>
      <c r="N651" s="633"/>
      <c r="O651" s="3167">
        <f t="shared" si="112"/>
        <v>1</v>
      </c>
      <c r="P651" s="3201" t="s">
        <v>4862</v>
      </c>
      <c r="Q651" s="3167">
        <f t="shared" si="113"/>
        <v>0.9</v>
      </c>
      <c r="R651" s="21">
        <f t="shared" ca="1" si="115"/>
        <v>16.720199999999998</v>
      </c>
      <c r="S651" s="901">
        <f t="shared" ca="1" si="114"/>
        <v>0</v>
      </c>
      <c r="T651" s="687"/>
    </row>
    <row r="652" spans="1:20">
      <c r="A652" s="631" t="str">
        <f>'5号楼'!B632</f>
        <v>B4121</v>
      </c>
      <c r="B652" s="631">
        <f>'5号楼'!C632</f>
        <v>52.93</v>
      </c>
      <c r="C652" s="3167">
        <f t="shared" si="106"/>
        <v>1</v>
      </c>
      <c r="D652" s="633"/>
      <c r="E652" s="3167">
        <f t="shared" si="107"/>
        <v>1</v>
      </c>
      <c r="F652" s="633"/>
      <c r="G652" s="3167">
        <f t="shared" si="108"/>
        <v>1</v>
      </c>
      <c r="H652" s="633"/>
      <c r="I652" s="3167">
        <f t="shared" si="109"/>
        <v>1</v>
      </c>
      <c r="J652" s="633"/>
      <c r="K652" s="3167">
        <f t="shared" si="110"/>
        <v>1</v>
      </c>
      <c r="L652" s="633"/>
      <c r="M652" s="3167">
        <f t="shared" si="111"/>
        <v>1</v>
      </c>
      <c r="N652" s="633"/>
      <c r="O652" s="3167">
        <f t="shared" si="112"/>
        <v>1</v>
      </c>
      <c r="P652" s="3201" t="s">
        <v>4862</v>
      </c>
      <c r="Q652" s="3167">
        <f t="shared" si="113"/>
        <v>0.9</v>
      </c>
      <c r="R652" s="21">
        <f t="shared" ca="1" si="115"/>
        <v>16.720199999999998</v>
      </c>
      <c r="S652" s="901">
        <f t="shared" ca="1" si="114"/>
        <v>0</v>
      </c>
      <c r="T652" s="687"/>
    </row>
    <row r="653" spans="1:20">
      <c r="A653" s="631" t="str">
        <f>'5号楼'!B633</f>
        <v>B4122</v>
      </c>
      <c r="B653" s="631">
        <f>'5号楼'!C633</f>
        <v>52.93</v>
      </c>
      <c r="C653" s="3167">
        <f t="shared" si="106"/>
        <v>1</v>
      </c>
      <c r="D653" s="633"/>
      <c r="E653" s="3167">
        <f t="shared" si="107"/>
        <v>1</v>
      </c>
      <c r="F653" s="633"/>
      <c r="G653" s="3167">
        <f t="shared" si="108"/>
        <v>1</v>
      </c>
      <c r="H653" s="633"/>
      <c r="I653" s="3167">
        <f t="shared" si="109"/>
        <v>1</v>
      </c>
      <c r="J653" s="633"/>
      <c r="K653" s="3167">
        <f t="shared" si="110"/>
        <v>1</v>
      </c>
      <c r="L653" s="633"/>
      <c r="M653" s="3167">
        <f t="shared" si="111"/>
        <v>1</v>
      </c>
      <c r="N653" s="633"/>
      <c r="O653" s="3167">
        <f t="shared" si="112"/>
        <v>1</v>
      </c>
      <c r="P653" s="3201" t="s">
        <v>4862</v>
      </c>
      <c r="Q653" s="3167">
        <f t="shared" si="113"/>
        <v>0.9</v>
      </c>
      <c r="R653" s="21">
        <f t="shared" ca="1" si="115"/>
        <v>16.720199999999998</v>
      </c>
      <c r="S653" s="901">
        <f t="shared" ca="1" si="114"/>
        <v>0</v>
      </c>
      <c r="T653" s="687"/>
    </row>
    <row r="654" spans="1:20">
      <c r="A654" s="631" t="str">
        <f>'5号楼'!B634</f>
        <v>B4123</v>
      </c>
      <c r="B654" s="631">
        <f>'5号楼'!C634</f>
        <v>52.93</v>
      </c>
      <c r="C654" s="3167">
        <f t="shared" si="106"/>
        <v>1</v>
      </c>
      <c r="D654" s="633"/>
      <c r="E654" s="3167">
        <f t="shared" si="107"/>
        <v>1</v>
      </c>
      <c r="F654" s="633"/>
      <c r="G654" s="3167">
        <f t="shared" si="108"/>
        <v>1</v>
      </c>
      <c r="H654" s="633"/>
      <c r="I654" s="3167">
        <f t="shared" si="109"/>
        <v>1</v>
      </c>
      <c r="J654" s="633"/>
      <c r="K654" s="3167">
        <f t="shared" si="110"/>
        <v>1</v>
      </c>
      <c r="L654" s="633"/>
      <c r="M654" s="3167">
        <f t="shared" si="111"/>
        <v>1</v>
      </c>
      <c r="N654" s="633"/>
      <c r="O654" s="3167">
        <f t="shared" si="112"/>
        <v>1</v>
      </c>
      <c r="P654" s="3201" t="s">
        <v>4862</v>
      </c>
      <c r="Q654" s="3167">
        <f t="shared" si="113"/>
        <v>0.9</v>
      </c>
      <c r="R654" s="21">
        <f t="shared" ca="1" si="115"/>
        <v>16.720199999999998</v>
      </c>
      <c r="S654" s="901">
        <f t="shared" ca="1" si="114"/>
        <v>0</v>
      </c>
      <c r="T654" s="687"/>
    </row>
    <row r="655" spans="1:20">
      <c r="A655" s="631" t="str">
        <f>'5号楼'!B635</f>
        <v>B4124</v>
      </c>
      <c r="B655" s="631">
        <f>'5号楼'!C635</f>
        <v>52.93</v>
      </c>
      <c r="C655" s="3167">
        <f t="shared" si="106"/>
        <v>1</v>
      </c>
      <c r="D655" s="633"/>
      <c r="E655" s="3167">
        <f t="shared" si="107"/>
        <v>1</v>
      </c>
      <c r="F655" s="633"/>
      <c r="G655" s="3167">
        <f t="shared" si="108"/>
        <v>1</v>
      </c>
      <c r="H655" s="633"/>
      <c r="I655" s="3167">
        <f t="shared" si="109"/>
        <v>1</v>
      </c>
      <c r="J655" s="633"/>
      <c r="K655" s="3167">
        <f t="shared" si="110"/>
        <v>1</v>
      </c>
      <c r="L655" s="633"/>
      <c r="M655" s="3167">
        <f t="shared" si="111"/>
        <v>1</v>
      </c>
      <c r="N655" s="633"/>
      <c r="O655" s="3167">
        <f t="shared" si="112"/>
        <v>1</v>
      </c>
      <c r="P655" s="3201" t="s">
        <v>4862</v>
      </c>
      <c r="Q655" s="3167">
        <f t="shared" si="113"/>
        <v>0.9</v>
      </c>
      <c r="R655" s="21">
        <f t="shared" ca="1" si="115"/>
        <v>16.720199999999998</v>
      </c>
      <c r="S655" s="901">
        <f t="shared" ca="1" si="114"/>
        <v>0</v>
      </c>
      <c r="T655" s="687"/>
    </row>
    <row r="656" spans="1:20">
      <c r="A656" s="631" t="str">
        <f>'5号楼'!B636</f>
        <v>B4125</v>
      </c>
      <c r="B656" s="631">
        <f>'5号楼'!C636</f>
        <v>52.93</v>
      </c>
      <c r="C656" s="3167">
        <f t="shared" ref="C656:C719" si="116">IF(B656="",1,(LOOKUP(B656,$3:$3,$4:$4)-LOOKUP($B$24,$3:$3,$4:$4)+100)/100)</f>
        <v>1</v>
      </c>
      <c r="D656" s="633"/>
      <c r="E656" s="3167">
        <f t="shared" ref="E656:E719" si="117">(SUMIF($5:$5,D656,$6:$6)-SUMIF($5:$5,$D$24,$6:$6)+100)/100</f>
        <v>1</v>
      </c>
      <c r="F656" s="633"/>
      <c r="G656" s="3167">
        <f t="shared" ref="G656:G719" si="118">(SUMIF($7:$7,F656,$8:$8)-SUMIF($7:$7,$F$24,$8:$8)+100)/100</f>
        <v>1</v>
      </c>
      <c r="H656" s="633"/>
      <c r="I656" s="3167">
        <f t="shared" ref="I656:I719" si="119">(SUMIF($9:$9,H656,$10:$10)-SUMIF($9:$9,$H$24,$10:$10)+100)/100</f>
        <v>1</v>
      </c>
      <c r="J656" s="633"/>
      <c r="K656" s="3167">
        <f t="shared" ref="K656:K719" si="120">(SUMIF($11:$11,J656,$12:$12)-SUMIF($11:$11,$J$24,$12:$12)+100)/100</f>
        <v>1</v>
      </c>
      <c r="L656" s="633"/>
      <c r="M656" s="3167">
        <f t="shared" ref="M656:M719" si="121">(SUMIF($13:$13,L656,$14:$14)-SUMIF($13:$13,$L$24,$14:$14)+100)/100</f>
        <v>1</v>
      </c>
      <c r="N656" s="633"/>
      <c r="O656" s="3167">
        <f t="shared" ref="O656:O719" si="122">(SUMIF($15:$15,N656,$16:$16)-SUMIF($15:$15,$N$24,$16:$16)+100)/100</f>
        <v>1</v>
      </c>
      <c r="P656" s="3201" t="s">
        <v>4862</v>
      </c>
      <c r="Q656" s="3167">
        <f t="shared" ref="Q656:Q719" si="123">(SUMIF($17:$17,P656,$18:$18)-SUMIF($17:$17,$P$24,$18:$18)+100)/100</f>
        <v>0.9</v>
      </c>
      <c r="R656" s="21">
        <f t="shared" ca="1" si="115"/>
        <v>16.720199999999998</v>
      </c>
      <c r="S656" s="901">
        <f t="shared" ref="S656:S719" ca="1" si="124">ROUND(R656*B656/10000,0)</f>
        <v>0</v>
      </c>
      <c r="T656" s="687"/>
    </row>
    <row r="657" spans="1:20">
      <c r="A657" s="631" t="str">
        <f>'5号楼'!B637</f>
        <v>B4126</v>
      </c>
      <c r="B657" s="631">
        <f>'5号楼'!C637</f>
        <v>52.93</v>
      </c>
      <c r="C657" s="3167">
        <f t="shared" si="116"/>
        <v>1</v>
      </c>
      <c r="D657" s="633"/>
      <c r="E657" s="3167">
        <f t="shared" si="117"/>
        <v>1</v>
      </c>
      <c r="F657" s="633"/>
      <c r="G657" s="3167">
        <f t="shared" si="118"/>
        <v>1</v>
      </c>
      <c r="H657" s="633"/>
      <c r="I657" s="3167">
        <f t="shared" si="119"/>
        <v>1</v>
      </c>
      <c r="J657" s="633"/>
      <c r="K657" s="3167">
        <f t="shared" si="120"/>
        <v>1</v>
      </c>
      <c r="L657" s="633"/>
      <c r="M657" s="3167">
        <f t="shared" si="121"/>
        <v>1</v>
      </c>
      <c r="N657" s="633"/>
      <c r="O657" s="3167">
        <f t="shared" si="122"/>
        <v>1</v>
      </c>
      <c r="P657" s="3201" t="s">
        <v>4862</v>
      </c>
      <c r="Q657" s="3167">
        <f t="shared" si="123"/>
        <v>0.9</v>
      </c>
      <c r="R657" s="21">
        <f t="shared" ca="1" si="115"/>
        <v>16.720199999999998</v>
      </c>
      <c r="S657" s="901">
        <f t="shared" ca="1" si="124"/>
        <v>0</v>
      </c>
      <c r="T657" s="687"/>
    </row>
    <row r="658" spans="1:20">
      <c r="A658" s="631" t="str">
        <f>'5号楼'!B638</f>
        <v>B4127</v>
      </c>
      <c r="B658" s="631">
        <f>'5号楼'!C638</f>
        <v>52.93</v>
      </c>
      <c r="C658" s="3167">
        <f t="shared" si="116"/>
        <v>1</v>
      </c>
      <c r="D658" s="633"/>
      <c r="E658" s="3167">
        <f t="shared" si="117"/>
        <v>1</v>
      </c>
      <c r="F658" s="633"/>
      <c r="G658" s="3167">
        <f t="shared" si="118"/>
        <v>1</v>
      </c>
      <c r="H658" s="633"/>
      <c r="I658" s="3167">
        <f t="shared" si="119"/>
        <v>1</v>
      </c>
      <c r="J658" s="633"/>
      <c r="K658" s="3167">
        <f t="shared" si="120"/>
        <v>1</v>
      </c>
      <c r="L658" s="633"/>
      <c r="M658" s="3167">
        <f t="shared" si="121"/>
        <v>1</v>
      </c>
      <c r="N658" s="633"/>
      <c r="O658" s="3167">
        <f t="shared" si="122"/>
        <v>1</v>
      </c>
      <c r="P658" s="3201" t="s">
        <v>4862</v>
      </c>
      <c r="Q658" s="3167">
        <f t="shared" si="123"/>
        <v>0.9</v>
      </c>
      <c r="R658" s="21">
        <f t="shared" ca="1" si="115"/>
        <v>16.720199999999998</v>
      </c>
      <c r="S658" s="901">
        <f t="shared" ca="1" si="124"/>
        <v>0</v>
      </c>
      <c r="T658" s="687"/>
    </row>
    <row r="659" spans="1:20">
      <c r="A659" s="631" t="str">
        <f>'5号楼'!B639</f>
        <v>B4128</v>
      </c>
      <c r="B659" s="631">
        <f>'5号楼'!C639</f>
        <v>52.93</v>
      </c>
      <c r="C659" s="3167">
        <f t="shared" si="116"/>
        <v>1</v>
      </c>
      <c r="D659" s="633"/>
      <c r="E659" s="3167">
        <f t="shared" si="117"/>
        <v>1</v>
      </c>
      <c r="F659" s="633"/>
      <c r="G659" s="3167">
        <f t="shared" si="118"/>
        <v>1</v>
      </c>
      <c r="H659" s="633"/>
      <c r="I659" s="3167">
        <f t="shared" si="119"/>
        <v>1</v>
      </c>
      <c r="J659" s="633"/>
      <c r="K659" s="3167">
        <f t="shared" si="120"/>
        <v>1</v>
      </c>
      <c r="L659" s="633"/>
      <c r="M659" s="3167">
        <f t="shared" si="121"/>
        <v>1</v>
      </c>
      <c r="N659" s="633"/>
      <c r="O659" s="3167">
        <f t="shared" si="122"/>
        <v>1</v>
      </c>
      <c r="P659" s="3201" t="s">
        <v>4862</v>
      </c>
      <c r="Q659" s="3167">
        <f t="shared" si="123"/>
        <v>0.9</v>
      </c>
      <c r="R659" s="21">
        <f t="shared" ca="1" si="115"/>
        <v>16.720199999999998</v>
      </c>
      <c r="S659" s="901">
        <f t="shared" ca="1" si="124"/>
        <v>0</v>
      </c>
      <c r="T659" s="687"/>
    </row>
    <row r="660" spans="1:20">
      <c r="A660" s="631" t="str">
        <f>'5号楼'!B640</f>
        <v>B4129</v>
      </c>
      <c r="B660" s="631">
        <f>'5号楼'!C640</f>
        <v>52.93</v>
      </c>
      <c r="C660" s="3167">
        <f t="shared" si="116"/>
        <v>1</v>
      </c>
      <c r="D660" s="633"/>
      <c r="E660" s="3167">
        <f t="shared" si="117"/>
        <v>1</v>
      </c>
      <c r="F660" s="633"/>
      <c r="G660" s="3167">
        <f t="shared" si="118"/>
        <v>1</v>
      </c>
      <c r="H660" s="633"/>
      <c r="I660" s="3167">
        <f t="shared" si="119"/>
        <v>1</v>
      </c>
      <c r="J660" s="633"/>
      <c r="K660" s="3167">
        <f t="shared" si="120"/>
        <v>1</v>
      </c>
      <c r="L660" s="633"/>
      <c r="M660" s="3167">
        <f t="shared" si="121"/>
        <v>1</v>
      </c>
      <c r="N660" s="633"/>
      <c r="O660" s="3167">
        <f t="shared" si="122"/>
        <v>1</v>
      </c>
      <c r="P660" s="3201" t="s">
        <v>4862</v>
      </c>
      <c r="Q660" s="3167">
        <f t="shared" si="123"/>
        <v>0.9</v>
      </c>
      <c r="R660" s="21">
        <f t="shared" ca="1" si="115"/>
        <v>16.720199999999998</v>
      </c>
      <c r="S660" s="901">
        <f t="shared" ca="1" si="124"/>
        <v>0</v>
      </c>
      <c r="T660" s="687"/>
    </row>
    <row r="661" spans="1:20">
      <c r="A661" s="631" t="str">
        <f>'5号楼'!B641</f>
        <v>B4130</v>
      </c>
      <c r="B661" s="631">
        <f>'5号楼'!C641</f>
        <v>52.93</v>
      </c>
      <c r="C661" s="3167">
        <f t="shared" si="116"/>
        <v>1</v>
      </c>
      <c r="D661" s="633"/>
      <c r="E661" s="3167">
        <f t="shared" si="117"/>
        <v>1</v>
      </c>
      <c r="F661" s="633"/>
      <c r="G661" s="3167">
        <f t="shared" si="118"/>
        <v>1</v>
      </c>
      <c r="H661" s="633"/>
      <c r="I661" s="3167">
        <f t="shared" si="119"/>
        <v>1</v>
      </c>
      <c r="J661" s="633"/>
      <c r="K661" s="3167">
        <f t="shared" si="120"/>
        <v>1</v>
      </c>
      <c r="L661" s="633"/>
      <c r="M661" s="3167">
        <f t="shared" si="121"/>
        <v>1</v>
      </c>
      <c r="N661" s="633"/>
      <c r="O661" s="3167">
        <f t="shared" si="122"/>
        <v>1</v>
      </c>
      <c r="P661" s="3201" t="s">
        <v>4862</v>
      </c>
      <c r="Q661" s="3167">
        <f t="shared" si="123"/>
        <v>0.9</v>
      </c>
      <c r="R661" s="21">
        <f t="shared" ca="1" si="115"/>
        <v>16.720199999999998</v>
      </c>
      <c r="S661" s="901">
        <f t="shared" ca="1" si="124"/>
        <v>0</v>
      </c>
      <c r="T661" s="687"/>
    </row>
    <row r="662" spans="1:20">
      <c r="A662" s="631" t="str">
        <f>'5号楼'!B642</f>
        <v>B4131</v>
      </c>
      <c r="B662" s="631">
        <f>'5号楼'!C642</f>
        <v>52.93</v>
      </c>
      <c r="C662" s="3167">
        <f t="shared" si="116"/>
        <v>1</v>
      </c>
      <c r="D662" s="633"/>
      <c r="E662" s="3167">
        <f t="shared" si="117"/>
        <v>1</v>
      </c>
      <c r="F662" s="633"/>
      <c r="G662" s="3167">
        <f t="shared" si="118"/>
        <v>1</v>
      </c>
      <c r="H662" s="633"/>
      <c r="I662" s="3167">
        <f t="shared" si="119"/>
        <v>1</v>
      </c>
      <c r="J662" s="633"/>
      <c r="K662" s="3167">
        <f t="shared" si="120"/>
        <v>1</v>
      </c>
      <c r="L662" s="633"/>
      <c r="M662" s="3167">
        <f t="shared" si="121"/>
        <v>1</v>
      </c>
      <c r="N662" s="633"/>
      <c r="O662" s="3167">
        <f t="shared" si="122"/>
        <v>1</v>
      </c>
      <c r="P662" s="3201" t="s">
        <v>4862</v>
      </c>
      <c r="Q662" s="3167">
        <f t="shared" si="123"/>
        <v>0.9</v>
      </c>
      <c r="R662" s="21">
        <f t="shared" ca="1" si="115"/>
        <v>16.720199999999998</v>
      </c>
      <c r="S662" s="901">
        <f t="shared" ca="1" si="124"/>
        <v>0</v>
      </c>
      <c r="T662" s="687"/>
    </row>
    <row r="663" spans="1:20">
      <c r="A663" s="631" t="str">
        <f>'5号楼'!B643</f>
        <v>B4132</v>
      </c>
      <c r="B663" s="631">
        <f>'5号楼'!C643</f>
        <v>50.93</v>
      </c>
      <c r="C663" s="3167">
        <f t="shared" si="116"/>
        <v>1</v>
      </c>
      <c r="D663" s="633"/>
      <c r="E663" s="3167">
        <f t="shared" si="117"/>
        <v>1</v>
      </c>
      <c r="F663" s="633"/>
      <c r="G663" s="3167">
        <f t="shared" si="118"/>
        <v>1</v>
      </c>
      <c r="H663" s="633"/>
      <c r="I663" s="3167">
        <f t="shared" si="119"/>
        <v>1</v>
      </c>
      <c r="J663" s="633"/>
      <c r="K663" s="3167">
        <f t="shared" si="120"/>
        <v>1</v>
      </c>
      <c r="L663" s="633"/>
      <c r="M663" s="3167">
        <f t="shared" si="121"/>
        <v>1</v>
      </c>
      <c r="N663" s="633"/>
      <c r="O663" s="3167">
        <f t="shared" si="122"/>
        <v>1</v>
      </c>
      <c r="P663" s="3201" t="s">
        <v>4862</v>
      </c>
      <c r="Q663" s="3167">
        <f t="shared" si="123"/>
        <v>0.9</v>
      </c>
      <c r="R663" s="21">
        <f t="shared" ca="1" si="115"/>
        <v>16.720199999999998</v>
      </c>
      <c r="S663" s="901">
        <f t="shared" ca="1" si="124"/>
        <v>0</v>
      </c>
      <c r="T663" s="687"/>
    </row>
    <row r="664" spans="1:20">
      <c r="A664" s="631" t="str">
        <f>'5号楼'!B644</f>
        <v>B4133</v>
      </c>
      <c r="B664" s="631">
        <f>'5号楼'!C644</f>
        <v>50.93</v>
      </c>
      <c r="C664" s="3167">
        <f t="shared" si="116"/>
        <v>1</v>
      </c>
      <c r="D664" s="633"/>
      <c r="E664" s="3167">
        <f t="shared" si="117"/>
        <v>1</v>
      </c>
      <c r="F664" s="633"/>
      <c r="G664" s="3167">
        <f t="shared" si="118"/>
        <v>1</v>
      </c>
      <c r="H664" s="633"/>
      <c r="I664" s="3167">
        <f t="shared" si="119"/>
        <v>1</v>
      </c>
      <c r="J664" s="633"/>
      <c r="K664" s="3167">
        <f t="shared" si="120"/>
        <v>1</v>
      </c>
      <c r="L664" s="633"/>
      <c r="M664" s="3167">
        <f t="shared" si="121"/>
        <v>1</v>
      </c>
      <c r="N664" s="633"/>
      <c r="O664" s="3167">
        <f t="shared" si="122"/>
        <v>1</v>
      </c>
      <c r="P664" s="3201" t="s">
        <v>4862</v>
      </c>
      <c r="Q664" s="3167">
        <f t="shared" si="123"/>
        <v>0.9</v>
      </c>
      <c r="R664" s="21">
        <f t="shared" ca="1" si="115"/>
        <v>16.720199999999998</v>
      </c>
      <c r="S664" s="901">
        <f t="shared" ca="1" si="124"/>
        <v>0</v>
      </c>
      <c r="T664" s="687"/>
    </row>
    <row r="665" spans="1:20">
      <c r="A665" s="631" t="str">
        <f>'5号楼'!B645</f>
        <v>B4134</v>
      </c>
      <c r="B665" s="631">
        <f>'5号楼'!C645</f>
        <v>50.93</v>
      </c>
      <c r="C665" s="3167">
        <f t="shared" si="116"/>
        <v>1</v>
      </c>
      <c r="D665" s="633"/>
      <c r="E665" s="3167">
        <f t="shared" si="117"/>
        <v>1</v>
      </c>
      <c r="F665" s="633"/>
      <c r="G665" s="3167">
        <f t="shared" si="118"/>
        <v>1</v>
      </c>
      <c r="H665" s="633"/>
      <c r="I665" s="3167">
        <f t="shared" si="119"/>
        <v>1</v>
      </c>
      <c r="J665" s="633"/>
      <c r="K665" s="3167">
        <f t="shared" si="120"/>
        <v>1</v>
      </c>
      <c r="L665" s="633"/>
      <c r="M665" s="3167">
        <f t="shared" si="121"/>
        <v>1</v>
      </c>
      <c r="N665" s="633"/>
      <c r="O665" s="3167">
        <f t="shared" si="122"/>
        <v>1</v>
      </c>
      <c r="P665" s="3201" t="s">
        <v>4862</v>
      </c>
      <c r="Q665" s="3167">
        <f t="shared" si="123"/>
        <v>0.9</v>
      </c>
      <c r="R665" s="21">
        <f t="shared" ca="1" si="115"/>
        <v>16.720199999999998</v>
      </c>
      <c r="S665" s="901">
        <f t="shared" ca="1" si="124"/>
        <v>0</v>
      </c>
      <c r="T665" s="687"/>
    </row>
    <row r="666" spans="1:20">
      <c r="A666" s="631" t="str">
        <f>'5号楼'!B646</f>
        <v>B4135</v>
      </c>
      <c r="B666" s="631">
        <f>'5号楼'!C646</f>
        <v>50.93</v>
      </c>
      <c r="C666" s="3167">
        <f t="shared" si="116"/>
        <v>1</v>
      </c>
      <c r="D666" s="633"/>
      <c r="E666" s="3167">
        <f t="shared" si="117"/>
        <v>1</v>
      </c>
      <c r="F666" s="633"/>
      <c r="G666" s="3167">
        <f t="shared" si="118"/>
        <v>1</v>
      </c>
      <c r="H666" s="633"/>
      <c r="I666" s="3167">
        <f t="shared" si="119"/>
        <v>1</v>
      </c>
      <c r="J666" s="633"/>
      <c r="K666" s="3167">
        <f t="shared" si="120"/>
        <v>1</v>
      </c>
      <c r="L666" s="633"/>
      <c r="M666" s="3167">
        <f t="shared" si="121"/>
        <v>1</v>
      </c>
      <c r="N666" s="633"/>
      <c r="O666" s="3167">
        <f t="shared" si="122"/>
        <v>1</v>
      </c>
      <c r="P666" s="3201" t="s">
        <v>4862</v>
      </c>
      <c r="Q666" s="3167">
        <f t="shared" si="123"/>
        <v>0.9</v>
      </c>
      <c r="R666" s="21">
        <f t="shared" ref="R666:R729" ca="1" si="125">IF(B666="",0,ROUND($R$24*C666*E666*G666*I666*K666*M666*O666*Q666,4))</f>
        <v>16.720199999999998</v>
      </c>
      <c r="S666" s="901">
        <f t="shared" ca="1" si="124"/>
        <v>0</v>
      </c>
      <c r="T666" s="687"/>
    </row>
    <row r="667" spans="1:20">
      <c r="A667" s="631" t="str">
        <f>'5号楼'!B647</f>
        <v>B4136</v>
      </c>
      <c r="B667" s="631">
        <f>'5号楼'!C647</f>
        <v>50.93</v>
      </c>
      <c r="C667" s="3167">
        <f t="shared" si="116"/>
        <v>1</v>
      </c>
      <c r="D667" s="633"/>
      <c r="E667" s="3167">
        <f t="shared" si="117"/>
        <v>1</v>
      </c>
      <c r="F667" s="633"/>
      <c r="G667" s="3167">
        <f t="shared" si="118"/>
        <v>1</v>
      </c>
      <c r="H667" s="633"/>
      <c r="I667" s="3167">
        <f t="shared" si="119"/>
        <v>1</v>
      </c>
      <c r="J667" s="633"/>
      <c r="K667" s="3167">
        <f t="shared" si="120"/>
        <v>1</v>
      </c>
      <c r="L667" s="633"/>
      <c r="M667" s="3167">
        <f t="shared" si="121"/>
        <v>1</v>
      </c>
      <c r="N667" s="633"/>
      <c r="O667" s="3167">
        <f t="shared" si="122"/>
        <v>1</v>
      </c>
      <c r="P667" s="3201" t="s">
        <v>4862</v>
      </c>
      <c r="Q667" s="3167">
        <f t="shared" si="123"/>
        <v>0.9</v>
      </c>
      <c r="R667" s="21">
        <f t="shared" ca="1" si="125"/>
        <v>16.720199999999998</v>
      </c>
      <c r="S667" s="901">
        <f t="shared" ca="1" si="124"/>
        <v>0</v>
      </c>
      <c r="T667" s="687"/>
    </row>
    <row r="668" spans="1:20">
      <c r="A668" s="631" t="str">
        <f>'5号楼'!B648</f>
        <v>B4137</v>
      </c>
      <c r="B668" s="631">
        <f>'5号楼'!C648</f>
        <v>50.93</v>
      </c>
      <c r="C668" s="3167">
        <f t="shared" si="116"/>
        <v>1</v>
      </c>
      <c r="D668" s="633"/>
      <c r="E668" s="3167">
        <f t="shared" si="117"/>
        <v>1</v>
      </c>
      <c r="F668" s="633"/>
      <c r="G668" s="3167">
        <f t="shared" si="118"/>
        <v>1</v>
      </c>
      <c r="H668" s="633"/>
      <c r="I668" s="3167">
        <f t="shared" si="119"/>
        <v>1</v>
      </c>
      <c r="J668" s="633"/>
      <c r="K668" s="3167">
        <f t="shared" si="120"/>
        <v>1</v>
      </c>
      <c r="L668" s="633"/>
      <c r="M668" s="3167">
        <f t="shared" si="121"/>
        <v>1</v>
      </c>
      <c r="N668" s="633"/>
      <c r="O668" s="3167">
        <f t="shared" si="122"/>
        <v>1</v>
      </c>
      <c r="P668" s="3201" t="s">
        <v>4862</v>
      </c>
      <c r="Q668" s="3167">
        <f t="shared" si="123"/>
        <v>0.9</v>
      </c>
      <c r="R668" s="21">
        <f t="shared" ca="1" si="125"/>
        <v>16.720199999999998</v>
      </c>
      <c r="S668" s="901">
        <f t="shared" ca="1" si="124"/>
        <v>0</v>
      </c>
      <c r="T668" s="687"/>
    </row>
    <row r="669" spans="1:20">
      <c r="A669" s="631" t="str">
        <f>'5号楼'!B649</f>
        <v>B4138</v>
      </c>
      <c r="B669" s="631">
        <f>'5号楼'!C649</f>
        <v>50.93</v>
      </c>
      <c r="C669" s="3167">
        <f t="shared" si="116"/>
        <v>1</v>
      </c>
      <c r="D669" s="633"/>
      <c r="E669" s="3167">
        <f t="shared" si="117"/>
        <v>1</v>
      </c>
      <c r="F669" s="633"/>
      <c r="G669" s="3167">
        <f t="shared" si="118"/>
        <v>1</v>
      </c>
      <c r="H669" s="633"/>
      <c r="I669" s="3167">
        <f t="shared" si="119"/>
        <v>1</v>
      </c>
      <c r="J669" s="633"/>
      <c r="K669" s="3167">
        <f t="shared" si="120"/>
        <v>1</v>
      </c>
      <c r="L669" s="633"/>
      <c r="M669" s="3167">
        <f t="shared" si="121"/>
        <v>1</v>
      </c>
      <c r="N669" s="633"/>
      <c r="O669" s="3167">
        <f t="shared" si="122"/>
        <v>1</v>
      </c>
      <c r="P669" s="3201" t="s">
        <v>4862</v>
      </c>
      <c r="Q669" s="3167">
        <f t="shared" si="123"/>
        <v>0.9</v>
      </c>
      <c r="R669" s="21">
        <f t="shared" ca="1" si="125"/>
        <v>16.720199999999998</v>
      </c>
      <c r="S669" s="901">
        <f t="shared" ca="1" si="124"/>
        <v>0</v>
      </c>
      <c r="T669" s="687"/>
    </row>
    <row r="670" spans="1:20">
      <c r="A670" s="631" t="str">
        <f>'5号楼'!B650</f>
        <v>B4139</v>
      </c>
      <c r="B670" s="631">
        <f>'5号楼'!C650</f>
        <v>50.93</v>
      </c>
      <c r="C670" s="3167">
        <f t="shared" si="116"/>
        <v>1</v>
      </c>
      <c r="D670" s="633"/>
      <c r="E670" s="3167">
        <f t="shared" si="117"/>
        <v>1</v>
      </c>
      <c r="F670" s="633"/>
      <c r="G670" s="3167">
        <f t="shared" si="118"/>
        <v>1</v>
      </c>
      <c r="H670" s="633"/>
      <c r="I670" s="3167">
        <f t="shared" si="119"/>
        <v>1</v>
      </c>
      <c r="J670" s="633"/>
      <c r="K670" s="3167">
        <f t="shared" si="120"/>
        <v>1</v>
      </c>
      <c r="L670" s="633"/>
      <c r="M670" s="3167">
        <f t="shared" si="121"/>
        <v>1</v>
      </c>
      <c r="N670" s="633"/>
      <c r="O670" s="3167">
        <f t="shared" si="122"/>
        <v>1</v>
      </c>
      <c r="P670" s="3201" t="s">
        <v>4862</v>
      </c>
      <c r="Q670" s="3167">
        <f t="shared" si="123"/>
        <v>0.9</v>
      </c>
      <c r="R670" s="21">
        <f t="shared" ca="1" si="125"/>
        <v>16.720199999999998</v>
      </c>
      <c r="S670" s="901">
        <f t="shared" ca="1" si="124"/>
        <v>0</v>
      </c>
      <c r="T670" s="687"/>
    </row>
    <row r="671" spans="1:20">
      <c r="A671" s="631" t="str">
        <f>'5号楼'!B651</f>
        <v>B4140</v>
      </c>
      <c r="B671" s="631">
        <f>'5号楼'!C651</f>
        <v>50.93</v>
      </c>
      <c r="C671" s="3167">
        <f t="shared" si="116"/>
        <v>1</v>
      </c>
      <c r="D671" s="633"/>
      <c r="E671" s="3167">
        <f t="shared" si="117"/>
        <v>1</v>
      </c>
      <c r="F671" s="633"/>
      <c r="G671" s="3167">
        <f t="shared" si="118"/>
        <v>1</v>
      </c>
      <c r="H671" s="633"/>
      <c r="I671" s="3167">
        <f t="shared" si="119"/>
        <v>1</v>
      </c>
      <c r="J671" s="633"/>
      <c r="K671" s="3167">
        <f t="shared" si="120"/>
        <v>1</v>
      </c>
      <c r="L671" s="633"/>
      <c r="M671" s="3167">
        <f t="shared" si="121"/>
        <v>1</v>
      </c>
      <c r="N671" s="633"/>
      <c r="O671" s="3167">
        <f t="shared" si="122"/>
        <v>1</v>
      </c>
      <c r="P671" s="3201" t="s">
        <v>4862</v>
      </c>
      <c r="Q671" s="3167">
        <f t="shared" si="123"/>
        <v>0.9</v>
      </c>
      <c r="R671" s="21">
        <f t="shared" ca="1" si="125"/>
        <v>16.720199999999998</v>
      </c>
      <c r="S671" s="901">
        <f t="shared" ca="1" si="124"/>
        <v>0</v>
      </c>
      <c r="T671" s="687"/>
    </row>
    <row r="672" spans="1:20">
      <c r="A672" s="631" t="str">
        <f>'5号楼'!B652</f>
        <v>B4141</v>
      </c>
      <c r="B672" s="631">
        <f>'5号楼'!C652</f>
        <v>50.93</v>
      </c>
      <c r="C672" s="3167">
        <f t="shared" si="116"/>
        <v>1</v>
      </c>
      <c r="D672" s="633"/>
      <c r="E672" s="3167">
        <f t="shared" si="117"/>
        <v>1</v>
      </c>
      <c r="F672" s="633"/>
      <c r="G672" s="3167">
        <f t="shared" si="118"/>
        <v>1</v>
      </c>
      <c r="H672" s="633"/>
      <c r="I672" s="3167">
        <f t="shared" si="119"/>
        <v>1</v>
      </c>
      <c r="J672" s="633"/>
      <c r="K672" s="3167">
        <f t="shared" si="120"/>
        <v>1</v>
      </c>
      <c r="L672" s="633"/>
      <c r="M672" s="3167">
        <f t="shared" si="121"/>
        <v>1</v>
      </c>
      <c r="N672" s="633"/>
      <c r="O672" s="3167">
        <f t="shared" si="122"/>
        <v>1</v>
      </c>
      <c r="P672" s="3201" t="s">
        <v>4862</v>
      </c>
      <c r="Q672" s="3167">
        <f t="shared" si="123"/>
        <v>0.9</v>
      </c>
      <c r="R672" s="21">
        <f t="shared" ca="1" si="125"/>
        <v>16.720199999999998</v>
      </c>
      <c r="S672" s="901">
        <f t="shared" ca="1" si="124"/>
        <v>0</v>
      </c>
      <c r="T672" s="687"/>
    </row>
    <row r="673" spans="1:20">
      <c r="A673" s="631" t="str">
        <f>'5号楼'!B653</f>
        <v>B4142</v>
      </c>
      <c r="B673" s="631">
        <f>'5号楼'!C653</f>
        <v>50.93</v>
      </c>
      <c r="C673" s="3167">
        <f t="shared" si="116"/>
        <v>1</v>
      </c>
      <c r="D673" s="633"/>
      <c r="E673" s="3167">
        <f t="shared" si="117"/>
        <v>1</v>
      </c>
      <c r="F673" s="633"/>
      <c r="G673" s="3167">
        <f t="shared" si="118"/>
        <v>1</v>
      </c>
      <c r="H673" s="633"/>
      <c r="I673" s="3167">
        <f t="shared" si="119"/>
        <v>1</v>
      </c>
      <c r="J673" s="633"/>
      <c r="K673" s="3167">
        <f t="shared" si="120"/>
        <v>1</v>
      </c>
      <c r="L673" s="633"/>
      <c r="M673" s="3167">
        <f t="shared" si="121"/>
        <v>1</v>
      </c>
      <c r="N673" s="633"/>
      <c r="O673" s="3167">
        <f t="shared" si="122"/>
        <v>1</v>
      </c>
      <c r="P673" s="3201" t="s">
        <v>4862</v>
      </c>
      <c r="Q673" s="3167">
        <f t="shared" si="123"/>
        <v>0.9</v>
      </c>
      <c r="R673" s="21">
        <f t="shared" ca="1" si="125"/>
        <v>16.720199999999998</v>
      </c>
      <c r="S673" s="901">
        <f t="shared" ca="1" si="124"/>
        <v>0</v>
      </c>
      <c r="T673" s="687"/>
    </row>
    <row r="674" spans="1:20">
      <c r="A674" s="631" t="str">
        <f>'5号楼'!B654</f>
        <v>B4143</v>
      </c>
      <c r="B674" s="631">
        <f>'5号楼'!C654</f>
        <v>50.93</v>
      </c>
      <c r="C674" s="3167">
        <f t="shared" si="116"/>
        <v>1</v>
      </c>
      <c r="D674" s="633"/>
      <c r="E674" s="3167">
        <f t="shared" si="117"/>
        <v>1</v>
      </c>
      <c r="F674" s="633"/>
      <c r="G674" s="3167">
        <f t="shared" si="118"/>
        <v>1</v>
      </c>
      <c r="H674" s="633"/>
      <c r="I674" s="3167">
        <f t="shared" si="119"/>
        <v>1</v>
      </c>
      <c r="J674" s="633"/>
      <c r="K674" s="3167">
        <f t="shared" si="120"/>
        <v>1</v>
      </c>
      <c r="L674" s="633"/>
      <c r="M674" s="3167">
        <f t="shared" si="121"/>
        <v>1</v>
      </c>
      <c r="N674" s="633"/>
      <c r="O674" s="3167">
        <f t="shared" si="122"/>
        <v>1</v>
      </c>
      <c r="P674" s="3201" t="s">
        <v>4862</v>
      </c>
      <c r="Q674" s="3167">
        <f t="shared" si="123"/>
        <v>0.9</v>
      </c>
      <c r="R674" s="21">
        <f t="shared" ca="1" si="125"/>
        <v>16.720199999999998</v>
      </c>
      <c r="S674" s="901">
        <f t="shared" ca="1" si="124"/>
        <v>0</v>
      </c>
      <c r="T674" s="687"/>
    </row>
    <row r="675" spans="1:20">
      <c r="A675" s="631" t="str">
        <f>'5号楼'!B655</f>
        <v>B4144</v>
      </c>
      <c r="B675" s="631">
        <f>'5号楼'!C655</f>
        <v>50.93</v>
      </c>
      <c r="C675" s="3167">
        <f t="shared" si="116"/>
        <v>1</v>
      </c>
      <c r="D675" s="633"/>
      <c r="E675" s="3167">
        <f t="shared" si="117"/>
        <v>1</v>
      </c>
      <c r="F675" s="633"/>
      <c r="G675" s="3167">
        <f t="shared" si="118"/>
        <v>1</v>
      </c>
      <c r="H675" s="633"/>
      <c r="I675" s="3167">
        <f t="shared" si="119"/>
        <v>1</v>
      </c>
      <c r="J675" s="633"/>
      <c r="K675" s="3167">
        <f t="shared" si="120"/>
        <v>1</v>
      </c>
      <c r="L675" s="633"/>
      <c r="M675" s="3167">
        <f t="shared" si="121"/>
        <v>1</v>
      </c>
      <c r="N675" s="633"/>
      <c r="O675" s="3167">
        <f t="shared" si="122"/>
        <v>1</v>
      </c>
      <c r="P675" s="3201" t="s">
        <v>4862</v>
      </c>
      <c r="Q675" s="3167">
        <f t="shared" si="123"/>
        <v>0.9</v>
      </c>
      <c r="R675" s="21">
        <f t="shared" ca="1" si="125"/>
        <v>16.720199999999998</v>
      </c>
      <c r="S675" s="901">
        <f t="shared" ca="1" si="124"/>
        <v>0</v>
      </c>
      <c r="T675" s="687"/>
    </row>
    <row r="676" spans="1:20">
      <c r="A676" s="631" t="str">
        <f>'5号楼'!B656</f>
        <v>B4145</v>
      </c>
      <c r="B676" s="631">
        <f>'5号楼'!C656</f>
        <v>50.93</v>
      </c>
      <c r="C676" s="3167">
        <f t="shared" si="116"/>
        <v>1</v>
      </c>
      <c r="D676" s="633"/>
      <c r="E676" s="3167">
        <f t="shared" si="117"/>
        <v>1</v>
      </c>
      <c r="F676" s="633"/>
      <c r="G676" s="3167">
        <f t="shared" si="118"/>
        <v>1</v>
      </c>
      <c r="H676" s="633"/>
      <c r="I676" s="3167">
        <f t="shared" si="119"/>
        <v>1</v>
      </c>
      <c r="J676" s="633"/>
      <c r="K676" s="3167">
        <f t="shared" si="120"/>
        <v>1</v>
      </c>
      <c r="L676" s="633"/>
      <c r="M676" s="3167">
        <f t="shared" si="121"/>
        <v>1</v>
      </c>
      <c r="N676" s="633"/>
      <c r="O676" s="3167">
        <f t="shared" si="122"/>
        <v>1</v>
      </c>
      <c r="P676" s="3201" t="s">
        <v>4862</v>
      </c>
      <c r="Q676" s="3167">
        <f t="shared" si="123"/>
        <v>0.9</v>
      </c>
      <c r="R676" s="21">
        <f t="shared" ca="1" si="125"/>
        <v>16.720199999999998</v>
      </c>
      <c r="S676" s="901">
        <f t="shared" ca="1" si="124"/>
        <v>0</v>
      </c>
      <c r="T676" s="687"/>
    </row>
    <row r="677" spans="1:20">
      <c r="A677" s="631" t="str">
        <f>'5号楼'!B657</f>
        <v>B4146</v>
      </c>
      <c r="B677" s="631">
        <f>'5号楼'!C657</f>
        <v>50.93</v>
      </c>
      <c r="C677" s="3167">
        <f t="shared" si="116"/>
        <v>1</v>
      </c>
      <c r="D677" s="633"/>
      <c r="E677" s="3167">
        <f t="shared" si="117"/>
        <v>1</v>
      </c>
      <c r="F677" s="633"/>
      <c r="G677" s="3167">
        <f t="shared" si="118"/>
        <v>1</v>
      </c>
      <c r="H677" s="633"/>
      <c r="I677" s="3167">
        <f t="shared" si="119"/>
        <v>1</v>
      </c>
      <c r="J677" s="633"/>
      <c r="K677" s="3167">
        <f t="shared" si="120"/>
        <v>1</v>
      </c>
      <c r="L677" s="633"/>
      <c r="M677" s="3167">
        <f t="shared" si="121"/>
        <v>1</v>
      </c>
      <c r="N677" s="633"/>
      <c r="O677" s="3167">
        <f t="shared" si="122"/>
        <v>1</v>
      </c>
      <c r="P677" s="3201" t="s">
        <v>4862</v>
      </c>
      <c r="Q677" s="3167">
        <f t="shared" si="123"/>
        <v>0.9</v>
      </c>
      <c r="R677" s="21">
        <f t="shared" ca="1" si="125"/>
        <v>16.720199999999998</v>
      </c>
      <c r="S677" s="901">
        <f t="shared" ca="1" si="124"/>
        <v>0</v>
      </c>
      <c r="T677" s="687"/>
    </row>
    <row r="678" spans="1:20">
      <c r="A678" s="631" t="str">
        <f>'5号楼'!B658</f>
        <v>B4147</v>
      </c>
      <c r="B678" s="631">
        <f>'5号楼'!C658</f>
        <v>50.93</v>
      </c>
      <c r="C678" s="3167">
        <f t="shared" si="116"/>
        <v>1</v>
      </c>
      <c r="D678" s="633"/>
      <c r="E678" s="3167">
        <f t="shared" si="117"/>
        <v>1</v>
      </c>
      <c r="F678" s="633"/>
      <c r="G678" s="3167">
        <f t="shared" si="118"/>
        <v>1</v>
      </c>
      <c r="H678" s="633"/>
      <c r="I678" s="3167">
        <f t="shared" si="119"/>
        <v>1</v>
      </c>
      <c r="J678" s="633"/>
      <c r="K678" s="3167">
        <f t="shared" si="120"/>
        <v>1</v>
      </c>
      <c r="L678" s="633"/>
      <c r="M678" s="3167">
        <f t="shared" si="121"/>
        <v>1</v>
      </c>
      <c r="N678" s="633"/>
      <c r="O678" s="3167">
        <f t="shared" si="122"/>
        <v>1</v>
      </c>
      <c r="P678" s="3201" t="s">
        <v>4862</v>
      </c>
      <c r="Q678" s="3167">
        <f t="shared" si="123"/>
        <v>0.9</v>
      </c>
      <c r="R678" s="21">
        <f t="shared" ca="1" si="125"/>
        <v>16.720199999999998</v>
      </c>
      <c r="S678" s="901">
        <f t="shared" ca="1" si="124"/>
        <v>0</v>
      </c>
      <c r="T678" s="687"/>
    </row>
    <row r="679" spans="1:20">
      <c r="A679" s="631" t="str">
        <f>'5号楼'!B659</f>
        <v>B4148</v>
      </c>
      <c r="B679" s="631">
        <f>'5号楼'!C659</f>
        <v>50.93</v>
      </c>
      <c r="C679" s="3167">
        <f t="shared" si="116"/>
        <v>1</v>
      </c>
      <c r="D679" s="633"/>
      <c r="E679" s="3167">
        <f t="shared" si="117"/>
        <v>1</v>
      </c>
      <c r="F679" s="633"/>
      <c r="G679" s="3167">
        <f t="shared" si="118"/>
        <v>1</v>
      </c>
      <c r="H679" s="633"/>
      <c r="I679" s="3167">
        <f t="shared" si="119"/>
        <v>1</v>
      </c>
      <c r="J679" s="633"/>
      <c r="K679" s="3167">
        <f t="shared" si="120"/>
        <v>1</v>
      </c>
      <c r="L679" s="633"/>
      <c r="M679" s="3167">
        <f t="shared" si="121"/>
        <v>1</v>
      </c>
      <c r="N679" s="633"/>
      <c r="O679" s="3167">
        <f t="shared" si="122"/>
        <v>1</v>
      </c>
      <c r="P679" s="3201" t="s">
        <v>4862</v>
      </c>
      <c r="Q679" s="3167">
        <f t="shared" si="123"/>
        <v>0.9</v>
      </c>
      <c r="R679" s="21">
        <f t="shared" ca="1" si="125"/>
        <v>16.720199999999998</v>
      </c>
      <c r="S679" s="901">
        <f t="shared" ca="1" si="124"/>
        <v>0</v>
      </c>
      <c r="T679" s="687"/>
    </row>
    <row r="680" spans="1:20">
      <c r="A680" s="631" t="str">
        <f>'5号楼'!B660</f>
        <v>B4149</v>
      </c>
      <c r="B680" s="631">
        <f>'5号楼'!C660</f>
        <v>50.93</v>
      </c>
      <c r="C680" s="3167">
        <f t="shared" si="116"/>
        <v>1</v>
      </c>
      <c r="D680" s="633"/>
      <c r="E680" s="3167">
        <f t="shared" si="117"/>
        <v>1</v>
      </c>
      <c r="F680" s="633"/>
      <c r="G680" s="3167">
        <f t="shared" si="118"/>
        <v>1</v>
      </c>
      <c r="H680" s="633"/>
      <c r="I680" s="3167">
        <f t="shared" si="119"/>
        <v>1</v>
      </c>
      <c r="J680" s="633"/>
      <c r="K680" s="3167">
        <f t="shared" si="120"/>
        <v>1</v>
      </c>
      <c r="L680" s="633"/>
      <c r="M680" s="3167">
        <f t="shared" si="121"/>
        <v>1</v>
      </c>
      <c r="N680" s="633"/>
      <c r="O680" s="3167">
        <f t="shared" si="122"/>
        <v>1</v>
      </c>
      <c r="P680" s="3201" t="s">
        <v>4862</v>
      </c>
      <c r="Q680" s="3167">
        <f t="shared" si="123"/>
        <v>0.9</v>
      </c>
      <c r="R680" s="21">
        <f t="shared" ca="1" si="125"/>
        <v>16.720199999999998</v>
      </c>
      <c r="S680" s="901">
        <f t="shared" ca="1" si="124"/>
        <v>0</v>
      </c>
      <c r="T680" s="687"/>
    </row>
    <row r="681" spans="1:20">
      <c r="A681" s="631" t="str">
        <f>'5号楼'!B661</f>
        <v>B4150</v>
      </c>
      <c r="B681" s="631">
        <f>'5号楼'!C661</f>
        <v>50.93</v>
      </c>
      <c r="C681" s="3167">
        <f t="shared" si="116"/>
        <v>1</v>
      </c>
      <c r="D681" s="633"/>
      <c r="E681" s="3167">
        <f t="shared" si="117"/>
        <v>1</v>
      </c>
      <c r="F681" s="633"/>
      <c r="G681" s="3167">
        <f t="shared" si="118"/>
        <v>1</v>
      </c>
      <c r="H681" s="633"/>
      <c r="I681" s="3167">
        <f t="shared" si="119"/>
        <v>1</v>
      </c>
      <c r="J681" s="633"/>
      <c r="K681" s="3167">
        <f t="shared" si="120"/>
        <v>1</v>
      </c>
      <c r="L681" s="633"/>
      <c r="M681" s="3167">
        <f t="shared" si="121"/>
        <v>1</v>
      </c>
      <c r="N681" s="633"/>
      <c r="O681" s="3167">
        <f t="shared" si="122"/>
        <v>1</v>
      </c>
      <c r="P681" s="3201" t="s">
        <v>4862</v>
      </c>
      <c r="Q681" s="3167">
        <f t="shared" si="123"/>
        <v>0.9</v>
      </c>
      <c r="R681" s="21">
        <f t="shared" ca="1" si="125"/>
        <v>16.720199999999998</v>
      </c>
      <c r="S681" s="901">
        <f t="shared" ca="1" si="124"/>
        <v>0</v>
      </c>
      <c r="T681" s="687"/>
    </row>
    <row r="682" spans="1:20">
      <c r="A682" s="631" t="str">
        <f>'5号楼'!B662</f>
        <v>B4151</v>
      </c>
      <c r="B682" s="631">
        <f>'5号楼'!C662</f>
        <v>50.93</v>
      </c>
      <c r="C682" s="3167">
        <f t="shared" si="116"/>
        <v>1</v>
      </c>
      <c r="D682" s="633"/>
      <c r="E682" s="3167">
        <f t="shared" si="117"/>
        <v>1</v>
      </c>
      <c r="F682" s="633"/>
      <c r="G682" s="3167">
        <f t="shared" si="118"/>
        <v>1</v>
      </c>
      <c r="H682" s="633"/>
      <c r="I682" s="3167">
        <f t="shared" si="119"/>
        <v>1</v>
      </c>
      <c r="J682" s="633"/>
      <c r="K682" s="3167">
        <f t="shared" si="120"/>
        <v>1</v>
      </c>
      <c r="L682" s="633"/>
      <c r="M682" s="3167">
        <f t="shared" si="121"/>
        <v>1</v>
      </c>
      <c r="N682" s="633"/>
      <c r="O682" s="3167">
        <f t="shared" si="122"/>
        <v>1</v>
      </c>
      <c r="P682" s="3201" t="s">
        <v>4862</v>
      </c>
      <c r="Q682" s="3167">
        <f t="shared" si="123"/>
        <v>0.9</v>
      </c>
      <c r="R682" s="21">
        <f t="shared" ca="1" si="125"/>
        <v>16.720199999999998</v>
      </c>
      <c r="S682" s="901">
        <f t="shared" ca="1" si="124"/>
        <v>0</v>
      </c>
      <c r="T682" s="687"/>
    </row>
    <row r="683" spans="1:20">
      <c r="A683" s="631" t="str">
        <f>'5号楼'!B663</f>
        <v>B4152</v>
      </c>
      <c r="B683" s="631">
        <f>'5号楼'!C663</f>
        <v>50.93</v>
      </c>
      <c r="C683" s="3167">
        <f t="shared" si="116"/>
        <v>1</v>
      </c>
      <c r="D683" s="633"/>
      <c r="E683" s="3167">
        <f t="shared" si="117"/>
        <v>1</v>
      </c>
      <c r="F683" s="633"/>
      <c r="G683" s="3167">
        <f t="shared" si="118"/>
        <v>1</v>
      </c>
      <c r="H683" s="633"/>
      <c r="I683" s="3167">
        <f t="shared" si="119"/>
        <v>1</v>
      </c>
      <c r="J683" s="633"/>
      <c r="K683" s="3167">
        <f t="shared" si="120"/>
        <v>1</v>
      </c>
      <c r="L683" s="633"/>
      <c r="M683" s="3167">
        <f t="shared" si="121"/>
        <v>1</v>
      </c>
      <c r="N683" s="633"/>
      <c r="O683" s="3167">
        <f t="shared" si="122"/>
        <v>1</v>
      </c>
      <c r="P683" s="3201" t="s">
        <v>4862</v>
      </c>
      <c r="Q683" s="3167">
        <f t="shared" si="123"/>
        <v>0.9</v>
      </c>
      <c r="R683" s="21">
        <f t="shared" ca="1" si="125"/>
        <v>16.720199999999998</v>
      </c>
      <c r="S683" s="901">
        <f t="shared" ca="1" si="124"/>
        <v>0</v>
      </c>
      <c r="T683" s="687"/>
    </row>
    <row r="684" spans="1:20">
      <c r="A684" s="631" t="str">
        <f>'5号楼'!B664</f>
        <v>B4153</v>
      </c>
      <c r="B684" s="631">
        <f>'5号楼'!C664</f>
        <v>50.93</v>
      </c>
      <c r="C684" s="3167">
        <f t="shared" si="116"/>
        <v>1</v>
      </c>
      <c r="D684" s="633"/>
      <c r="E684" s="3167">
        <f t="shared" si="117"/>
        <v>1</v>
      </c>
      <c r="F684" s="633"/>
      <c r="G684" s="3167">
        <f t="shared" si="118"/>
        <v>1</v>
      </c>
      <c r="H684" s="633"/>
      <c r="I684" s="3167">
        <f t="shared" si="119"/>
        <v>1</v>
      </c>
      <c r="J684" s="633"/>
      <c r="K684" s="3167">
        <f t="shared" si="120"/>
        <v>1</v>
      </c>
      <c r="L684" s="633"/>
      <c r="M684" s="3167">
        <f t="shared" si="121"/>
        <v>1</v>
      </c>
      <c r="N684" s="633"/>
      <c r="O684" s="3167">
        <f t="shared" si="122"/>
        <v>1</v>
      </c>
      <c r="P684" s="3201" t="s">
        <v>4862</v>
      </c>
      <c r="Q684" s="3167">
        <f t="shared" si="123"/>
        <v>0.9</v>
      </c>
      <c r="R684" s="21">
        <f t="shared" ca="1" si="125"/>
        <v>16.720199999999998</v>
      </c>
      <c r="S684" s="901">
        <f t="shared" ca="1" si="124"/>
        <v>0</v>
      </c>
      <c r="T684" s="687"/>
    </row>
    <row r="685" spans="1:20">
      <c r="A685" s="631" t="str">
        <f>'5号楼'!B665</f>
        <v>B4154</v>
      </c>
      <c r="B685" s="631">
        <f>'5号楼'!C665</f>
        <v>50.93</v>
      </c>
      <c r="C685" s="3167">
        <f t="shared" si="116"/>
        <v>1</v>
      </c>
      <c r="D685" s="633"/>
      <c r="E685" s="3167">
        <f t="shared" si="117"/>
        <v>1</v>
      </c>
      <c r="F685" s="633"/>
      <c r="G685" s="3167">
        <f t="shared" si="118"/>
        <v>1</v>
      </c>
      <c r="H685" s="633"/>
      <c r="I685" s="3167">
        <f t="shared" si="119"/>
        <v>1</v>
      </c>
      <c r="J685" s="633"/>
      <c r="K685" s="3167">
        <f t="shared" si="120"/>
        <v>1</v>
      </c>
      <c r="L685" s="633"/>
      <c r="M685" s="3167">
        <f t="shared" si="121"/>
        <v>1</v>
      </c>
      <c r="N685" s="633"/>
      <c r="O685" s="3167">
        <f t="shared" si="122"/>
        <v>1</v>
      </c>
      <c r="P685" s="3201" t="s">
        <v>4862</v>
      </c>
      <c r="Q685" s="3167">
        <f t="shared" si="123"/>
        <v>0.9</v>
      </c>
      <c r="R685" s="21">
        <f t="shared" ca="1" si="125"/>
        <v>16.720199999999998</v>
      </c>
      <c r="S685" s="901">
        <f t="shared" ca="1" si="124"/>
        <v>0</v>
      </c>
      <c r="T685" s="687"/>
    </row>
    <row r="686" spans="1:20">
      <c r="A686" s="631" t="str">
        <f>'5号楼'!B666</f>
        <v>B4155</v>
      </c>
      <c r="B686" s="631">
        <f>'5号楼'!C666</f>
        <v>50.93</v>
      </c>
      <c r="C686" s="3167">
        <f t="shared" si="116"/>
        <v>1</v>
      </c>
      <c r="D686" s="633"/>
      <c r="E686" s="3167">
        <f t="shared" si="117"/>
        <v>1</v>
      </c>
      <c r="F686" s="633"/>
      <c r="G686" s="3167">
        <f t="shared" si="118"/>
        <v>1</v>
      </c>
      <c r="H686" s="633"/>
      <c r="I686" s="3167">
        <f t="shared" si="119"/>
        <v>1</v>
      </c>
      <c r="J686" s="633"/>
      <c r="K686" s="3167">
        <f t="shared" si="120"/>
        <v>1</v>
      </c>
      <c r="L686" s="633"/>
      <c r="M686" s="3167">
        <f t="shared" si="121"/>
        <v>1</v>
      </c>
      <c r="N686" s="633"/>
      <c r="O686" s="3167">
        <f t="shared" si="122"/>
        <v>1</v>
      </c>
      <c r="P686" s="3201" t="s">
        <v>4862</v>
      </c>
      <c r="Q686" s="3167">
        <f t="shared" si="123"/>
        <v>0.9</v>
      </c>
      <c r="R686" s="21">
        <f t="shared" ca="1" si="125"/>
        <v>16.720199999999998</v>
      </c>
      <c r="S686" s="901">
        <f t="shared" ca="1" si="124"/>
        <v>0</v>
      </c>
      <c r="T686" s="687"/>
    </row>
    <row r="687" spans="1:20">
      <c r="A687" s="631" t="str">
        <f>'5号楼'!B667</f>
        <v>B4156</v>
      </c>
      <c r="B687" s="631">
        <f>'5号楼'!C667</f>
        <v>59.92</v>
      </c>
      <c r="C687" s="3167">
        <f t="shared" si="116"/>
        <v>1</v>
      </c>
      <c r="D687" s="633"/>
      <c r="E687" s="3167">
        <f t="shared" si="117"/>
        <v>1</v>
      </c>
      <c r="F687" s="633"/>
      <c r="G687" s="3167">
        <f t="shared" si="118"/>
        <v>1</v>
      </c>
      <c r="H687" s="633"/>
      <c r="I687" s="3167">
        <f t="shared" si="119"/>
        <v>1</v>
      </c>
      <c r="J687" s="633"/>
      <c r="K687" s="3167">
        <f t="shared" si="120"/>
        <v>1</v>
      </c>
      <c r="L687" s="633"/>
      <c r="M687" s="3167">
        <f t="shared" si="121"/>
        <v>1</v>
      </c>
      <c r="N687" s="633"/>
      <c r="O687" s="3167">
        <f t="shared" si="122"/>
        <v>1</v>
      </c>
      <c r="P687" s="3201" t="s">
        <v>4862</v>
      </c>
      <c r="Q687" s="3167">
        <f t="shared" si="123"/>
        <v>0.9</v>
      </c>
      <c r="R687" s="21">
        <f t="shared" ca="1" si="125"/>
        <v>16.720199999999998</v>
      </c>
      <c r="S687" s="901">
        <f t="shared" ca="1" si="124"/>
        <v>0</v>
      </c>
      <c r="T687" s="687"/>
    </row>
    <row r="688" spans="1:20">
      <c r="A688" s="631" t="str">
        <f>'5号楼'!B668</f>
        <v>B4157</v>
      </c>
      <c r="B688" s="631">
        <f>'5号楼'!C668</f>
        <v>50.93</v>
      </c>
      <c r="C688" s="3167">
        <f t="shared" si="116"/>
        <v>1</v>
      </c>
      <c r="D688" s="633"/>
      <c r="E688" s="3167">
        <f t="shared" si="117"/>
        <v>1</v>
      </c>
      <c r="F688" s="633"/>
      <c r="G688" s="3167">
        <f t="shared" si="118"/>
        <v>1</v>
      </c>
      <c r="H688" s="633"/>
      <c r="I688" s="3167">
        <f t="shared" si="119"/>
        <v>1</v>
      </c>
      <c r="J688" s="633"/>
      <c r="K688" s="3167">
        <f t="shared" si="120"/>
        <v>1</v>
      </c>
      <c r="L688" s="633"/>
      <c r="M688" s="3167">
        <f t="shared" si="121"/>
        <v>1</v>
      </c>
      <c r="N688" s="633"/>
      <c r="O688" s="3167">
        <f t="shared" si="122"/>
        <v>1</v>
      </c>
      <c r="P688" s="3201" t="s">
        <v>4862</v>
      </c>
      <c r="Q688" s="3167">
        <f t="shared" si="123"/>
        <v>0.9</v>
      </c>
      <c r="R688" s="21">
        <f t="shared" ca="1" si="125"/>
        <v>16.720199999999998</v>
      </c>
      <c r="S688" s="901">
        <f t="shared" ca="1" si="124"/>
        <v>0</v>
      </c>
      <c r="T688" s="687"/>
    </row>
    <row r="689" spans="1:20">
      <c r="A689" s="631" t="str">
        <f>'5号楼'!B669</f>
        <v>B4158</v>
      </c>
      <c r="B689" s="631">
        <f>'5号楼'!C669</f>
        <v>50.93</v>
      </c>
      <c r="C689" s="3167">
        <f t="shared" si="116"/>
        <v>1</v>
      </c>
      <c r="D689" s="633"/>
      <c r="E689" s="3167">
        <f t="shared" si="117"/>
        <v>1</v>
      </c>
      <c r="F689" s="633"/>
      <c r="G689" s="3167">
        <f t="shared" si="118"/>
        <v>1</v>
      </c>
      <c r="H689" s="633"/>
      <c r="I689" s="3167">
        <f t="shared" si="119"/>
        <v>1</v>
      </c>
      <c r="J689" s="633"/>
      <c r="K689" s="3167">
        <f t="shared" si="120"/>
        <v>1</v>
      </c>
      <c r="L689" s="633"/>
      <c r="M689" s="3167">
        <f t="shared" si="121"/>
        <v>1</v>
      </c>
      <c r="N689" s="633"/>
      <c r="O689" s="3167">
        <f t="shared" si="122"/>
        <v>1</v>
      </c>
      <c r="P689" s="3201" t="s">
        <v>4862</v>
      </c>
      <c r="Q689" s="3167">
        <f t="shared" si="123"/>
        <v>0.9</v>
      </c>
      <c r="R689" s="21">
        <f t="shared" ca="1" si="125"/>
        <v>16.720199999999998</v>
      </c>
      <c r="S689" s="901">
        <f t="shared" ca="1" si="124"/>
        <v>0</v>
      </c>
      <c r="T689" s="687"/>
    </row>
    <row r="690" spans="1:20">
      <c r="A690" s="631" t="str">
        <f>'5号楼'!B670</f>
        <v>B4159</v>
      </c>
      <c r="B690" s="631">
        <f>'5号楼'!C670</f>
        <v>50.93</v>
      </c>
      <c r="C690" s="3167">
        <f t="shared" si="116"/>
        <v>1</v>
      </c>
      <c r="D690" s="633"/>
      <c r="E690" s="3167">
        <f t="shared" si="117"/>
        <v>1</v>
      </c>
      <c r="F690" s="633"/>
      <c r="G690" s="3167">
        <f t="shared" si="118"/>
        <v>1</v>
      </c>
      <c r="H690" s="633"/>
      <c r="I690" s="3167">
        <f t="shared" si="119"/>
        <v>1</v>
      </c>
      <c r="J690" s="633"/>
      <c r="K690" s="3167">
        <f t="shared" si="120"/>
        <v>1</v>
      </c>
      <c r="L690" s="633"/>
      <c r="M690" s="3167">
        <f t="shared" si="121"/>
        <v>1</v>
      </c>
      <c r="N690" s="633"/>
      <c r="O690" s="3167">
        <f t="shared" si="122"/>
        <v>1</v>
      </c>
      <c r="P690" s="3201" t="s">
        <v>4862</v>
      </c>
      <c r="Q690" s="3167">
        <f t="shared" si="123"/>
        <v>0.9</v>
      </c>
      <c r="R690" s="21">
        <f t="shared" ca="1" si="125"/>
        <v>16.720199999999998</v>
      </c>
      <c r="S690" s="901">
        <f t="shared" ca="1" si="124"/>
        <v>0</v>
      </c>
      <c r="T690" s="687"/>
    </row>
    <row r="691" spans="1:20">
      <c r="A691" s="631" t="str">
        <f>'5号楼'!B671</f>
        <v>B4160</v>
      </c>
      <c r="B691" s="631">
        <f>'5号楼'!C671</f>
        <v>50.93</v>
      </c>
      <c r="C691" s="3167">
        <f t="shared" si="116"/>
        <v>1</v>
      </c>
      <c r="D691" s="633"/>
      <c r="E691" s="3167">
        <f t="shared" si="117"/>
        <v>1</v>
      </c>
      <c r="F691" s="633"/>
      <c r="G691" s="3167">
        <f t="shared" si="118"/>
        <v>1</v>
      </c>
      <c r="H691" s="633"/>
      <c r="I691" s="3167">
        <f t="shared" si="119"/>
        <v>1</v>
      </c>
      <c r="J691" s="633"/>
      <c r="K691" s="3167">
        <f t="shared" si="120"/>
        <v>1</v>
      </c>
      <c r="L691" s="633"/>
      <c r="M691" s="3167">
        <f t="shared" si="121"/>
        <v>1</v>
      </c>
      <c r="N691" s="633"/>
      <c r="O691" s="3167">
        <f t="shared" si="122"/>
        <v>1</v>
      </c>
      <c r="P691" s="3201" t="s">
        <v>4862</v>
      </c>
      <c r="Q691" s="3167">
        <f t="shared" si="123"/>
        <v>0.9</v>
      </c>
      <c r="R691" s="21">
        <f t="shared" ca="1" si="125"/>
        <v>16.720199999999998</v>
      </c>
      <c r="S691" s="901">
        <f t="shared" ca="1" si="124"/>
        <v>0</v>
      </c>
      <c r="T691" s="687"/>
    </row>
    <row r="692" spans="1:20">
      <c r="A692" s="631" t="str">
        <f>'5号楼'!B672</f>
        <v>B4161</v>
      </c>
      <c r="B692" s="631">
        <f>'5号楼'!C672</f>
        <v>50.93</v>
      </c>
      <c r="C692" s="3167">
        <f t="shared" si="116"/>
        <v>1</v>
      </c>
      <c r="D692" s="633"/>
      <c r="E692" s="3167">
        <f t="shared" si="117"/>
        <v>1</v>
      </c>
      <c r="F692" s="633"/>
      <c r="G692" s="3167">
        <f t="shared" si="118"/>
        <v>1</v>
      </c>
      <c r="H692" s="633"/>
      <c r="I692" s="3167">
        <f t="shared" si="119"/>
        <v>1</v>
      </c>
      <c r="J692" s="633"/>
      <c r="K692" s="3167">
        <f t="shared" si="120"/>
        <v>1</v>
      </c>
      <c r="L692" s="633"/>
      <c r="M692" s="3167">
        <f t="shared" si="121"/>
        <v>1</v>
      </c>
      <c r="N692" s="633"/>
      <c r="O692" s="3167">
        <f t="shared" si="122"/>
        <v>1</v>
      </c>
      <c r="P692" s="3201" t="s">
        <v>4862</v>
      </c>
      <c r="Q692" s="3167">
        <f t="shared" si="123"/>
        <v>0.9</v>
      </c>
      <c r="R692" s="21">
        <f t="shared" ca="1" si="125"/>
        <v>16.720199999999998</v>
      </c>
      <c r="S692" s="901">
        <f t="shared" ca="1" si="124"/>
        <v>0</v>
      </c>
      <c r="T692" s="687"/>
    </row>
    <row r="693" spans="1:20">
      <c r="A693" s="631" t="str">
        <f>'5号楼'!B673</f>
        <v>B4162</v>
      </c>
      <c r="B693" s="631">
        <f>'5号楼'!C673</f>
        <v>50.93</v>
      </c>
      <c r="C693" s="3167">
        <f t="shared" si="116"/>
        <v>1</v>
      </c>
      <c r="D693" s="633"/>
      <c r="E693" s="3167">
        <f t="shared" si="117"/>
        <v>1</v>
      </c>
      <c r="F693" s="633"/>
      <c r="G693" s="3167">
        <f t="shared" si="118"/>
        <v>1</v>
      </c>
      <c r="H693" s="633"/>
      <c r="I693" s="3167">
        <f t="shared" si="119"/>
        <v>1</v>
      </c>
      <c r="J693" s="633"/>
      <c r="K693" s="3167">
        <f t="shared" si="120"/>
        <v>1</v>
      </c>
      <c r="L693" s="633"/>
      <c r="M693" s="3167">
        <f t="shared" si="121"/>
        <v>1</v>
      </c>
      <c r="N693" s="633"/>
      <c r="O693" s="3167">
        <f t="shared" si="122"/>
        <v>1</v>
      </c>
      <c r="P693" s="3201" t="s">
        <v>4862</v>
      </c>
      <c r="Q693" s="3167">
        <f t="shared" si="123"/>
        <v>0.9</v>
      </c>
      <c r="R693" s="21">
        <f t="shared" ca="1" si="125"/>
        <v>16.720199999999998</v>
      </c>
      <c r="S693" s="901">
        <f t="shared" ca="1" si="124"/>
        <v>0</v>
      </c>
      <c r="T693" s="687"/>
    </row>
    <row r="694" spans="1:20">
      <c r="A694" s="631" t="str">
        <f>'5号楼'!B674</f>
        <v>B4163</v>
      </c>
      <c r="B694" s="631">
        <f>'5号楼'!C674</f>
        <v>52.93</v>
      </c>
      <c r="C694" s="3167">
        <f t="shared" si="116"/>
        <v>1</v>
      </c>
      <c r="D694" s="633"/>
      <c r="E694" s="3167">
        <f t="shared" si="117"/>
        <v>1</v>
      </c>
      <c r="F694" s="633"/>
      <c r="G694" s="3167">
        <f t="shared" si="118"/>
        <v>1</v>
      </c>
      <c r="H694" s="633"/>
      <c r="I694" s="3167">
        <f t="shared" si="119"/>
        <v>1</v>
      </c>
      <c r="J694" s="633"/>
      <c r="K694" s="3167">
        <f t="shared" si="120"/>
        <v>1</v>
      </c>
      <c r="L694" s="633"/>
      <c r="M694" s="3167">
        <f t="shared" si="121"/>
        <v>1</v>
      </c>
      <c r="N694" s="633"/>
      <c r="O694" s="3167">
        <f t="shared" si="122"/>
        <v>1</v>
      </c>
      <c r="P694" s="3201" t="s">
        <v>4862</v>
      </c>
      <c r="Q694" s="3167">
        <f t="shared" si="123"/>
        <v>0.9</v>
      </c>
      <c r="R694" s="21">
        <f t="shared" ca="1" si="125"/>
        <v>16.720199999999998</v>
      </c>
      <c r="S694" s="901">
        <f t="shared" ca="1" si="124"/>
        <v>0</v>
      </c>
      <c r="T694" s="687"/>
    </row>
    <row r="695" spans="1:20">
      <c r="A695" s="631" t="str">
        <f>'5号楼'!B675</f>
        <v>B4164</v>
      </c>
      <c r="B695" s="631">
        <f>'5号楼'!C675</f>
        <v>52.93</v>
      </c>
      <c r="C695" s="3167">
        <f t="shared" si="116"/>
        <v>1</v>
      </c>
      <c r="D695" s="633"/>
      <c r="E695" s="3167">
        <f t="shared" si="117"/>
        <v>1</v>
      </c>
      <c r="F695" s="633"/>
      <c r="G695" s="3167">
        <f t="shared" si="118"/>
        <v>1</v>
      </c>
      <c r="H695" s="633"/>
      <c r="I695" s="3167">
        <f t="shared" si="119"/>
        <v>1</v>
      </c>
      <c r="J695" s="633"/>
      <c r="K695" s="3167">
        <f t="shared" si="120"/>
        <v>1</v>
      </c>
      <c r="L695" s="633"/>
      <c r="M695" s="3167">
        <f t="shared" si="121"/>
        <v>1</v>
      </c>
      <c r="N695" s="633"/>
      <c r="O695" s="3167">
        <f t="shared" si="122"/>
        <v>1</v>
      </c>
      <c r="P695" s="3201" t="s">
        <v>4862</v>
      </c>
      <c r="Q695" s="3167">
        <f t="shared" si="123"/>
        <v>0.9</v>
      </c>
      <c r="R695" s="21">
        <f t="shared" ca="1" si="125"/>
        <v>16.720199999999998</v>
      </c>
      <c r="S695" s="901">
        <f t="shared" ca="1" si="124"/>
        <v>0</v>
      </c>
      <c r="T695" s="687"/>
    </row>
    <row r="696" spans="1:20">
      <c r="A696" s="631" t="str">
        <f>'5号楼'!B676</f>
        <v>B4165</v>
      </c>
      <c r="B696" s="631">
        <f>'5号楼'!C676</f>
        <v>52.93</v>
      </c>
      <c r="C696" s="3167">
        <f t="shared" si="116"/>
        <v>1</v>
      </c>
      <c r="D696" s="633"/>
      <c r="E696" s="3167">
        <f t="shared" si="117"/>
        <v>1</v>
      </c>
      <c r="F696" s="633"/>
      <c r="G696" s="3167">
        <f t="shared" si="118"/>
        <v>1</v>
      </c>
      <c r="H696" s="633"/>
      <c r="I696" s="3167">
        <f t="shared" si="119"/>
        <v>1</v>
      </c>
      <c r="J696" s="633"/>
      <c r="K696" s="3167">
        <f t="shared" si="120"/>
        <v>1</v>
      </c>
      <c r="L696" s="633"/>
      <c r="M696" s="3167">
        <f t="shared" si="121"/>
        <v>1</v>
      </c>
      <c r="N696" s="633"/>
      <c r="O696" s="3167">
        <f t="shared" si="122"/>
        <v>1</v>
      </c>
      <c r="P696" s="3201" t="s">
        <v>4862</v>
      </c>
      <c r="Q696" s="3167">
        <f t="shared" si="123"/>
        <v>0.9</v>
      </c>
      <c r="R696" s="21">
        <f t="shared" ca="1" si="125"/>
        <v>16.720199999999998</v>
      </c>
      <c r="S696" s="901">
        <f t="shared" ca="1" si="124"/>
        <v>0</v>
      </c>
      <c r="T696" s="687"/>
    </row>
    <row r="697" spans="1:20">
      <c r="A697" s="631" t="str">
        <f>'5号楼'!B677</f>
        <v>B4166</v>
      </c>
      <c r="B697" s="631">
        <f>'5号楼'!C677</f>
        <v>52.93</v>
      </c>
      <c r="C697" s="3167">
        <f t="shared" si="116"/>
        <v>1</v>
      </c>
      <c r="D697" s="633"/>
      <c r="E697" s="3167">
        <f t="shared" si="117"/>
        <v>1</v>
      </c>
      <c r="F697" s="633"/>
      <c r="G697" s="3167">
        <f t="shared" si="118"/>
        <v>1</v>
      </c>
      <c r="H697" s="633"/>
      <c r="I697" s="3167">
        <f t="shared" si="119"/>
        <v>1</v>
      </c>
      <c r="J697" s="633"/>
      <c r="K697" s="3167">
        <f t="shared" si="120"/>
        <v>1</v>
      </c>
      <c r="L697" s="633"/>
      <c r="M697" s="3167">
        <f t="shared" si="121"/>
        <v>1</v>
      </c>
      <c r="N697" s="633"/>
      <c r="O697" s="3167">
        <f t="shared" si="122"/>
        <v>1</v>
      </c>
      <c r="P697" s="3201" t="s">
        <v>4862</v>
      </c>
      <c r="Q697" s="3167">
        <f t="shared" si="123"/>
        <v>0.9</v>
      </c>
      <c r="R697" s="21">
        <f t="shared" ca="1" si="125"/>
        <v>16.720199999999998</v>
      </c>
      <c r="S697" s="901">
        <f t="shared" ca="1" si="124"/>
        <v>0</v>
      </c>
      <c r="T697" s="687"/>
    </row>
    <row r="698" spans="1:20">
      <c r="A698" s="631" t="str">
        <f>'5号楼'!B678</f>
        <v>B4167</v>
      </c>
      <c r="B698" s="631">
        <f>'5号楼'!C678</f>
        <v>52.93</v>
      </c>
      <c r="C698" s="3167">
        <f t="shared" si="116"/>
        <v>1</v>
      </c>
      <c r="D698" s="633"/>
      <c r="E698" s="3167">
        <f t="shared" si="117"/>
        <v>1</v>
      </c>
      <c r="F698" s="633"/>
      <c r="G698" s="3167">
        <f t="shared" si="118"/>
        <v>1</v>
      </c>
      <c r="H698" s="633"/>
      <c r="I698" s="3167">
        <f t="shared" si="119"/>
        <v>1</v>
      </c>
      <c r="J698" s="633"/>
      <c r="K698" s="3167">
        <f t="shared" si="120"/>
        <v>1</v>
      </c>
      <c r="L698" s="633"/>
      <c r="M698" s="3167">
        <f t="shared" si="121"/>
        <v>1</v>
      </c>
      <c r="N698" s="633"/>
      <c r="O698" s="3167">
        <f t="shared" si="122"/>
        <v>1</v>
      </c>
      <c r="P698" s="3201" t="s">
        <v>4862</v>
      </c>
      <c r="Q698" s="3167">
        <f t="shared" si="123"/>
        <v>0.9</v>
      </c>
      <c r="R698" s="21">
        <f t="shared" ca="1" si="125"/>
        <v>16.720199999999998</v>
      </c>
      <c r="S698" s="901">
        <f t="shared" ca="1" si="124"/>
        <v>0</v>
      </c>
      <c r="T698" s="687"/>
    </row>
    <row r="699" spans="1:20">
      <c r="A699" s="631" t="str">
        <f>'5号楼'!B679</f>
        <v>B4168</v>
      </c>
      <c r="B699" s="631">
        <f>'5号楼'!C679</f>
        <v>52.93</v>
      </c>
      <c r="C699" s="3167">
        <f t="shared" si="116"/>
        <v>1</v>
      </c>
      <c r="D699" s="633"/>
      <c r="E699" s="3167">
        <f t="shared" si="117"/>
        <v>1</v>
      </c>
      <c r="F699" s="633"/>
      <c r="G699" s="3167">
        <f t="shared" si="118"/>
        <v>1</v>
      </c>
      <c r="H699" s="633"/>
      <c r="I699" s="3167">
        <f t="shared" si="119"/>
        <v>1</v>
      </c>
      <c r="J699" s="633"/>
      <c r="K699" s="3167">
        <f t="shared" si="120"/>
        <v>1</v>
      </c>
      <c r="L699" s="633"/>
      <c r="M699" s="3167">
        <f t="shared" si="121"/>
        <v>1</v>
      </c>
      <c r="N699" s="633"/>
      <c r="O699" s="3167">
        <f t="shared" si="122"/>
        <v>1</v>
      </c>
      <c r="P699" s="3201" t="s">
        <v>4862</v>
      </c>
      <c r="Q699" s="3167">
        <f t="shared" si="123"/>
        <v>0.9</v>
      </c>
      <c r="R699" s="21">
        <f t="shared" ca="1" si="125"/>
        <v>16.720199999999998</v>
      </c>
      <c r="S699" s="901">
        <f t="shared" ca="1" si="124"/>
        <v>0</v>
      </c>
      <c r="T699" s="687"/>
    </row>
    <row r="700" spans="1:20">
      <c r="A700" s="631" t="str">
        <f>'5号楼'!B680</f>
        <v>B4169</v>
      </c>
      <c r="B700" s="631">
        <f>'5号楼'!C680</f>
        <v>52.93</v>
      </c>
      <c r="C700" s="3167">
        <f t="shared" si="116"/>
        <v>1</v>
      </c>
      <c r="D700" s="633"/>
      <c r="E700" s="3167">
        <f t="shared" si="117"/>
        <v>1</v>
      </c>
      <c r="F700" s="633"/>
      <c r="G700" s="3167">
        <f t="shared" si="118"/>
        <v>1</v>
      </c>
      <c r="H700" s="633"/>
      <c r="I700" s="3167">
        <f t="shared" si="119"/>
        <v>1</v>
      </c>
      <c r="J700" s="633"/>
      <c r="K700" s="3167">
        <f t="shared" si="120"/>
        <v>1</v>
      </c>
      <c r="L700" s="633"/>
      <c r="M700" s="3167">
        <f t="shared" si="121"/>
        <v>1</v>
      </c>
      <c r="N700" s="633"/>
      <c r="O700" s="3167">
        <f t="shared" si="122"/>
        <v>1</v>
      </c>
      <c r="P700" s="3201" t="s">
        <v>4862</v>
      </c>
      <c r="Q700" s="3167">
        <f t="shared" si="123"/>
        <v>0.9</v>
      </c>
      <c r="R700" s="21">
        <f t="shared" ca="1" si="125"/>
        <v>16.720199999999998</v>
      </c>
      <c r="S700" s="901">
        <f t="shared" ca="1" si="124"/>
        <v>0</v>
      </c>
      <c r="T700" s="687"/>
    </row>
    <row r="701" spans="1:20">
      <c r="A701" s="631" t="str">
        <f>'5号楼'!B681</f>
        <v>B4170</v>
      </c>
      <c r="B701" s="631">
        <f>'5号楼'!C681</f>
        <v>52.93</v>
      </c>
      <c r="C701" s="3167">
        <f t="shared" si="116"/>
        <v>1</v>
      </c>
      <c r="D701" s="633"/>
      <c r="E701" s="3167">
        <f t="shared" si="117"/>
        <v>1</v>
      </c>
      <c r="F701" s="633"/>
      <c r="G701" s="3167">
        <f t="shared" si="118"/>
        <v>1</v>
      </c>
      <c r="H701" s="633"/>
      <c r="I701" s="3167">
        <f t="shared" si="119"/>
        <v>1</v>
      </c>
      <c r="J701" s="633"/>
      <c r="K701" s="3167">
        <f t="shared" si="120"/>
        <v>1</v>
      </c>
      <c r="L701" s="633"/>
      <c r="M701" s="3167">
        <f t="shared" si="121"/>
        <v>1</v>
      </c>
      <c r="N701" s="633"/>
      <c r="O701" s="3167">
        <f t="shared" si="122"/>
        <v>1</v>
      </c>
      <c r="P701" s="3201" t="s">
        <v>4862</v>
      </c>
      <c r="Q701" s="3167">
        <f t="shared" si="123"/>
        <v>0.9</v>
      </c>
      <c r="R701" s="21">
        <f t="shared" ca="1" si="125"/>
        <v>16.720199999999998</v>
      </c>
      <c r="S701" s="901">
        <f t="shared" ca="1" si="124"/>
        <v>0</v>
      </c>
      <c r="T701" s="687"/>
    </row>
    <row r="702" spans="1:20">
      <c r="A702" s="631" t="str">
        <f>'5号楼'!B682</f>
        <v>B4171</v>
      </c>
      <c r="B702" s="631">
        <f>'5号楼'!C682</f>
        <v>52.93</v>
      </c>
      <c r="C702" s="3167">
        <f t="shared" si="116"/>
        <v>1</v>
      </c>
      <c r="D702" s="633"/>
      <c r="E702" s="3167">
        <f t="shared" si="117"/>
        <v>1</v>
      </c>
      <c r="F702" s="633"/>
      <c r="G702" s="3167">
        <f t="shared" si="118"/>
        <v>1</v>
      </c>
      <c r="H702" s="633"/>
      <c r="I702" s="3167">
        <f t="shared" si="119"/>
        <v>1</v>
      </c>
      <c r="J702" s="633"/>
      <c r="K702" s="3167">
        <f t="shared" si="120"/>
        <v>1</v>
      </c>
      <c r="L702" s="633"/>
      <c r="M702" s="3167">
        <f t="shared" si="121"/>
        <v>1</v>
      </c>
      <c r="N702" s="633"/>
      <c r="O702" s="3167">
        <f t="shared" si="122"/>
        <v>1</v>
      </c>
      <c r="P702" s="3201" t="s">
        <v>4862</v>
      </c>
      <c r="Q702" s="3167">
        <f t="shared" si="123"/>
        <v>0.9</v>
      </c>
      <c r="R702" s="21">
        <f t="shared" ca="1" si="125"/>
        <v>16.720199999999998</v>
      </c>
      <c r="S702" s="901">
        <f t="shared" ca="1" si="124"/>
        <v>0</v>
      </c>
      <c r="T702" s="687"/>
    </row>
    <row r="703" spans="1:20">
      <c r="A703" s="631" t="str">
        <f>'5号楼'!B683</f>
        <v>B4172</v>
      </c>
      <c r="B703" s="631">
        <f>'5号楼'!C683</f>
        <v>52.93</v>
      </c>
      <c r="C703" s="3167">
        <f t="shared" si="116"/>
        <v>1</v>
      </c>
      <c r="D703" s="633"/>
      <c r="E703" s="3167">
        <f t="shared" si="117"/>
        <v>1</v>
      </c>
      <c r="F703" s="633"/>
      <c r="G703" s="3167">
        <f t="shared" si="118"/>
        <v>1</v>
      </c>
      <c r="H703" s="633"/>
      <c r="I703" s="3167">
        <f t="shared" si="119"/>
        <v>1</v>
      </c>
      <c r="J703" s="633"/>
      <c r="K703" s="3167">
        <f t="shared" si="120"/>
        <v>1</v>
      </c>
      <c r="L703" s="633"/>
      <c r="M703" s="3167">
        <f t="shared" si="121"/>
        <v>1</v>
      </c>
      <c r="N703" s="633"/>
      <c r="O703" s="3167">
        <f t="shared" si="122"/>
        <v>1</v>
      </c>
      <c r="P703" s="3201" t="s">
        <v>4862</v>
      </c>
      <c r="Q703" s="3167">
        <f t="shared" si="123"/>
        <v>0.9</v>
      </c>
      <c r="R703" s="21">
        <f t="shared" ca="1" si="125"/>
        <v>16.720199999999998</v>
      </c>
      <c r="S703" s="901">
        <f t="shared" ca="1" si="124"/>
        <v>0</v>
      </c>
      <c r="T703" s="687"/>
    </row>
    <row r="704" spans="1:20">
      <c r="A704" s="631" t="str">
        <f>'5号楼'!B684</f>
        <v>B4173</v>
      </c>
      <c r="B704" s="631">
        <f>'5号楼'!C684</f>
        <v>52.93</v>
      </c>
      <c r="C704" s="3167">
        <f t="shared" si="116"/>
        <v>1</v>
      </c>
      <c r="D704" s="633"/>
      <c r="E704" s="3167">
        <f t="shared" si="117"/>
        <v>1</v>
      </c>
      <c r="F704" s="633"/>
      <c r="G704" s="3167">
        <f t="shared" si="118"/>
        <v>1</v>
      </c>
      <c r="H704" s="633"/>
      <c r="I704" s="3167">
        <f t="shared" si="119"/>
        <v>1</v>
      </c>
      <c r="J704" s="633"/>
      <c r="K704" s="3167">
        <f t="shared" si="120"/>
        <v>1</v>
      </c>
      <c r="L704" s="633"/>
      <c r="M704" s="3167">
        <f t="shared" si="121"/>
        <v>1</v>
      </c>
      <c r="N704" s="633"/>
      <c r="O704" s="3167">
        <f t="shared" si="122"/>
        <v>1</v>
      </c>
      <c r="P704" s="3201" t="s">
        <v>4862</v>
      </c>
      <c r="Q704" s="3167">
        <f t="shared" si="123"/>
        <v>0.9</v>
      </c>
      <c r="R704" s="21">
        <f t="shared" ca="1" si="125"/>
        <v>16.720199999999998</v>
      </c>
      <c r="S704" s="901">
        <f t="shared" ca="1" si="124"/>
        <v>0</v>
      </c>
      <c r="T704" s="687"/>
    </row>
    <row r="705" spans="1:20">
      <c r="A705" s="631" t="str">
        <f>'5号楼'!B685</f>
        <v>B4174</v>
      </c>
      <c r="B705" s="631">
        <f>'5号楼'!C685</f>
        <v>52.93</v>
      </c>
      <c r="C705" s="3167">
        <f t="shared" si="116"/>
        <v>1</v>
      </c>
      <c r="D705" s="633"/>
      <c r="E705" s="3167">
        <f t="shared" si="117"/>
        <v>1</v>
      </c>
      <c r="F705" s="633"/>
      <c r="G705" s="3167">
        <f t="shared" si="118"/>
        <v>1</v>
      </c>
      <c r="H705" s="633"/>
      <c r="I705" s="3167">
        <f t="shared" si="119"/>
        <v>1</v>
      </c>
      <c r="J705" s="633"/>
      <c r="K705" s="3167">
        <f t="shared" si="120"/>
        <v>1</v>
      </c>
      <c r="L705" s="633"/>
      <c r="M705" s="3167">
        <f t="shared" si="121"/>
        <v>1</v>
      </c>
      <c r="N705" s="633"/>
      <c r="O705" s="3167">
        <f t="shared" si="122"/>
        <v>1</v>
      </c>
      <c r="P705" s="3201" t="s">
        <v>4862</v>
      </c>
      <c r="Q705" s="3167">
        <f t="shared" si="123"/>
        <v>0.9</v>
      </c>
      <c r="R705" s="21">
        <f t="shared" ca="1" si="125"/>
        <v>16.720199999999998</v>
      </c>
      <c r="S705" s="901">
        <f t="shared" ca="1" si="124"/>
        <v>0</v>
      </c>
      <c r="T705" s="687"/>
    </row>
    <row r="706" spans="1:20">
      <c r="A706" s="631" t="str">
        <f>'5号楼'!B686</f>
        <v>B4175</v>
      </c>
      <c r="B706" s="631">
        <f>'5号楼'!C686</f>
        <v>52.93</v>
      </c>
      <c r="C706" s="3167">
        <f t="shared" si="116"/>
        <v>1</v>
      </c>
      <c r="D706" s="633"/>
      <c r="E706" s="3167">
        <f t="shared" si="117"/>
        <v>1</v>
      </c>
      <c r="F706" s="633"/>
      <c r="G706" s="3167">
        <f t="shared" si="118"/>
        <v>1</v>
      </c>
      <c r="H706" s="633"/>
      <c r="I706" s="3167">
        <f t="shared" si="119"/>
        <v>1</v>
      </c>
      <c r="J706" s="633"/>
      <c r="K706" s="3167">
        <f t="shared" si="120"/>
        <v>1</v>
      </c>
      <c r="L706" s="633"/>
      <c r="M706" s="3167">
        <f t="shared" si="121"/>
        <v>1</v>
      </c>
      <c r="N706" s="633"/>
      <c r="O706" s="3167">
        <f t="shared" si="122"/>
        <v>1</v>
      </c>
      <c r="P706" s="3201" t="s">
        <v>4862</v>
      </c>
      <c r="Q706" s="3167">
        <f t="shared" si="123"/>
        <v>0.9</v>
      </c>
      <c r="R706" s="21">
        <f t="shared" ca="1" si="125"/>
        <v>16.720199999999998</v>
      </c>
      <c r="S706" s="901">
        <f t="shared" ca="1" si="124"/>
        <v>0</v>
      </c>
      <c r="T706" s="687"/>
    </row>
    <row r="707" spans="1:20">
      <c r="A707" s="631" t="str">
        <f>'5号楼'!B687</f>
        <v>B4176</v>
      </c>
      <c r="B707" s="631">
        <f>'5号楼'!C687</f>
        <v>52.93</v>
      </c>
      <c r="C707" s="3167">
        <f t="shared" si="116"/>
        <v>1</v>
      </c>
      <c r="D707" s="633"/>
      <c r="E707" s="3167">
        <f t="shared" si="117"/>
        <v>1</v>
      </c>
      <c r="F707" s="633"/>
      <c r="G707" s="3167">
        <f t="shared" si="118"/>
        <v>1</v>
      </c>
      <c r="H707" s="633"/>
      <c r="I707" s="3167">
        <f t="shared" si="119"/>
        <v>1</v>
      </c>
      <c r="J707" s="633"/>
      <c r="K707" s="3167">
        <f t="shared" si="120"/>
        <v>1</v>
      </c>
      <c r="L707" s="633"/>
      <c r="M707" s="3167">
        <f t="shared" si="121"/>
        <v>1</v>
      </c>
      <c r="N707" s="633"/>
      <c r="O707" s="3167">
        <f t="shared" si="122"/>
        <v>1</v>
      </c>
      <c r="P707" s="3201" t="s">
        <v>4862</v>
      </c>
      <c r="Q707" s="3167">
        <f t="shared" si="123"/>
        <v>0.9</v>
      </c>
      <c r="R707" s="21">
        <f t="shared" ca="1" si="125"/>
        <v>16.720199999999998</v>
      </c>
      <c r="S707" s="901">
        <f t="shared" ca="1" si="124"/>
        <v>0</v>
      </c>
      <c r="T707" s="687"/>
    </row>
    <row r="708" spans="1:20">
      <c r="A708" s="631" t="str">
        <f>'5号楼'!B688</f>
        <v>B4177</v>
      </c>
      <c r="B708" s="631">
        <f>'5号楼'!C688</f>
        <v>52.93</v>
      </c>
      <c r="C708" s="3167">
        <f t="shared" si="116"/>
        <v>1</v>
      </c>
      <c r="D708" s="633"/>
      <c r="E708" s="3167">
        <f t="shared" si="117"/>
        <v>1</v>
      </c>
      <c r="F708" s="633"/>
      <c r="G708" s="3167">
        <f t="shared" si="118"/>
        <v>1</v>
      </c>
      <c r="H708" s="633"/>
      <c r="I708" s="3167">
        <f t="shared" si="119"/>
        <v>1</v>
      </c>
      <c r="J708" s="633"/>
      <c r="K708" s="3167">
        <f t="shared" si="120"/>
        <v>1</v>
      </c>
      <c r="L708" s="633"/>
      <c r="M708" s="3167">
        <f t="shared" si="121"/>
        <v>1</v>
      </c>
      <c r="N708" s="633"/>
      <c r="O708" s="3167">
        <f t="shared" si="122"/>
        <v>1</v>
      </c>
      <c r="P708" s="3201" t="s">
        <v>4862</v>
      </c>
      <c r="Q708" s="3167">
        <f t="shared" si="123"/>
        <v>0.9</v>
      </c>
      <c r="R708" s="21">
        <f t="shared" ca="1" si="125"/>
        <v>16.720199999999998</v>
      </c>
      <c r="S708" s="901">
        <f t="shared" ca="1" si="124"/>
        <v>0</v>
      </c>
      <c r="T708" s="687"/>
    </row>
    <row r="709" spans="1:20">
      <c r="A709" s="631" t="str">
        <f>'5号楼'!B689</f>
        <v>B4178</v>
      </c>
      <c r="B709" s="631">
        <f>'5号楼'!C689</f>
        <v>59.92</v>
      </c>
      <c r="C709" s="3167">
        <f t="shared" si="116"/>
        <v>1</v>
      </c>
      <c r="D709" s="633"/>
      <c r="E709" s="3167">
        <f t="shared" si="117"/>
        <v>1</v>
      </c>
      <c r="F709" s="633"/>
      <c r="G709" s="3167">
        <f t="shared" si="118"/>
        <v>1</v>
      </c>
      <c r="H709" s="633"/>
      <c r="I709" s="3167">
        <f t="shared" si="119"/>
        <v>1</v>
      </c>
      <c r="J709" s="633"/>
      <c r="K709" s="3167">
        <f t="shared" si="120"/>
        <v>1</v>
      </c>
      <c r="L709" s="633"/>
      <c r="M709" s="3167">
        <f t="shared" si="121"/>
        <v>1</v>
      </c>
      <c r="N709" s="633"/>
      <c r="O709" s="3167">
        <f t="shared" si="122"/>
        <v>1</v>
      </c>
      <c r="P709" s="3201" t="s">
        <v>4862</v>
      </c>
      <c r="Q709" s="3167">
        <f t="shared" si="123"/>
        <v>0.9</v>
      </c>
      <c r="R709" s="21">
        <f t="shared" ca="1" si="125"/>
        <v>16.720199999999998</v>
      </c>
      <c r="S709" s="901">
        <f t="shared" ca="1" si="124"/>
        <v>0</v>
      </c>
      <c r="T709" s="687"/>
    </row>
    <row r="710" spans="1:20">
      <c r="A710" s="631" t="str">
        <f>'5号楼'!B690</f>
        <v>B4179</v>
      </c>
      <c r="B710" s="631">
        <f>'5号楼'!C690</f>
        <v>50.93</v>
      </c>
      <c r="C710" s="3167">
        <f t="shared" si="116"/>
        <v>1</v>
      </c>
      <c r="D710" s="633"/>
      <c r="E710" s="3167">
        <f t="shared" si="117"/>
        <v>1</v>
      </c>
      <c r="F710" s="633"/>
      <c r="G710" s="3167">
        <f t="shared" si="118"/>
        <v>1</v>
      </c>
      <c r="H710" s="633"/>
      <c r="I710" s="3167">
        <f t="shared" si="119"/>
        <v>1</v>
      </c>
      <c r="J710" s="633"/>
      <c r="K710" s="3167">
        <f t="shared" si="120"/>
        <v>1</v>
      </c>
      <c r="L710" s="633"/>
      <c r="M710" s="3167">
        <f t="shared" si="121"/>
        <v>1</v>
      </c>
      <c r="N710" s="633"/>
      <c r="O710" s="3167">
        <f t="shared" si="122"/>
        <v>1</v>
      </c>
      <c r="P710" s="3201" t="s">
        <v>4862</v>
      </c>
      <c r="Q710" s="3167">
        <f t="shared" si="123"/>
        <v>0.9</v>
      </c>
      <c r="R710" s="21">
        <f t="shared" ca="1" si="125"/>
        <v>16.720199999999998</v>
      </c>
      <c r="S710" s="901">
        <f t="shared" ca="1" si="124"/>
        <v>0</v>
      </c>
      <c r="T710" s="687"/>
    </row>
    <row r="711" spans="1:20">
      <c r="A711" s="631" t="str">
        <f>'5号楼'!B691</f>
        <v>B4180</v>
      </c>
      <c r="B711" s="631">
        <f>'5号楼'!C691</f>
        <v>50.93</v>
      </c>
      <c r="C711" s="3167">
        <f t="shared" si="116"/>
        <v>1</v>
      </c>
      <c r="D711" s="633"/>
      <c r="E711" s="3167">
        <f t="shared" si="117"/>
        <v>1</v>
      </c>
      <c r="F711" s="633"/>
      <c r="G711" s="3167">
        <f t="shared" si="118"/>
        <v>1</v>
      </c>
      <c r="H711" s="633"/>
      <c r="I711" s="3167">
        <f t="shared" si="119"/>
        <v>1</v>
      </c>
      <c r="J711" s="633"/>
      <c r="K711" s="3167">
        <f t="shared" si="120"/>
        <v>1</v>
      </c>
      <c r="L711" s="633"/>
      <c r="M711" s="3167">
        <f t="shared" si="121"/>
        <v>1</v>
      </c>
      <c r="N711" s="633"/>
      <c r="O711" s="3167">
        <f t="shared" si="122"/>
        <v>1</v>
      </c>
      <c r="P711" s="3201" t="s">
        <v>4862</v>
      </c>
      <c r="Q711" s="3167">
        <f t="shared" si="123"/>
        <v>0.9</v>
      </c>
      <c r="R711" s="21">
        <f t="shared" ca="1" si="125"/>
        <v>16.720199999999998</v>
      </c>
      <c r="S711" s="901">
        <f t="shared" ca="1" si="124"/>
        <v>0</v>
      </c>
      <c r="T711" s="687"/>
    </row>
    <row r="712" spans="1:20">
      <c r="A712" s="631" t="str">
        <f>'5号楼'!B692</f>
        <v>B4181</v>
      </c>
      <c r="B712" s="631">
        <f>'5号楼'!C692</f>
        <v>50.93</v>
      </c>
      <c r="C712" s="3167">
        <f t="shared" si="116"/>
        <v>1</v>
      </c>
      <c r="D712" s="633"/>
      <c r="E712" s="3167">
        <f t="shared" si="117"/>
        <v>1</v>
      </c>
      <c r="F712" s="633"/>
      <c r="G712" s="3167">
        <f t="shared" si="118"/>
        <v>1</v>
      </c>
      <c r="H712" s="633"/>
      <c r="I712" s="3167">
        <f t="shared" si="119"/>
        <v>1</v>
      </c>
      <c r="J712" s="633"/>
      <c r="K712" s="3167">
        <f t="shared" si="120"/>
        <v>1</v>
      </c>
      <c r="L712" s="633"/>
      <c r="M712" s="3167">
        <f t="shared" si="121"/>
        <v>1</v>
      </c>
      <c r="N712" s="633"/>
      <c r="O712" s="3167">
        <f t="shared" si="122"/>
        <v>1</v>
      </c>
      <c r="P712" s="3201" t="s">
        <v>4862</v>
      </c>
      <c r="Q712" s="3167">
        <f t="shared" si="123"/>
        <v>0.9</v>
      </c>
      <c r="R712" s="21">
        <f t="shared" ca="1" si="125"/>
        <v>16.720199999999998</v>
      </c>
      <c r="S712" s="901">
        <f t="shared" ca="1" si="124"/>
        <v>0</v>
      </c>
      <c r="T712" s="687"/>
    </row>
    <row r="713" spans="1:20">
      <c r="A713" s="631" t="str">
        <f>'5号楼'!B693</f>
        <v>B4182</v>
      </c>
      <c r="B713" s="631">
        <f>'5号楼'!C693</f>
        <v>50.93</v>
      </c>
      <c r="C713" s="3167">
        <f t="shared" si="116"/>
        <v>1</v>
      </c>
      <c r="D713" s="633"/>
      <c r="E713" s="3167">
        <f t="shared" si="117"/>
        <v>1</v>
      </c>
      <c r="F713" s="633"/>
      <c r="G713" s="3167">
        <f t="shared" si="118"/>
        <v>1</v>
      </c>
      <c r="H713" s="633"/>
      <c r="I713" s="3167">
        <f t="shared" si="119"/>
        <v>1</v>
      </c>
      <c r="J713" s="633"/>
      <c r="K713" s="3167">
        <f t="shared" si="120"/>
        <v>1</v>
      </c>
      <c r="L713" s="633"/>
      <c r="M713" s="3167">
        <f t="shared" si="121"/>
        <v>1</v>
      </c>
      <c r="N713" s="633"/>
      <c r="O713" s="3167">
        <f t="shared" si="122"/>
        <v>1</v>
      </c>
      <c r="P713" s="3201" t="s">
        <v>4862</v>
      </c>
      <c r="Q713" s="3167">
        <f t="shared" si="123"/>
        <v>0.9</v>
      </c>
      <c r="R713" s="21">
        <f t="shared" ca="1" si="125"/>
        <v>16.720199999999998</v>
      </c>
      <c r="S713" s="901">
        <f t="shared" ca="1" si="124"/>
        <v>0</v>
      </c>
      <c r="T713" s="687"/>
    </row>
    <row r="714" spans="1:20">
      <c r="A714" s="631" t="str">
        <f>'5号楼'!B694</f>
        <v>B4183</v>
      </c>
      <c r="B714" s="631">
        <f>'5号楼'!C694</f>
        <v>50.93</v>
      </c>
      <c r="C714" s="3167">
        <f t="shared" si="116"/>
        <v>1</v>
      </c>
      <c r="D714" s="633"/>
      <c r="E714" s="3167">
        <f t="shared" si="117"/>
        <v>1</v>
      </c>
      <c r="F714" s="633"/>
      <c r="G714" s="3167">
        <f t="shared" si="118"/>
        <v>1</v>
      </c>
      <c r="H714" s="633"/>
      <c r="I714" s="3167">
        <f t="shared" si="119"/>
        <v>1</v>
      </c>
      <c r="J714" s="633"/>
      <c r="K714" s="3167">
        <f t="shared" si="120"/>
        <v>1</v>
      </c>
      <c r="L714" s="633"/>
      <c r="M714" s="3167">
        <f t="shared" si="121"/>
        <v>1</v>
      </c>
      <c r="N714" s="633"/>
      <c r="O714" s="3167">
        <f t="shared" si="122"/>
        <v>1</v>
      </c>
      <c r="P714" s="3201" t="s">
        <v>4862</v>
      </c>
      <c r="Q714" s="3167">
        <f t="shared" si="123"/>
        <v>0.9</v>
      </c>
      <c r="R714" s="21">
        <f t="shared" ca="1" si="125"/>
        <v>16.720199999999998</v>
      </c>
      <c r="S714" s="901">
        <f t="shared" ca="1" si="124"/>
        <v>0</v>
      </c>
      <c r="T714" s="687"/>
    </row>
    <row r="715" spans="1:20">
      <c r="A715" s="631" t="str">
        <f>'5号楼'!B695</f>
        <v>B4184</v>
      </c>
      <c r="B715" s="631">
        <f>'5号楼'!C695</f>
        <v>50.93</v>
      </c>
      <c r="C715" s="3167">
        <f t="shared" si="116"/>
        <v>1</v>
      </c>
      <c r="D715" s="633"/>
      <c r="E715" s="3167">
        <f t="shared" si="117"/>
        <v>1</v>
      </c>
      <c r="F715" s="633"/>
      <c r="G715" s="3167">
        <f t="shared" si="118"/>
        <v>1</v>
      </c>
      <c r="H715" s="633"/>
      <c r="I715" s="3167">
        <f t="shared" si="119"/>
        <v>1</v>
      </c>
      <c r="J715" s="633"/>
      <c r="K715" s="3167">
        <f t="shared" si="120"/>
        <v>1</v>
      </c>
      <c r="L715" s="633"/>
      <c r="M715" s="3167">
        <f t="shared" si="121"/>
        <v>1</v>
      </c>
      <c r="N715" s="633"/>
      <c r="O715" s="3167">
        <f t="shared" si="122"/>
        <v>1</v>
      </c>
      <c r="P715" s="3201" t="s">
        <v>4862</v>
      </c>
      <c r="Q715" s="3167">
        <f t="shared" si="123"/>
        <v>0.9</v>
      </c>
      <c r="R715" s="21">
        <f t="shared" ca="1" si="125"/>
        <v>16.720199999999998</v>
      </c>
      <c r="S715" s="901">
        <f t="shared" ca="1" si="124"/>
        <v>0</v>
      </c>
      <c r="T715" s="687"/>
    </row>
    <row r="716" spans="1:20">
      <c r="A716" s="631" t="str">
        <f>'5号楼'!B696</f>
        <v>B4185</v>
      </c>
      <c r="B716" s="631">
        <f>'5号楼'!C696</f>
        <v>52.93</v>
      </c>
      <c r="C716" s="3167">
        <f t="shared" si="116"/>
        <v>1</v>
      </c>
      <c r="D716" s="633"/>
      <c r="E716" s="3167">
        <f t="shared" si="117"/>
        <v>1</v>
      </c>
      <c r="F716" s="633"/>
      <c r="G716" s="3167">
        <f t="shared" si="118"/>
        <v>1</v>
      </c>
      <c r="H716" s="633"/>
      <c r="I716" s="3167">
        <f t="shared" si="119"/>
        <v>1</v>
      </c>
      <c r="J716" s="633"/>
      <c r="K716" s="3167">
        <f t="shared" si="120"/>
        <v>1</v>
      </c>
      <c r="L716" s="633"/>
      <c r="M716" s="3167">
        <f t="shared" si="121"/>
        <v>1</v>
      </c>
      <c r="N716" s="633"/>
      <c r="O716" s="3167">
        <f t="shared" si="122"/>
        <v>1</v>
      </c>
      <c r="P716" s="3201" t="s">
        <v>4862</v>
      </c>
      <c r="Q716" s="3167">
        <f t="shared" si="123"/>
        <v>0.9</v>
      </c>
      <c r="R716" s="21">
        <f t="shared" ca="1" si="125"/>
        <v>16.720199999999998</v>
      </c>
      <c r="S716" s="901">
        <f t="shared" ca="1" si="124"/>
        <v>0</v>
      </c>
      <c r="T716" s="687"/>
    </row>
    <row r="717" spans="1:20">
      <c r="A717" s="631" t="str">
        <f>'5号楼'!B697</f>
        <v>B4186</v>
      </c>
      <c r="B717" s="631">
        <f>'5号楼'!C697</f>
        <v>52.93</v>
      </c>
      <c r="C717" s="3167">
        <f t="shared" si="116"/>
        <v>1</v>
      </c>
      <c r="D717" s="633"/>
      <c r="E717" s="3167">
        <f t="shared" si="117"/>
        <v>1</v>
      </c>
      <c r="F717" s="633"/>
      <c r="G717" s="3167">
        <f t="shared" si="118"/>
        <v>1</v>
      </c>
      <c r="H717" s="633"/>
      <c r="I717" s="3167">
        <f t="shared" si="119"/>
        <v>1</v>
      </c>
      <c r="J717" s="633"/>
      <c r="K717" s="3167">
        <f t="shared" si="120"/>
        <v>1</v>
      </c>
      <c r="L717" s="633"/>
      <c r="M717" s="3167">
        <f t="shared" si="121"/>
        <v>1</v>
      </c>
      <c r="N717" s="633"/>
      <c r="O717" s="3167">
        <f t="shared" si="122"/>
        <v>1</v>
      </c>
      <c r="P717" s="3201" t="s">
        <v>4862</v>
      </c>
      <c r="Q717" s="3167">
        <f t="shared" si="123"/>
        <v>0.9</v>
      </c>
      <c r="R717" s="21">
        <f t="shared" ca="1" si="125"/>
        <v>16.720199999999998</v>
      </c>
      <c r="S717" s="901">
        <f t="shared" ca="1" si="124"/>
        <v>0</v>
      </c>
      <c r="T717" s="687"/>
    </row>
    <row r="718" spans="1:20">
      <c r="A718" s="631" t="str">
        <f>'5号楼'!B698</f>
        <v>B4187</v>
      </c>
      <c r="B718" s="631">
        <f>'5号楼'!C698</f>
        <v>52.93</v>
      </c>
      <c r="C718" s="3167">
        <f t="shared" si="116"/>
        <v>1</v>
      </c>
      <c r="D718" s="633"/>
      <c r="E718" s="3167">
        <f t="shared" si="117"/>
        <v>1</v>
      </c>
      <c r="F718" s="633"/>
      <c r="G718" s="3167">
        <f t="shared" si="118"/>
        <v>1</v>
      </c>
      <c r="H718" s="633"/>
      <c r="I718" s="3167">
        <f t="shared" si="119"/>
        <v>1</v>
      </c>
      <c r="J718" s="633"/>
      <c r="K718" s="3167">
        <f t="shared" si="120"/>
        <v>1</v>
      </c>
      <c r="L718" s="633"/>
      <c r="M718" s="3167">
        <f t="shared" si="121"/>
        <v>1</v>
      </c>
      <c r="N718" s="633"/>
      <c r="O718" s="3167">
        <f t="shared" si="122"/>
        <v>1</v>
      </c>
      <c r="P718" s="3201" t="s">
        <v>4862</v>
      </c>
      <c r="Q718" s="3167">
        <f t="shared" si="123"/>
        <v>0.9</v>
      </c>
      <c r="R718" s="21">
        <f t="shared" ca="1" si="125"/>
        <v>16.720199999999998</v>
      </c>
      <c r="S718" s="901">
        <f t="shared" ca="1" si="124"/>
        <v>0</v>
      </c>
      <c r="T718" s="687"/>
    </row>
    <row r="719" spans="1:20">
      <c r="A719" s="631" t="str">
        <f>'5号楼'!B699</f>
        <v>B4188</v>
      </c>
      <c r="B719" s="631">
        <f>'5号楼'!C699</f>
        <v>52.93</v>
      </c>
      <c r="C719" s="3167">
        <f t="shared" si="116"/>
        <v>1</v>
      </c>
      <c r="D719" s="633"/>
      <c r="E719" s="3167">
        <f t="shared" si="117"/>
        <v>1</v>
      </c>
      <c r="F719" s="633"/>
      <c r="G719" s="3167">
        <f t="shared" si="118"/>
        <v>1</v>
      </c>
      <c r="H719" s="633"/>
      <c r="I719" s="3167">
        <f t="shared" si="119"/>
        <v>1</v>
      </c>
      <c r="J719" s="633"/>
      <c r="K719" s="3167">
        <f t="shared" si="120"/>
        <v>1</v>
      </c>
      <c r="L719" s="633"/>
      <c r="M719" s="3167">
        <f t="shared" si="121"/>
        <v>1</v>
      </c>
      <c r="N719" s="633"/>
      <c r="O719" s="3167">
        <f t="shared" si="122"/>
        <v>1</v>
      </c>
      <c r="P719" s="3201" t="s">
        <v>4862</v>
      </c>
      <c r="Q719" s="3167">
        <f t="shared" si="123"/>
        <v>0.9</v>
      </c>
      <c r="R719" s="21">
        <f t="shared" ca="1" si="125"/>
        <v>16.720199999999998</v>
      </c>
      <c r="S719" s="901">
        <f t="shared" ca="1" si="124"/>
        <v>0</v>
      </c>
      <c r="T719" s="687"/>
    </row>
    <row r="720" spans="1:20">
      <c r="A720" s="631" t="str">
        <f>'5号楼'!B700</f>
        <v>B4189</v>
      </c>
      <c r="B720" s="631">
        <f>'5号楼'!C700</f>
        <v>52.93</v>
      </c>
      <c r="C720" s="3167">
        <f t="shared" ref="C720:C783" si="126">IF(B720="",1,(LOOKUP(B720,$3:$3,$4:$4)-LOOKUP($B$24,$3:$3,$4:$4)+100)/100)</f>
        <v>1</v>
      </c>
      <c r="D720" s="633"/>
      <c r="E720" s="3167">
        <f t="shared" ref="E720:E783" si="127">(SUMIF($5:$5,D720,$6:$6)-SUMIF($5:$5,$D$24,$6:$6)+100)/100</f>
        <v>1</v>
      </c>
      <c r="F720" s="633"/>
      <c r="G720" s="3167">
        <f t="shared" ref="G720:G783" si="128">(SUMIF($7:$7,F720,$8:$8)-SUMIF($7:$7,$F$24,$8:$8)+100)/100</f>
        <v>1</v>
      </c>
      <c r="H720" s="633"/>
      <c r="I720" s="3167">
        <f t="shared" ref="I720:I783" si="129">(SUMIF($9:$9,H720,$10:$10)-SUMIF($9:$9,$H$24,$10:$10)+100)/100</f>
        <v>1</v>
      </c>
      <c r="J720" s="633"/>
      <c r="K720" s="3167">
        <f t="shared" ref="K720:K783" si="130">(SUMIF($11:$11,J720,$12:$12)-SUMIF($11:$11,$J$24,$12:$12)+100)/100</f>
        <v>1</v>
      </c>
      <c r="L720" s="633"/>
      <c r="M720" s="3167">
        <f t="shared" ref="M720:M783" si="131">(SUMIF($13:$13,L720,$14:$14)-SUMIF($13:$13,$L$24,$14:$14)+100)/100</f>
        <v>1</v>
      </c>
      <c r="N720" s="633"/>
      <c r="O720" s="3167">
        <f t="shared" ref="O720:O783" si="132">(SUMIF($15:$15,N720,$16:$16)-SUMIF($15:$15,$N$24,$16:$16)+100)/100</f>
        <v>1</v>
      </c>
      <c r="P720" s="3201" t="s">
        <v>4862</v>
      </c>
      <c r="Q720" s="3167">
        <f t="shared" ref="Q720:Q783" si="133">(SUMIF($17:$17,P720,$18:$18)-SUMIF($17:$17,$P$24,$18:$18)+100)/100</f>
        <v>0.9</v>
      </c>
      <c r="R720" s="21">
        <f t="shared" ca="1" si="125"/>
        <v>16.720199999999998</v>
      </c>
      <c r="S720" s="901">
        <f t="shared" ref="S720:S783" ca="1" si="134">ROUND(R720*B720/10000,0)</f>
        <v>0</v>
      </c>
      <c r="T720" s="687"/>
    </row>
    <row r="721" spans="1:20">
      <c r="A721" s="631" t="str">
        <f>'5号楼'!B701</f>
        <v>B4190</v>
      </c>
      <c r="B721" s="631">
        <f>'5号楼'!C701</f>
        <v>52.93</v>
      </c>
      <c r="C721" s="3167">
        <f t="shared" si="126"/>
        <v>1</v>
      </c>
      <c r="D721" s="633"/>
      <c r="E721" s="3167">
        <f t="shared" si="127"/>
        <v>1</v>
      </c>
      <c r="F721" s="633"/>
      <c r="G721" s="3167">
        <f t="shared" si="128"/>
        <v>1</v>
      </c>
      <c r="H721" s="633"/>
      <c r="I721" s="3167">
        <f t="shared" si="129"/>
        <v>1</v>
      </c>
      <c r="J721" s="633"/>
      <c r="K721" s="3167">
        <f t="shared" si="130"/>
        <v>1</v>
      </c>
      <c r="L721" s="633"/>
      <c r="M721" s="3167">
        <f t="shared" si="131"/>
        <v>1</v>
      </c>
      <c r="N721" s="633"/>
      <c r="O721" s="3167">
        <f t="shared" si="132"/>
        <v>1</v>
      </c>
      <c r="P721" s="3201" t="s">
        <v>4862</v>
      </c>
      <c r="Q721" s="3167">
        <f t="shared" si="133"/>
        <v>0.9</v>
      </c>
      <c r="R721" s="21">
        <f t="shared" ca="1" si="125"/>
        <v>16.720199999999998</v>
      </c>
      <c r="S721" s="901">
        <f t="shared" ca="1" si="134"/>
        <v>0</v>
      </c>
      <c r="T721" s="687"/>
    </row>
    <row r="722" spans="1:20">
      <c r="A722" s="631" t="str">
        <f>'5号楼'!B702</f>
        <v>B4191</v>
      </c>
      <c r="B722" s="631">
        <f>'5号楼'!C702</f>
        <v>52.93</v>
      </c>
      <c r="C722" s="3167">
        <f t="shared" si="126"/>
        <v>1</v>
      </c>
      <c r="D722" s="633"/>
      <c r="E722" s="3167">
        <f t="shared" si="127"/>
        <v>1</v>
      </c>
      <c r="F722" s="633"/>
      <c r="G722" s="3167">
        <f t="shared" si="128"/>
        <v>1</v>
      </c>
      <c r="H722" s="633"/>
      <c r="I722" s="3167">
        <f t="shared" si="129"/>
        <v>1</v>
      </c>
      <c r="J722" s="633"/>
      <c r="K722" s="3167">
        <f t="shared" si="130"/>
        <v>1</v>
      </c>
      <c r="L722" s="633"/>
      <c r="M722" s="3167">
        <f t="shared" si="131"/>
        <v>1</v>
      </c>
      <c r="N722" s="633"/>
      <c r="O722" s="3167">
        <f t="shared" si="132"/>
        <v>1</v>
      </c>
      <c r="P722" s="3201" t="s">
        <v>4862</v>
      </c>
      <c r="Q722" s="3167">
        <f t="shared" si="133"/>
        <v>0.9</v>
      </c>
      <c r="R722" s="21">
        <f t="shared" ca="1" si="125"/>
        <v>16.720199999999998</v>
      </c>
      <c r="S722" s="901">
        <f t="shared" ca="1" si="134"/>
        <v>0</v>
      </c>
      <c r="T722" s="687"/>
    </row>
    <row r="723" spans="1:20">
      <c r="A723" s="631" t="str">
        <f>'5号楼'!B703</f>
        <v>B4192</v>
      </c>
      <c r="B723" s="631">
        <f>'5号楼'!C703</f>
        <v>52.93</v>
      </c>
      <c r="C723" s="3167">
        <f t="shared" si="126"/>
        <v>1</v>
      </c>
      <c r="D723" s="633"/>
      <c r="E723" s="3167">
        <f t="shared" si="127"/>
        <v>1</v>
      </c>
      <c r="F723" s="633"/>
      <c r="G723" s="3167">
        <f t="shared" si="128"/>
        <v>1</v>
      </c>
      <c r="H723" s="633"/>
      <c r="I723" s="3167">
        <f t="shared" si="129"/>
        <v>1</v>
      </c>
      <c r="J723" s="633"/>
      <c r="K723" s="3167">
        <f t="shared" si="130"/>
        <v>1</v>
      </c>
      <c r="L723" s="633"/>
      <c r="M723" s="3167">
        <f t="shared" si="131"/>
        <v>1</v>
      </c>
      <c r="N723" s="633"/>
      <c r="O723" s="3167">
        <f t="shared" si="132"/>
        <v>1</v>
      </c>
      <c r="P723" s="3201" t="s">
        <v>4862</v>
      </c>
      <c r="Q723" s="3167">
        <f t="shared" si="133"/>
        <v>0.9</v>
      </c>
      <c r="R723" s="21">
        <f t="shared" ca="1" si="125"/>
        <v>16.720199999999998</v>
      </c>
      <c r="S723" s="901">
        <f t="shared" ca="1" si="134"/>
        <v>0</v>
      </c>
      <c r="T723" s="687"/>
    </row>
    <row r="724" spans="1:20">
      <c r="A724" s="631" t="str">
        <f>'5号楼'!B704</f>
        <v>B4193</v>
      </c>
      <c r="B724" s="631">
        <f>'5号楼'!C704</f>
        <v>52.93</v>
      </c>
      <c r="C724" s="3167">
        <f t="shared" si="126"/>
        <v>1</v>
      </c>
      <c r="D724" s="633"/>
      <c r="E724" s="3167">
        <f t="shared" si="127"/>
        <v>1</v>
      </c>
      <c r="F724" s="633"/>
      <c r="G724" s="3167">
        <f t="shared" si="128"/>
        <v>1</v>
      </c>
      <c r="H724" s="633"/>
      <c r="I724" s="3167">
        <f t="shared" si="129"/>
        <v>1</v>
      </c>
      <c r="J724" s="633"/>
      <c r="K724" s="3167">
        <f t="shared" si="130"/>
        <v>1</v>
      </c>
      <c r="L724" s="633"/>
      <c r="M724" s="3167">
        <f t="shared" si="131"/>
        <v>1</v>
      </c>
      <c r="N724" s="633"/>
      <c r="O724" s="3167">
        <f t="shared" si="132"/>
        <v>1</v>
      </c>
      <c r="P724" s="3201" t="s">
        <v>4862</v>
      </c>
      <c r="Q724" s="3167">
        <f t="shared" si="133"/>
        <v>0.9</v>
      </c>
      <c r="R724" s="21">
        <f t="shared" ca="1" si="125"/>
        <v>16.720199999999998</v>
      </c>
      <c r="S724" s="901">
        <f t="shared" ca="1" si="134"/>
        <v>0</v>
      </c>
      <c r="T724" s="687"/>
    </row>
    <row r="725" spans="1:20">
      <c r="A725" s="631" t="str">
        <f>'5号楼'!B705</f>
        <v>B4194</v>
      </c>
      <c r="B725" s="631">
        <f>'5号楼'!C705</f>
        <v>52.93</v>
      </c>
      <c r="C725" s="3167">
        <f t="shared" si="126"/>
        <v>1</v>
      </c>
      <c r="D725" s="633"/>
      <c r="E725" s="3167">
        <f t="shared" si="127"/>
        <v>1</v>
      </c>
      <c r="F725" s="633"/>
      <c r="G725" s="3167">
        <f t="shared" si="128"/>
        <v>1</v>
      </c>
      <c r="H725" s="633"/>
      <c r="I725" s="3167">
        <f t="shared" si="129"/>
        <v>1</v>
      </c>
      <c r="J725" s="633"/>
      <c r="K725" s="3167">
        <f t="shared" si="130"/>
        <v>1</v>
      </c>
      <c r="L725" s="633"/>
      <c r="M725" s="3167">
        <f t="shared" si="131"/>
        <v>1</v>
      </c>
      <c r="N725" s="633"/>
      <c r="O725" s="3167">
        <f t="shared" si="132"/>
        <v>1</v>
      </c>
      <c r="P725" s="3201" t="s">
        <v>4862</v>
      </c>
      <c r="Q725" s="3167">
        <f t="shared" si="133"/>
        <v>0.9</v>
      </c>
      <c r="R725" s="21">
        <f t="shared" ca="1" si="125"/>
        <v>16.720199999999998</v>
      </c>
      <c r="S725" s="901">
        <f t="shared" ca="1" si="134"/>
        <v>0</v>
      </c>
      <c r="T725" s="687"/>
    </row>
    <row r="726" spans="1:20">
      <c r="A726" s="631" t="str">
        <f>'5号楼'!B706</f>
        <v>B4195</v>
      </c>
      <c r="B726" s="631">
        <f>'5号楼'!C706</f>
        <v>52.93</v>
      </c>
      <c r="C726" s="3167">
        <f t="shared" si="126"/>
        <v>1</v>
      </c>
      <c r="D726" s="633"/>
      <c r="E726" s="3167">
        <f t="shared" si="127"/>
        <v>1</v>
      </c>
      <c r="F726" s="633"/>
      <c r="G726" s="3167">
        <f t="shared" si="128"/>
        <v>1</v>
      </c>
      <c r="H726" s="633"/>
      <c r="I726" s="3167">
        <f t="shared" si="129"/>
        <v>1</v>
      </c>
      <c r="J726" s="633"/>
      <c r="K726" s="3167">
        <f t="shared" si="130"/>
        <v>1</v>
      </c>
      <c r="L726" s="633"/>
      <c r="M726" s="3167">
        <f t="shared" si="131"/>
        <v>1</v>
      </c>
      <c r="N726" s="633"/>
      <c r="O726" s="3167">
        <f t="shared" si="132"/>
        <v>1</v>
      </c>
      <c r="P726" s="3201" t="s">
        <v>4862</v>
      </c>
      <c r="Q726" s="3167">
        <f t="shared" si="133"/>
        <v>0.9</v>
      </c>
      <c r="R726" s="21">
        <f t="shared" ca="1" si="125"/>
        <v>16.720199999999998</v>
      </c>
      <c r="S726" s="901">
        <f t="shared" ca="1" si="134"/>
        <v>0</v>
      </c>
      <c r="T726" s="687"/>
    </row>
    <row r="727" spans="1:20">
      <c r="A727" s="631" t="str">
        <f>'5号楼'!B707</f>
        <v>B4196</v>
      </c>
      <c r="B727" s="631">
        <f>'5号楼'!C707</f>
        <v>52.93</v>
      </c>
      <c r="C727" s="3167">
        <f t="shared" si="126"/>
        <v>1</v>
      </c>
      <c r="D727" s="633"/>
      <c r="E727" s="3167">
        <f t="shared" si="127"/>
        <v>1</v>
      </c>
      <c r="F727" s="633"/>
      <c r="G727" s="3167">
        <f t="shared" si="128"/>
        <v>1</v>
      </c>
      <c r="H727" s="633"/>
      <c r="I727" s="3167">
        <f t="shared" si="129"/>
        <v>1</v>
      </c>
      <c r="J727" s="633"/>
      <c r="K727" s="3167">
        <f t="shared" si="130"/>
        <v>1</v>
      </c>
      <c r="L727" s="633"/>
      <c r="M727" s="3167">
        <f t="shared" si="131"/>
        <v>1</v>
      </c>
      <c r="N727" s="633"/>
      <c r="O727" s="3167">
        <f t="shared" si="132"/>
        <v>1</v>
      </c>
      <c r="P727" s="3201" t="s">
        <v>4862</v>
      </c>
      <c r="Q727" s="3167">
        <f t="shared" si="133"/>
        <v>0.9</v>
      </c>
      <c r="R727" s="21">
        <f t="shared" ca="1" si="125"/>
        <v>16.720199999999998</v>
      </c>
      <c r="S727" s="901">
        <f t="shared" ca="1" si="134"/>
        <v>0</v>
      </c>
      <c r="T727" s="687"/>
    </row>
    <row r="728" spans="1:20">
      <c r="A728" s="631" t="str">
        <f>'5号楼'!B708</f>
        <v>B4197</v>
      </c>
      <c r="B728" s="631">
        <f>'5号楼'!C708</f>
        <v>52.93</v>
      </c>
      <c r="C728" s="3167">
        <f t="shared" si="126"/>
        <v>1</v>
      </c>
      <c r="D728" s="633"/>
      <c r="E728" s="3167">
        <f t="shared" si="127"/>
        <v>1</v>
      </c>
      <c r="F728" s="633"/>
      <c r="G728" s="3167">
        <f t="shared" si="128"/>
        <v>1</v>
      </c>
      <c r="H728" s="633"/>
      <c r="I728" s="3167">
        <f t="shared" si="129"/>
        <v>1</v>
      </c>
      <c r="J728" s="633"/>
      <c r="K728" s="3167">
        <f t="shared" si="130"/>
        <v>1</v>
      </c>
      <c r="L728" s="633"/>
      <c r="M728" s="3167">
        <f t="shared" si="131"/>
        <v>1</v>
      </c>
      <c r="N728" s="633"/>
      <c r="O728" s="3167">
        <f t="shared" si="132"/>
        <v>1</v>
      </c>
      <c r="P728" s="3201" t="s">
        <v>4862</v>
      </c>
      <c r="Q728" s="3167">
        <f t="shared" si="133"/>
        <v>0.9</v>
      </c>
      <c r="R728" s="21">
        <f t="shared" ca="1" si="125"/>
        <v>16.720199999999998</v>
      </c>
      <c r="S728" s="901">
        <f t="shared" ca="1" si="134"/>
        <v>0</v>
      </c>
      <c r="T728" s="687"/>
    </row>
    <row r="729" spans="1:20">
      <c r="A729" s="631" t="str">
        <f>'5号楼'!B709</f>
        <v>B4198</v>
      </c>
      <c r="B729" s="631">
        <f>'5号楼'!C709</f>
        <v>52.93</v>
      </c>
      <c r="C729" s="3167">
        <f t="shared" si="126"/>
        <v>1</v>
      </c>
      <c r="D729" s="633"/>
      <c r="E729" s="3167">
        <f t="shared" si="127"/>
        <v>1</v>
      </c>
      <c r="F729" s="633"/>
      <c r="G729" s="3167">
        <f t="shared" si="128"/>
        <v>1</v>
      </c>
      <c r="H729" s="633"/>
      <c r="I729" s="3167">
        <f t="shared" si="129"/>
        <v>1</v>
      </c>
      <c r="J729" s="633"/>
      <c r="K729" s="3167">
        <f t="shared" si="130"/>
        <v>1</v>
      </c>
      <c r="L729" s="633"/>
      <c r="M729" s="3167">
        <f t="shared" si="131"/>
        <v>1</v>
      </c>
      <c r="N729" s="633"/>
      <c r="O729" s="3167">
        <f t="shared" si="132"/>
        <v>1</v>
      </c>
      <c r="P729" s="3201" t="s">
        <v>4862</v>
      </c>
      <c r="Q729" s="3167">
        <f t="shared" si="133"/>
        <v>0.9</v>
      </c>
      <c r="R729" s="21">
        <f t="shared" ca="1" si="125"/>
        <v>16.720199999999998</v>
      </c>
      <c r="S729" s="901">
        <f t="shared" ca="1" si="134"/>
        <v>0</v>
      </c>
      <c r="T729" s="687"/>
    </row>
    <row r="730" spans="1:20">
      <c r="A730" s="631" t="str">
        <f>'5号楼'!B710</f>
        <v>B4199</v>
      </c>
      <c r="B730" s="631">
        <f>'5号楼'!C710</f>
        <v>52.93</v>
      </c>
      <c r="C730" s="3167">
        <f t="shared" si="126"/>
        <v>1</v>
      </c>
      <c r="D730" s="633"/>
      <c r="E730" s="3167">
        <f t="shared" si="127"/>
        <v>1</v>
      </c>
      <c r="F730" s="633"/>
      <c r="G730" s="3167">
        <f t="shared" si="128"/>
        <v>1</v>
      </c>
      <c r="H730" s="633"/>
      <c r="I730" s="3167">
        <f t="shared" si="129"/>
        <v>1</v>
      </c>
      <c r="J730" s="633"/>
      <c r="K730" s="3167">
        <f t="shared" si="130"/>
        <v>1</v>
      </c>
      <c r="L730" s="633"/>
      <c r="M730" s="3167">
        <f t="shared" si="131"/>
        <v>1</v>
      </c>
      <c r="N730" s="633"/>
      <c r="O730" s="3167">
        <f t="shared" si="132"/>
        <v>1</v>
      </c>
      <c r="P730" s="3201" t="s">
        <v>4862</v>
      </c>
      <c r="Q730" s="3167">
        <f t="shared" si="133"/>
        <v>0.9</v>
      </c>
      <c r="R730" s="21">
        <f t="shared" ref="R730:R783" ca="1" si="135">IF(B730="",0,ROUND($R$24*C730*E730*G730*I730*K730*M730*O730*Q730,4))</f>
        <v>16.720199999999998</v>
      </c>
      <c r="S730" s="901">
        <f t="shared" ca="1" si="134"/>
        <v>0</v>
      </c>
      <c r="T730" s="687"/>
    </row>
    <row r="731" spans="1:20">
      <c r="A731" s="631" t="str">
        <f>'5号楼'!B711</f>
        <v>B4200</v>
      </c>
      <c r="B731" s="631">
        <f>'5号楼'!C711</f>
        <v>50.93</v>
      </c>
      <c r="C731" s="3167">
        <f t="shared" si="126"/>
        <v>1</v>
      </c>
      <c r="D731" s="633"/>
      <c r="E731" s="3167">
        <f t="shared" si="127"/>
        <v>1</v>
      </c>
      <c r="F731" s="633"/>
      <c r="G731" s="3167">
        <f t="shared" si="128"/>
        <v>1</v>
      </c>
      <c r="H731" s="633"/>
      <c r="I731" s="3167">
        <f t="shared" si="129"/>
        <v>1</v>
      </c>
      <c r="J731" s="633"/>
      <c r="K731" s="3167">
        <f t="shared" si="130"/>
        <v>1</v>
      </c>
      <c r="L731" s="633"/>
      <c r="M731" s="3167">
        <f t="shared" si="131"/>
        <v>1</v>
      </c>
      <c r="N731" s="633"/>
      <c r="O731" s="3167">
        <f t="shared" si="132"/>
        <v>1</v>
      </c>
      <c r="P731" s="3201" t="s">
        <v>4862</v>
      </c>
      <c r="Q731" s="3167">
        <f t="shared" si="133"/>
        <v>0.9</v>
      </c>
      <c r="R731" s="21">
        <f t="shared" ca="1" si="135"/>
        <v>16.720199999999998</v>
      </c>
      <c r="S731" s="901">
        <f t="shared" ca="1" si="134"/>
        <v>0</v>
      </c>
      <c r="T731" s="687"/>
    </row>
    <row r="732" spans="1:20">
      <c r="A732" s="631" t="str">
        <f>'5号楼'!B712</f>
        <v>B4201</v>
      </c>
      <c r="B732" s="631">
        <f>'5号楼'!C712</f>
        <v>50.93</v>
      </c>
      <c r="C732" s="3167">
        <f t="shared" si="126"/>
        <v>1</v>
      </c>
      <c r="D732" s="633"/>
      <c r="E732" s="3167">
        <f t="shared" si="127"/>
        <v>1</v>
      </c>
      <c r="F732" s="633"/>
      <c r="G732" s="3167">
        <f t="shared" si="128"/>
        <v>1</v>
      </c>
      <c r="H732" s="633"/>
      <c r="I732" s="3167">
        <f t="shared" si="129"/>
        <v>1</v>
      </c>
      <c r="J732" s="633"/>
      <c r="K732" s="3167">
        <f t="shared" si="130"/>
        <v>1</v>
      </c>
      <c r="L732" s="633"/>
      <c r="M732" s="3167">
        <f t="shared" si="131"/>
        <v>1</v>
      </c>
      <c r="N732" s="633"/>
      <c r="O732" s="3167">
        <f t="shared" si="132"/>
        <v>1</v>
      </c>
      <c r="P732" s="3201" t="s">
        <v>4862</v>
      </c>
      <c r="Q732" s="3167">
        <f t="shared" si="133"/>
        <v>0.9</v>
      </c>
      <c r="R732" s="21">
        <f t="shared" ca="1" si="135"/>
        <v>16.720199999999998</v>
      </c>
      <c r="S732" s="901">
        <f t="shared" ca="1" si="134"/>
        <v>0</v>
      </c>
      <c r="T732" s="687"/>
    </row>
    <row r="733" spans="1:20">
      <c r="A733" s="631" t="str">
        <f>'5号楼'!B713</f>
        <v>B4202</v>
      </c>
      <c r="B733" s="631">
        <f>'5号楼'!C713</f>
        <v>50.93</v>
      </c>
      <c r="C733" s="3167">
        <f t="shared" si="126"/>
        <v>1</v>
      </c>
      <c r="D733" s="633"/>
      <c r="E733" s="3167">
        <f t="shared" si="127"/>
        <v>1</v>
      </c>
      <c r="F733" s="633"/>
      <c r="G733" s="3167">
        <f t="shared" si="128"/>
        <v>1</v>
      </c>
      <c r="H733" s="633"/>
      <c r="I733" s="3167">
        <f t="shared" si="129"/>
        <v>1</v>
      </c>
      <c r="J733" s="633"/>
      <c r="K733" s="3167">
        <f t="shared" si="130"/>
        <v>1</v>
      </c>
      <c r="L733" s="633"/>
      <c r="M733" s="3167">
        <f t="shared" si="131"/>
        <v>1</v>
      </c>
      <c r="N733" s="633"/>
      <c r="O733" s="3167">
        <f t="shared" si="132"/>
        <v>1</v>
      </c>
      <c r="P733" s="3201" t="s">
        <v>4862</v>
      </c>
      <c r="Q733" s="3167">
        <f t="shared" si="133"/>
        <v>0.9</v>
      </c>
      <c r="R733" s="21">
        <f t="shared" ca="1" si="135"/>
        <v>16.720199999999998</v>
      </c>
      <c r="S733" s="901">
        <f t="shared" ca="1" si="134"/>
        <v>0</v>
      </c>
      <c r="T733" s="687"/>
    </row>
    <row r="734" spans="1:20">
      <c r="A734" s="631" t="str">
        <f>'5号楼'!B714</f>
        <v>B4203</v>
      </c>
      <c r="B734" s="631">
        <f>'5号楼'!C714</f>
        <v>50.93</v>
      </c>
      <c r="C734" s="3167">
        <f t="shared" si="126"/>
        <v>1</v>
      </c>
      <c r="D734" s="633"/>
      <c r="E734" s="3167">
        <f t="shared" si="127"/>
        <v>1</v>
      </c>
      <c r="F734" s="633"/>
      <c r="G734" s="3167">
        <f t="shared" si="128"/>
        <v>1</v>
      </c>
      <c r="H734" s="633"/>
      <c r="I734" s="3167">
        <f t="shared" si="129"/>
        <v>1</v>
      </c>
      <c r="J734" s="633"/>
      <c r="K734" s="3167">
        <f t="shared" si="130"/>
        <v>1</v>
      </c>
      <c r="L734" s="633"/>
      <c r="M734" s="3167">
        <f t="shared" si="131"/>
        <v>1</v>
      </c>
      <c r="N734" s="633"/>
      <c r="O734" s="3167">
        <f t="shared" si="132"/>
        <v>1</v>
      </c>
      <c r="P734" s="3201" t="s">
        <v>4862</v>
      </c>
      <c r="Q734" s="3167">
        <f t="shared" si="133"/>
        <v>0.9</v>
      </c>
      <c r="R734" s="21">
        <f t="shared" ca="1" si="135"/>
        <v>16.720199999999998</v>
      </c>
      <c r="S734" s="901">
        <f t="shared" ca="1" si="134"/>
        <v>0</v>
      </c>
      <c r="T734" s="687"/>
    </row>
    <row r="735" spans="1:20">
      <c r="A735" s="631" t="str">
        <f>'5号楼'!B715</f>
        <v>B4204</v>
      </c>
      <c r="B735" s="631">
        <f>'5号楼'!C715</f>
        <v>50.93</v>
      </c>
      <c r="C735" s="3167">
        <f t="shared" si="126"/>
        <v>1</v>
      </c>
      <c r="D735" s="633"/>
      <c r="E735" s="3167">
        <f t="shared" si="127"/>
        <v>1</v>
      </c>
      <c r="F735" s="633"/>
      <c r="G735" s="3167">
        <f t="shared" si="128"/>
        <v>1</v>
      </c>
      <c r="H735" s="633"/>
      <c r="I735" s="3167">
        <f t="shared" si="129"/>
        <v>1</v>
      </c>
      <c r="J735" s="633"/>
      <c r="K735" s="3167">
        <f t="shared" si="130"/>
        <v>1</v>
      </c>
      <c r="L735" s="633"/>
      <c r="M735" s="3167">
        <f t="shared" si="131"/>
        <v>1</v>
      </c>
      <c r="N735" s="633"/>
      <c r="O735" s="3167">
        <f t="shared" si="132"/>
        <v>1</v>
      </c>
      <c r="P735" s="3201" t="s">
        <v>4862</v>
      </c>
      <c r="Q735" s="3167">
        <f t="shared" si="133"/>
        <v>0.9</v>
      </c>
      <c r="R735" s="21">
        <f t="shared" ca="1" si="135"/>
        <v>16.720199999999998</v>
      </c>
      <c r="S735" s="901">
        <f t="shared" ca="1" si="134"/>
        <v>0</v>
      </c>
      <c r="T735" s="687"/>
    </row>
    <row r="736" spans="1:20">
      <c r="A736" s="631" t="str">
        <f>'5号楼'!B716</f>
        <v>B4205</v>
      </c>
      <c r="B736" s="631">
        <f>'5号楼'!C716</f>
        <v>50.93</v>
      </c>
      <c r="C736" s="3167">
        <f t="shared" si="126"/>
        <v>1</v>
      </c>
      <c r="D736" s="633"/>
      <c r="E736" s="3167">
        <f t="shared" si="127"/>
        <v>1</v>
      </c>
      <c r="F736" s="633"/>
      <c r="G736" s="3167">
        <f t="shared" si="128"/>
        <v>1</v>
      </c>
      <c r="H736" s="633"/>
      <c r="I736" s="3167">
        <f t="shared" si="129"/>
        <v>1</v>
      </c>
      <c r="J736" s="633"/>
      <c r="K736" s="3167">
        <f t="shared" si="130"/>
        <v>1</v>
      </c>
      <c r="L736" s="633"/>
      <c r="M736" s="3167">
        <f t="shared" si="131"/>
        <v>1</v>
      </c>
      <c r="N736" s="633"/>
      <c r="O736" s="3167">
        <f t="shared" si="132"/>
        <v>1</v>
      </c>
      <c r="P736" s="3201" t="s">
        <v>4862</v>
      </c>
      <c r="Q736" s="3167">
        <f t="shared" si="133"/>
        <v>0.9</v>
      </c>
      <c r="R736" s="21">
        <f t="shared" ca="1" si="135"/>
        <v>16.720199999999998</v>
      </c>
      <c r="S736" s="901">
        <f t="shared" ca="1" si="134"/>
        <v>0</v>
      </c>
      <c r="T736" s="687"/>
    </row>
    <row r="737" spans="1:20">
      <c r="A737" s="631" t="str">
        <f>'5号楼'!B717</f>
        <v>B4206</v>
      </c>
      <c r="B737" s="631">
        <f>'5号楼'!C717</f>
        <v>52.93</v>
      </c>
      <c r="C737" s="3167">
        <f t="shared" si="126"/>
        <v>1</v>
      </c>
      <c r="D737" s="633"/>
      <c r="E737" s="3167">
        <f t="shared" si="127"/>
        <v>1</v>
      </c>
      <c r="F737" s="633"/>
      <c r="G737" s="3167">
        <f t="shared" si="128"/>
        <v>1</v>
      </c>
      <c r="H737" s="633"/>
      <c r="I737" s="3167">
        <f t="shared" si="129"/>
        <v>1</v>
      </c>
      <c r="J737" s="633"/>
      <c r="K737" s="3167">
        <f t="shared" si="130"/>
        <v>1</v>
      </c>
      <c r="L737" s="633"/>
      <c r="M737" s="3167">
        <f t="shared" si="131"/>
        <v>1</v>
      </c>
      <c r="N737" s="633"/>
      <c r="O737" s="3167">
        <f t="shared" si="132"/>
        <v>1</v>
      </c>
      <c r="P737" s="3201" t="s">
        <v>4862</v>
      </c>
      <c r="Q737" s="3167">
        <f t="shared" si="133"/>
        <v>0.9</v>
      </c>
      <c r="R737" s="21">
        <f t="shared" ca="1" si="135"/>
        <v>16.720199999999998</v>
      </c>
      <c r="S737" s="901">
        <f t="shared" ca="1" si="134"/>
        <v>0</v>
      </c>
      <c r="T737" s="687"/>
    </row>
    <row r="738" spans="1:20">
      <c r="A738" s="631" t="str">
        <f>'5号楼'!B718</f>
        <v>B4207</v>
      </c>
      <c r="B738" s="631">
        <f>'5号楼'!C718</f>
        <v>52.93</v>
      </c>
      <c r="C738" s="3167">
        <f t="shared" si="126"/>
        <v>1</v>
      </c>
      <c r="D738" s="633"/>
      <c r="E738" s="3167">
        <f t="shared" si="127"/>
        <v>1</v>
      </c>
      <c r="F738" s="633"/>
      <c r="G738" s="3167">
        <f t="shared" si="128"/>
        <v>1</v>
      </c>
      <c r="H738" s="633"/>
      <c r="I738" s="3167">
        <f t="shared" si="129"/>
        <v>1</v>
      </c>
      <c r="J738" s="633"/>
      <c r="K738" s="3167">
        <f t="shared" si="130"/>
        <v>1</v>
      </c>
      <c r="L738" s="633"/>
      <c r="M738" s="3167">
        <f t="shared" si="131"/>
        <v>1</v>
      </c>
      <c r="N738" s="633"/>
      <c r="O738" s="3167">
        <f t="shared" si="132"/>
        <v>1</v>
      </c>
      <c r="P738" s="3201" t="s">
        <v>4862</v>
      </c>
      <c r="Q738" s="3167">
        <f t="shared" si="133"/>
        <v>0.9</v>
      </c>
      <c r="R738" s="21">
        <f t="shared" ca="1" si="135"/>
        <v>16.720199999999998</v>
      </c>
      <c r="S738" s="901">
        <f t="shared" ca="1" si="134"/>
        <v>0</v>
      </c>
      <c r="T738" s="687"/>
    </row>
    <row r="739" spans="1:20">
      <c r="A739" s="631" t="str">
        <f>'5号楼'!B719</f>
        <v>B4208</v>
      </c>
      <c r="B739" s="631">
        <f>'5号楼'!C719</f>
        <v>52.93</v>
      </c>
      <c r="C739" s="3167">
        <f t="shared" si="126"/>
        <v>1</v>
      </c>
      <c r="D739" s="633"/>
      <c r="E739" s="3167">
        <f t="shared" si="127"/>
        <v>1</v>
      </c>
      <c r="F739" s="633"/>
      <c r="G739" s="3167">
        <f t="shared" si="128"/>
        <v>1</v>
      </c>
      <c r="H739" s="633"/>
      <c r="I739" s="3167">
        <f t="shared" si="129"/>
        <v>1</v>
      </c>
      <c r="J739" s="633"/>
      <c r="K739" s="3167">
        <f t="shared" si="130"/>
        <v>1</v>
      </c>
      <c r="L739" s="633"/>
      <c r="M739" s="3167">
        <f t="shared" si="131"/>
        <v>1</v>
      </c>
      <c r="N739" s="633"/>
      <c r="O739" s="3167">
        <f t="shared" si="132"/>
        <v>1</v>
      </c>
      <c r="P739" s="3201" t="s">
        <v>4862</v>
      </c>
      <c r="Q739" s="3167">
        <f t="shared" si="133"/>
        <v>0.9</v>
      </c>
      <c r="R739" s="21">
        <f t="shared" ca="1" si="135"/>
        <v>16.720199999999998</v>
      </c>
      <c r="S739" s="901">
        <f t="shared" ca="1" si="134"/>
        <v>0</v>
      </c>
      <c r="T739" s="687"/>
    </row>
    <row r="740" spans="1:20">
      <c r="A740" s="631" t="str">
        <f>'5号楼'!B720</f>
        <v>B4209</v>
      </c>
      <c r="B740" s="631">
        <f>'5号楼'!C720</f>
        <v>52.93</v>
      </c>
      <c r="C740" s="3167">
        <f t="shared" si="126"/>
        <v>1</v>
      </c>
      <c r="D740" s="633"/>
      <c r="E740" s="3167">
        <f t="shared" si="127"/>
        <v>1</v>
      </c>
      <c r="F740" s="633"/>
      <c r="G740" s="3167">
        <f t="shared" si="128"/>
        <v>1</v>
      </c>
      <c r="H740" s="633"/>
      <c r="I740" s="3167">
        <f t="shared" si="129"/>
        <v>1</v>
      </c>
      <c r="J740" s="633"/>
      <c r="K740" s="3167">
        <f t="shared" si="130"/>
        <v>1</v>
      </c>
      <c r="L740" s="633"/>
      <c r="M740" s="3167">
        <f t="shared" si="131"/>
        <v>1</v>
      </c>
      <c r="N740" s="633"/>
      <c r="O740" s="3167">
        <f t="shared" si="132"/>
        <v>1</v>
      </c>
      <c r="P740" s="3201" t="s">
        <v>4862</v>
      </c>
      <c r="Q740" s="3167">
        <f t="shared" si="133"/>
        <v>0.9</v>
      </c>
      <c r="R740" s="21">
        <f t="shared" ca="1" si="135"/>
        <v>16.720199999999998</v>
      </c>
      <c r="S740" s="901">
        <f t="shared" ca="1" si="134"/>
        <v>0</v>
      </c>
      <c r="T740" s="687"/>
    </row>
    <row r="741" spans="1:20">
      <c r="A741" s="631" t="str">
        <f>'5号楼'!B721</f>
        <v>B4210</v>
      </c>
      <c r="B741" s="631">
        <f>'5号楼'!C721</f>
        <v>52.93</v>
      </c>
      <c r="C741" s="3167">
        <f t="shared" si="126"/>
        <v>1</v>
      </c>
      <c r="D741" s="633"/>
      <c r="E741" s="3167">
        <f t="shared" si="127"/>
        <v>1</v>
      </c>
      <c r="F741" s="633"/>
      <c r="G741" s="3167">
        <f t="shared" si="128"/>
        <v>1</v>
      </c>
      <c r="H741" s="633"/>
      <c r="I741" s="3167">
        <f t="shared" si="129"/>
        <v>1</v>
      </c>
      <c r="J741" s="633"/>
      <c r="K741" s="3167">
        <f t="shared" si="130"/>
        <v>1</v>
      </c>
      <c r="L741" s="633"/>
      <c r="M741" s="3167">
        <f t="shared" si="131"/>
        <v>1</v>
      </c>
      <c r="N741" s="633"/>
      <c r="O741" s="3167">
        <f t="shared" si="132"/>
        <v>1</v>
      </c>
      <c r="P741" s="3201" t="s">
        <v>4862</v>
      </c>
      <c r="Q741" s="3167">
        <f t="shared" si="133"/>
        <v>0.9</v>
      </c>
      <c r="R741" s="21">
        <f t="shared" ca="1" si="135"/>
        <v>16.720199999999998</v>
      </c>
      <c r="S741" s="901">
        <f t="shared" ca="1" si="134"/>
        <v>0</v>
      </c>
      <c r="T741" s="687"/>
    </row>
    <row r="742" spans="1:20">
      <c r="A742" s="631" t="str">
        <f>'5号楼'!B722</f>
        <v>B4211</v>
      </c>
      <c r="B742" s="631">
        <f>'5号楼'!C722</f>
        <v>52.93</v>
      </c>
      <c r="C742" s="3167">
        <f t="shared" si="126"/>
        <v>1</v>
      </c>
      <c r="D742" s="633"/>
      <c r="E742" s="3167">
        <f t="shared" si="127"/>
        <v>1</v>
      </c>
      <c r="F742" s="633"/>
      <c r="G742" s="3167">
        <f t="shared" si="128"/>
        <v>1</v>
      </c>
      <c r="H742" s="633"/>
      <c r="I742" s="3167">
        <f t="shared" si="129"/>
        <v>1</v>
      </c>
      <c r="J742" s="633"/>
      <c r="K742" s="3167">
        <f t="shared" si="130"/>
        <v>1</v>
      </c>
      <c r="L742" s="633"/>
      <c r="M742" s="3167">
        <f t="shared" si="131"/>
        <v>1</v>
      </c>
      <c r="N742" s="633"/>
      <c r="O742" s="3167">
        <f t="shared" si="132"/>
        <v>1</v>
      </c>
      <c r="P742" s="3201" t="s">
        <v>4862</v>
      </c>
      <c r="Q742" s="3167">
        <f t="shared" si="133"/>
        <v>0.9</v>
      </c>
      <c r="R742" s="21">
        <f t="shared" ca="1" si="135"/>
        <v>16.720199999999998</v>
      </c>
      <c r="S742" s="901">
        <f t="shared" ca="1" si="134"/>
        <v>0</v>
      </c>
      <c r="T742" s="687"/>
    </row>
    <row r="743" spans="1:20">
      <c r="A743" s="631" t="str">
        <f>'5号楼'!B723</f>
        <v>B4212</v>
      </c>
      <c r="B743" s="631">
        <f>'5号楼'!C723</f>
        <v>52.93</v>
      </c>
      <c r="C743" s="3167">
        <f t="shared" si="126"/>
        <v>1</v>
      </c>
      <c r="D743" s="633"/>
      <c r="E743" s="3167">
        <f t="shared" si="127"/>
        <v>1</v>
      </c>
      <c r="F743" s="633"/>
      <c r="G743" s="3167">
        <f t="shared" si="128"/>
        <v>1</v>
      </c>
      <c r="H743" s="633"/>
      <c r="I743" s="3167">
        <f t="shared" si="129"/>
        <v>1</v>
      </c>
      <c r="J743" s="633"/>
      <c r="K743" s="3167">
        <f t="shared" si="130"/>
        <v>1</v>
      </c>
      <c r="L743" s="633"/>
      <c r="M743" s="3167">
        <f t="shared" si="131"/>
        <v>1</v>
      </c>
      <c r="N743" s="633"/>
      <c r="O743" s="3167">
        <f t="shared" si="132"/>
        <v>1</v>
      </c>
      <c r="P743" s="3201" t="s">
        <v>4862</v>
      </c>
      <c r="Q743" s="3167">
        <f t="shared" si="133"/>
        <v>0.9</v>
      </c>
      <c r="R743" s="21">
        <f t="shared" ca="1" si="135"/>
        <v>16.720199999999998</v>
      </c>
      <c r="S743" s="901">
        <f t="shared" ca="1" si="134"/>
        <v>0</v>
      </c>
      <c r="T743" s="687"/>
    </row>
    <row r="744" spans="1:20">
      <c r="A744" s="631" t="str">
        <f>'5号楼'!B724</f>
        <v>B4213</v>
      </c>
      <c r="B744" s="631">
        <f>'5号楼'!C724</f>
        <v>52.93</v>
      </c>
      <c r="C744" s="3167">
        <f t="shared" si="126"/>
        <v>1</v>
      </c>
      <c r="D744" s="633"/>
      <c r="E744" s="3167">
        <f t="shared" si="127"/>
        <v>1</v>
      </c>
      <c r="F744" s="633"/>
      <c r="G744" s="3167">
        <f t="shared" si="128"/>
        <v>1</v>
      </c>
      <c r="H744" s="633"/>
      <c r="I744" s="3167">
        <f t="shared" si="129"/>
        <v>1</v>
      </c>
      <c r="J744" s="633"/>
      <c r="K744" s="3167">
        <f t="shared" si="130"/>
        <v>1</v>
      </c>
      <c r="L744" s="633"/>
      <c r="M744" s="3167">
        <f t="shared" si="131"/>
        <v>1</v>
      </c>
      <c r="N744" s="633"/>
      <c r="O744" s="3167">
        <f t="shared" si="132"/>
        <v>1</v>
      </c>
      <c r="P744" s="3201" t="s">
        <v>4862</v>
      </c>
      <c r="Q744" s="3167">
        <f t="shared" si="133"/>
        <v>0.9</v>
      </c>
      <c r="R744" s="21">
        <f t="shared" ca="1" si="135"/>
        <v>16.720199999999998</v>
      </c>
      <c r="S744" s="901">
        <f t="shared" ca="1" si="134"/>
        <v>0</v>
      </c>
      <c r="T744" s="687"/>
    </row>
    <row r="745" spans="1:20">
      <c r="A745" s="631" t="str">
        <f>'5号楼'!B725</f>
        <v>B4214</v>
      </c>
      <c r="B745" s="631">
        <f>'5号楼'!C725</f>
        <v>52.93</v>
      </c>
      <c r="C745" s="3167">
        <f t="shared" si="126"/>
        <v>1</v>
      </c>
      <c r="D745" s="633"/>
      <c r="E745" s="3167">
        <f t="shared" si="127"/>
        <v>1</v>
      </c>
      <c r="F745" s="633"/>
      <c r="G745" s="3167">
        <f t="shared" si="128"/>
        <v>1</v>
      </c>
      <c r="H745" s="633"/>
      <c r="I745" s="3167">
        <f t="shared" si="129"/>
        <v>1</v>
      </c>
      <c r="J745" s="633"/>
      <c r="K745" s="3167">
        <f t="shared" si="130"/>
        <v>1</v>
      </c>
      <c r="L745" s="633"/>
      <c r="M745" s="3167">
        <f t="shared" si="131"/>
        <v>1</v>
      </c>
      <c r="N745" s="633"/>
      <c r="O745" s="3167">
        <f t="shared" si="132"/>
        <v>1</v>
      </c>
      <c r="P745" s="3201" t="s">
        <v>4862</v>
      </c>
      <c r="Q745" s="3167">
        <f t="shared" si="133"/>
        <v>0.9</v>
      </c>
      <c r="R745" s="21">
        <f t="shared" ca="1" si="135"/>
        <v>16.720199999999998</v>
      </c>
      <c r="S745" s="901">
        <f t="shared" ca="1" si="134"/>
        <v>0</v>
      </c>
      <c r="T745" s="687"/>
    </row>
    <row r="746" spans="1:20">
      <c r="A746" s="631" t="str">
        <f>'5号楼'!B726</f>
        <v>B4215</v>
      </c>
      <c r="B746" s="631">
        <f>'5号楼'!C726</f>
        <v>59.92</v>
      </c>
      <c r="C746" s="3167">
        <f t="shared" si="126"/>
        <v>1</v>
      </c>
      <c r="D746" s="633"/>
      <c r="E746" s="3167">
        <f t="shared" si="127"/>
        <v>1</v>
      </c>
      <c r="F746" s="633"/>
      <c r="G746" s="3167">
        <f t="shared" si="128"/>
        <v>1</v>
      </c>
      <c r="H746" s="633"/>
      <c r="I746" s="3167">
        <f t="shared" si="129"/>
        <v>1</v>
      </c>
      <c r="J746" s="633"/>
      <c r="K746" s="3167">
        <f t="shared" si="130"/>
        <v>1</v>
      </c>
      <c r="L746" s="633"/>
      <c r="M746" s="3167">
        <f t="shared" si="131"/>
        <v>1</v>
      </c>
      <c r="N746" s="633"/>
      <c r="O746" s="3167">
        <f t="shared" si="132"/>
        <v>1</v>
      </c>
      <c r="P746" s="3201" t="s">
        <v>4862</v>
      </c>
      <c r="Q746" s="3167">
        <f t="shared" si="133"/>
        <v>0.9</v>
      </c>
      <c r="R746" s="21">
        <f t="shared" ca="1" si="135"/>
        <v>16.720199999999998</v>
      </c>
      <c r="S746" s="901">
        <f t="shared" ca="1" si="134"/>
        <v>0</v>
      </c>
      <c r="T746" s="687"/>
    </row>
    <row r="747" spans="1:20">
      <c r="A747" s="631" t="str">
        <f>'5号楼'!B727</f>
        <v>B4216</v>
      </c>
      <c r="B747" s="631">
        <f>'5号楼'!C727</f>
        <v>59.92</v>
      </c>
      <c r="C747" s="3167">
        <f t="shared" si="126"/>
        <v>1</v>
      </c>
      <c r="D747" s="633"/>
      <c r="E747" s="3167">
        <f t="shared" si="127"/>
        <v>1</v>
      </c>
      <c r="F747" s="633"/>
      <c r="G747" s="3167">
        <f t="shared" si="128"/>
        <v>1</v>
      </c>
      <c r="H747" s="633"/>
      <c r="I747" s="3167">
        <f t="shared" si="129"/>
        <v>1</v>
      </c>
      <c r="J747" s="633"/>
      <c r="K747" s="3167">
        <f t="shared" si="130"/>
        <v>1</v>
      </c>
      <c r="L747" s="633"/>
      <c r="M747" s="3167">
        <f t="shared" si="131"/>
        <v>1</v>
      </c>
      <c r="N747" s="633"/>
      <c r="O747" s="3167">
        <f t="shared" si="132"/>
        <v>1</v>
      </c>
      <c r="P747" s="3201" t="s">
        <v>4862</v>
      </c>
      <c r="Q747" s="3167">
        <f t="shared" si="133"/>
        <v>0.9</v>
      </c>
      <c r="R747" s="21">
        <f t="shared" ca="1" si="135"/>
        <v>16.720199999999998</v>
      </c>
      <c r="S747" s="901">
        <f t="shared" ca="1" si="134"/>
        <v>0</v>
      </c>
      <c r="T747" s="687"/>
    </row>
    <row r="748" spans="1:20">
      <c r="A748" s="631" t="str">
        <f>'5号楼'!B728</f>
        <v>B4217</v>
      </c>
      <c r="B748" s="631">
        <f>'5号楼'!C728</f>
        <v>52.93</v>
      </c>
      <c r="C748" s="3167">
        <f t="shared" si="126"/>
        <v>1</v>
      </c>
      <c r="D748" s="633"/>
      <c r="E748" s="3167">
        <f t="shared" si="127"/>
        <v>1</v>
      </c>
      <c r="F748" s="633"/>
      <c r="G748" s="3167">
        <f t="shared" si="128"/>
        <v>1</v>
      </c>
      <c r="H748" s="633"/>
      <c r="I748" s="3167">
        <f t="shared" si="129"/>
        <v>1</v>
      </c>
      <c r="J748" s="633"/>
      <c r="K748" s="3167">
        <f t="shared" si="130"/>
        <v>1</v>
      </c>
      <c r="L748" s="633"/>
      <c r="M748" s="3167">
        <f t="shared" si="131"/>
        <v>1</v>
      </c>
      <c r="N748" s="633"/>
      <c r="O748" s="3167">
        <f t="shared" si="132"/>
        <v>1</v>
      </c>
      <c r="P748" s="3201" t="s">
        <v>4862</v>
      </c>
      <c r="Q748" s="3167">
        <f t="shared" si="133"/>
        <v>0.9</v>
      </c>
      <c r="R748" s="21">
        <f t="shared" ca="1" si="135"/>
        <v>16.720199999999998</v>
      </c>
      <c r="S748" s="901">
        <f t="shared" ca="1" si="134"/>
        <v>0</v>
      </c>
      <c r="T748" s="687"/>
    </row>
    <row r="749" spans="1:20">
      <c r="A749" s="631" t="str">
        <f>'5号楼'!B729</f>
        <v>B4218</v>
      </c>
      <c r="B749" s="631">
        <f>'5号楼'!C729</f>
        <v>52.93</v>
      </c>
      <c r="C749" s="3167">
        <f t="shared" si="126"/>
        <v>1</v>
      </c>
      <c r="D749" s="633"/>
      <c r="E749" s="3167">
        <f t="shared" si="127"/>
        <v>1</v>
      </c>
      <c r="F749" s="633"/>
      <c r="G749" s="3167">
        <f t="shared" si="128"/>
        <v>1</v>
      </c>
      <c r="H749" s="633"/>
      <c r="I749" s="3167">
        <f t="shared" si="129"/>
        <v>1</v>
      </c>
      <c r="J749" s="633"/>
      <c r="K749" s="3167">
        <f t="shared" si="130"/>
        <v>1</v>
      </c>
      <c r="L749" s="633"/>
      <c r="M749" s="3167">
        <f t="shared" si="131"/>
        <v>1</v>
      </c>
      <c r="N749" s="633"/>
      <c r="O749" s="3167">
        <f t="shared" si="132"/>
        <v>1</v>
      </c>
      <c r="P749" s="3201" t="s">
        <v>4862</v>
      </c>
      <c r="Q749" s="3167">
        <f t="shared" si="133"/>
        <v>0.9</v>
      </c>
      <c r="R749" s="21">
        <f t="shared" ca="1" si="135"/>
        <v>16.720199999999998</v>
      </c>
      <c r="S749" s="901">
        <f t="shared" ca="1" si="134"/>
        <v>0</v>
      </c>
      <c r="T749" s="687"/>
    </row>
    <row r="750" spans="1:20">
      <c r="A750" s="631" t="str">
        <f>'5号楼'!B730</f>
        <v>B4219</v>
      </c>
      <c r="B750" s="631">
        <f>'5号楼'!C730</f>
        <v>52.93</v>
      </c>
      <c r="C750" s="3167">
        <f t="shared" si="126"/>
        <v>1</v>
      </c>
      <c r="D750" s="633"/>
      <c r="E750" s="3167">
        <f t="shared" si="127"/>
        <v>1</v>
      </c>
      <c r="F750" s="633"/>
      <c r="G750" s="3167">
        <f t="shared" si="128"/>
        <v>1</v>
      </c>
      <c r="H750" s="633"/>
      <c r="I750" s="3167">
        <f t="shared" si="129"/>
        <v>1</v>
      </c>
      <c r="J750" s="633"/>
      <c r="K750" s="3167">
        <f t="shared" si="130"/>
        <v>1</v>
      </c>
      <c r="L750" s="633"/>
      <c r="M750" s="3167">
        <f t="shared" si="131"/>
        <v>1</v>
      </c>
      <c r="N750" s="633"/>
      <c r="O750" s="3167">
        <f t="shared" si="132"/>
        <v>1</v>
      </c>
      <c r="P750" s="3201" t="s">
        <v>4862</v>
      </c>
      <c r="Q750" s="3167">
        <f t="shared" si="133"/>
        <v>0.9</v>
      </c>
      <c r="R750" s="21">
        <f t="shared" ca="1" si="135"/>
        <v>16.720199999999998</v>
      </c>
      <c r="S750" s="901">
        <f t="shared" ca="1" si="134"/>
        <v>0</v>
      </c>
      <c r="T750" s="687"/>
    </row>
    <row r="751" spans="1:20">
      <c r="A751" s="631" t="str">
        <f>'5号楼'!B731</f>
        <v>B4220</v>
      </c>
      <c r="B751" s="631">
        <f>'5号楼'!C731</f>
        <v>89.38</v>
      </c>
      <c r="C751" s="3167">
        <f t="shared" si="126"/>
        <v>1.3</v>
      </c>
      <c r="D751" s="633"/>
      <c r="E751" s="3167">
        <f t="shared" si="127"/>
        <v>1</v>
      </c>
      <c r="F751" s="633"/>
      <c r="G751" s="3167">
        <f t="shared" si="128"/>
        <v>1</v>
      </c>
      <c r="H751" s="633"/>
      <c r="I751" s="3167">
        <f t="shared" si="129"/>
        <v>1</v>
      </c>
      <c r="J751" s="633"/>
      <c r="K751" s="3167">
        <f t="shared" si="130"/>
        <v>1</v>
      </c>
      <c r="L751" s="633"/>
      <c r="M751" s="3167">
        <f t="shared" si="131"/>
        <v>1</v>
      </c>
      <c r="N751" s="633"/>
      <c r="O751" s="3167">
        <f t="shared" si="132"/>
        <v>1</v>
      </c>
      <c r="P751" s="3201" t="s">
        <v>4862</v>
      </c>
      <c r="Q751" s="3167">
        <f t="shared" si="133"/>
        <v>0.9</v>
      </c>
      <c r="R751" s="21">
        <f t="shared" ca="1" si="135"/>
        <v>21.7363</v>
      </c>
      <c r="S751" s="901">
        <f t="shared" ca="1" si="134"/>
        <v>0</v>
      </c>
      <c r="T751" s="687"/>
    </row>
    <row r="752" spans="1:20">
      <c r="A752" s="631" t="str">
        <f>'5号楼'!B732</f>
        <v>B4221</v>
      </c>
      <c r="B752" s="631">
        <f>'5号楼'!C732</f>
        <v>52.93</v>
      </c>
      <c r="C752" s="3167">
        <f t="shared" si="126"/>
        <v>1</v>
      </c>
      <c r="D752" s="633"/>
      <c r="E752" s="3167">
        <f t="shared" si="127"/>
        <v>1</v>
      </c>
      <c r="F752" s="633"/>
      <c r="G752" s="3167">
        <f t="shared" si="128"/>
        <v>1</v>
      </c>
      <c r="H752" s="633"/>
      <c r="I752" s="3167">
        <f t="shared" si="129"/>
        <v>1</v>
      </c>
      <c r="J752" s="633"/>
      <c r="K752" s="3167">
        <f t="shared" si="130"/>
        <v>1</v>
      </c>
      <c r="L752" s="633"/>
      <c r="M752" s="3167">
        <f t="shared" si="131"/>
        <v>1</v>
      </c>
      <c r="N752" s="633"/>
      <c r="O752" s="3167">
        <f t="shared" si="132"/>
        <v>1</v>
      </c>
      <c r="P752" s="3201" t="s">
        <v>4862</v>
      </c>
      <c r="Q752" s="3167">
        <f t="shared" si="133"/>
        <v>0.9</v>
      </c>
      <c r="R752" s="21">
        <f t="shared" ca="1" si="135"/>
        <v>16.720199999999998</v>
      </c>
      <c r="S752" s="901">
        <f t="shared" ca="1" si="134"/>
        <v>0</v>
      </c>
      <c r="T752" s="687"/>
    </row>
    <row r="753" spans="1:20">
      <c r="A753" s="631" t="str">
        <f>'5号楼'!B733</f>
        <v>B4222</v>
      </c>
      <c r="B753" s="631">
        <f>'5号楼'!C733</f>
        <v>52.93</v>
      </c>
      <c r="C753" s="3167">
        <f t="shared" si="126"/>
        <v>1</v>
      </c>
      <c r="D753" s="633"/>
      <c r="E753" s="3167">
        <f t="shared" si="127"/>
        <v>1</v>
      </c>
      <c r="F753" s="633"/>
      <c r="G753" s="3167">
        <f t="shared" si="128"/>
        <v>1</v>
      </c>
      <c r="H753" s="633"/>
      <c r="I753" s="3167">
        <f t="shared" si="129"/>
        <v>1</v>
      </c>
      <c r="J753" s="633"/>
      <c r="K753" s="3167">
        <f t="shared" si="130"/>
        <v>1</v>
      </c>
      <c r="L753" s="633"/>
      <c r="M753" s="3167">
        <f t="shared" si="131"/>
        <v>1</v>
      </c>
      <c r="N753" s="633"/>
      <c r="O753" s="3167">
        <f t="shared" si="132"/>
        <v>1</v>
      </c>
      <c r="P753" s="3201" t="s">
        <v>4862</v>
      </c>
      <c r="Q753" s="3167">
        <f t="shared" si="133"/>
        <v>0.9</v>
      </c>
      <c r="R753" s="21">
        <f t="shared" ca="1" si="135"/>
        <v>16.720199999999998</v>
      </c>
      <c r="S753" s="901">
        <f t="shared" ca="1" si="134"/>
        <v>0</v>
      </c>
      <c r="T753" s="687"/>
    </row>
    <row r="754" spans="1:20">
      <c r="A754" s="631" t="str">
        <f>'5号楼'!B734</f>
        <v>B4223</v>
      </c>
      <c r="B754" s="631">
        <f>'5号楼'!C734</f>
        <v>52.93</v>
      </c>
      <c r="C754" s="3167">
        <f t="shared" si="126"/>
        <v>1</v>
      </c>
      <c r="D754" s="633"/>
      <c r="E754" s="3167">
        <f t="shared" si="127"/>
        <v>1</v>
      </c>
      <c r="F754" s="633"/>
      <c r="G754" s="3167">
        <f t="shared" si="128"/>
        <v>1</v>
      </c>
      <c r="H754" s="633"/>
      <c r="I754" s="3167">
        <f t="shared" si="129"/>
        <v>1</v>
      </c>
      <c r="J754" s="633"/>
      <c r="K754" s="3167">
        <f t="shared" si="130"/>
        <v>1</v>
      </c>
      <c r="L754" s="633"/>
      <c r="M754" s="3167">
        <f t="shared" si="131"/>
        <v>1</v>
      </c>
      <c r="N754" s="633"/>
      <c r="O754" s="3167">
        <f t="shared" si="132"/>
        <v>1</v>
      </c>
      <c r="P754" s="3201" t="s">
        <v>4862</v>
      </c>
      <c r="Q754" s="3167">
        <f t="shared" si="133"/>
        <v>0.9</v>
      </c>
      <c r="R754" s="21">
        <f t="shared" ca="1" si="135"/>
        <v>16.720199999999998</v>
      </c>
      <c r="S754" s="901">
        <f t="shared" ca="1" si="134"/>
        <v>0</v>
      </c>
      <c r="T754" s="687"/>
    </row>
    <row r="755" spans="1:20">
      <c r="A755" s="631" t="str">
        <f>'5号楼'!B735</f>
        <v>B4224</v>
      </c>
      <c r="B755" s="631">
        <f>'5号楼'!C735</f>
        <v>52.93</v>
      </c>
      <c r="C755" s="3167">
        <f t="shared" si="126"/>
        <v>1</v>
      </c>
      <c r="D755" s="633"/>
      <c r="E755" s="3167">
        <f t="shared" si="127"/>
        <v>1</v>
      </c>
      <c r="F755" s="633"/>
      <c r="G755" s="3167">
        <f t="shared" si="128"/>
        <v>1</v>
      </c>
      <c r="H755" s="633"/>
      <c r="I755" s="3167">
        <f t="shared" si="129"/>
        <v>1</v>
      </c>
      <c r="J755" s="633"/>
      <c r="K755" s="3167">
        <f t="shared" si="130"/>
        <v>1</v>
      </c>
      <c r="L755" s="633"/>
      <c r="M755" s="3167">
        <f t="shared" si="131"/>
        <v>1</v>
      </c>
      <c r="N755" s="633"/>
      <c r="O755" s="3167">
        <f t="shared" si="132"/>
        <v>1</v>
      </c>
      <c r="P755" s="3201" t="s">
        <v>4862</v>
      </c>
      <c r="Q755" s="3167">
        <f t="shared" si="133"/>
        <v>0.9</v>
      </c>
      <c r="R755" s="21">
        <f t="shared" ca="1" si="135"/>
        <v>16.720199999999998</v>
      </c>
      <c r="S755" s="901">
        <f t="shared" ca="1" si="134"/>
        <v>0</v>
      </c>
      <c r="T755" s="687"/>
    </row>
    <row r="756" spans="1:20">
      <c r="A756" s="631" t="str">
        <f>'5号楼'!B736</f>
        <v>B4225</v>
      </c>
      <c r="B756" s="631">
        <f>'5号楼'!C736</f>
        <v>52.93</v>
      </c>
      <c r="C756" s="3167">
        <f t="shared" si="126"/>
        <v>1</v>
      </c>
      <c r="D756" s="633"/>
      <c r="E756" s="3167">
        <f t="shared" si="127"/>
        <v>1</v>
      </c>
      <c r="F756" s="633"/>
      <c r="G756" s="3167">
        <f t="shared" si="128"/>
        <v>1</v>
      </c>
      <c r="H756" s="633"/>
      <c r="I756" s="3167">
        <f t="shared" si="129"/>
        <v>1</v>
      </c>
      <c r="J756" s="633"/>
      <c r="K756" s="3167">
        <f t="shared" si="130"/>
        <v>1</v>
      </c>
      <c r="L756" s="633"/>
      <c r="M756" s="3167">
        <f t="shared" si="131"/>
        <v>1</v>
      </c>
      <c r="N756" s="633"/>
      <c r="O756" s="3167">
        <f t="shared" si="132"/>
        <v>1</v>
      </c>
      <c r="P756" s="3201" t="s">
        <v>4862</v>
      </c>
      <c r="Q756" s="3167">
        <f t="shared" si="133"/>
        <v>0.9</v>
      </c>
      <c r="R756" s="21">
        <f t="shared" ca="1" si="135"/>
        <v>16.720199999999998</v>
      </c>
      <c r="S756" s="901">
        <f t="shared" ca="1" si="134"/>
        <v>0</v>
      </c>
      <c r="T756" s="687"/>
    </row>
    <row r="757" spans="1:20">
      <c r="A757" s="631" t="str">
        <f>'5号楼'!B737</f>
        <v>B4226</v>
      </c>
      <c r="B757" s="631">
        <f>'5号楼'!C737</f>
        <v>52.93</v>
      </c>
      <c r="C757" s="3167">
        <f t="shared" si="126"/>
        <v>1</v>
      </c>
      <c r="D757" s="633"/>
      <c r="E757" s="3167">
        <f t="shared" si="127"/>
        <v>1</v>
      </c>
      <c r="F757" s="633"/>
      <c r="G757" s="3167">
        <f t="shared" si="128"/>
        <v>1</v>
      </c>
      <c r="H757" s="633"/>
      <c r="I757" s="3167">
        <f t="shared" si="129"/>
        <v>1</v>
      </c>
      <c r="J757" s="633"/>
      <c r="K757" s="3167">
        <f t="shared" si="130"/>
        <v>1</v>
      </c>
      <c r="L757" s="633"/>
      <c r="M757" s="3167">
        <f t="shared" si="131"/>
        <v>1</v>
      </c>
      <c r="N757" s="633"/>
      <c r="O757" s="3167">
        <f t="shared" si="132"/>
        <v>1</v>
      </c>
      <c r="P757" s="3201" t="s">
        <v>4862</v>
      </c>
      <c r="Q757" s="3167">
        <f t="shared" si="133"/>
        <v>0.9</v>
      </c>
      <c r="R757" s="21">
        <f t="shared" ca="1" si="135"/>
        <v>16.720199999999998</v>
      </c>
      <c r="S757" s="901">
        <f t="shared" ca="1" si="134"/>
        <v>0</v>
      </c>
      <c r="T757" s="687"/>
    </row>
    <row r="758" spans="1:20">
      <c r="A758" s="631" t="str">
        <f>'5号楼'!B738</f>
        <v>B4227</v>
      </c>
      <c r="B758" s="631">
        <f>'5号楼'!C738</f>
        <v>52.93</v>
      </c>
      <c r="C758" s="3167">
        <f t="shared" si="126"/>
        <v>1</v>
      </c>
      <c r="D758" s="633"/>
      <c r="E758" s="3167">
        <f t="shared" si="127"/>
        <v>1</v>
      </c>
      <c r="F758" s="633"/>
      <c r="G758" s="3167">
        <f t="shared" si="128"/>
        <v>1</v>
      </c>
      <c r="H758" s="633"/>
      <c r="I758" s="3167">
        <f t="shared" si="129"/>
        <v>1</v>
      </c>
      <c r="J758" s="633"/>
      <c r="K758" s="3167">
        <f t="shared" si="130"/>
        <v>1</v>
      </c>
      <c r="L758" s="633"/>
      <c r="M758" s="3167">
        <f t="shared" si="131"/>
        <v>1</v>
      </c>
      <c r="N758" s="633"/>
      <c r="O758" s="3167">
        <f t="shared" si="132"/>
        <v>1</v>
      </c>
      <c r="P758" s="3201" t="s">
        <v>4862</v>
      </c>
      <c r="Q758" s="3167">
        <f t="shared" si="133"/>
        <v>0.9</v>
      </c>
      <c r="R758" s="21">
        <f t="shared" ca="1" si="135"/>
        <v>16.720199999999998</v>
      </c>
      <c r="S758" s="901">
        <f t="shared" ca="1" si="134"/>
        <v>0</v>
      </c>
      <c r="T758" s="687"/>
    </row>
    <row r="759" spans="1:20">
      <c r="A759" s="631" t="str">
        <f>'5号楼'!B739</f>
        <v>B4228</v>
      </c>
      <c r="B759" s="631">
        <f>'5号楼'!C739</f>
        <v>52.93</v>
      </c>
      <c r="C759" s="3167">
        <f t="shared" si="126"/>
        <v>1</v>
      </c>
      <c r="D759" s="633"/>
      <c r="E759" s="3167">
        <f t="shared" si="127"/>
        <v>1</v>
      </c>
      <c r="F759" s="633"/>
      <c r="G759" s="3167">
        <f t="shared" si="128"/>
        <v>1</v>
      </c>
      <c r="H759" s="633"/>
      <c r="I759" s="3167">
        <f t="shared" si="129"/>
        <v>1</v>
      </c>
      <c r="J759" s="633"/>
      <c r="K759" s="3167">
        <f t="shared" si="130"/>
        <v>1</v>
      </c>
      <c r="L759" s="633"/>
      <c r="M759" s="3167">
        <f t="shared" si="131"/>
        <v>1</v>
      </c>
      <c r="N759" s="633"/>
      <c r="O759" s="3167">
        <f t="shared" si="132"/>
        <v>1</v>
      </c>
      <c r="P759" s="3201" t="s">
        <v>4862</v>
      </c>
      <c r="Q759" s="3167">
        <f t="shared" si="133"/>
        <v>0.9</v>
      </c>
      <c r="R759" s="21">
        <f t="shared" ca="1" si="135"/>
        <v>16.720199999999998</v>
      </c>
      <c r="S759" s="901">
        <f t="shared" ca="1" si="134"/>
        <v>0</v>
      </c>
      <c r="T759" s="687"/>
    </row>
    <row r="760" spans="1:20">
      <c r="A760" s="631" t="str">
        <f>'5号楼'!B740</f>
        <v>B4229</v>
      </c>
      <c r="B760" s="631">
        <f>'5号楼'!C740</f>
        <v>52.93</v>
      </c>
      <c r="C760" s="3167">
        <f t="shared" si="126"/>
        <v>1</v>
      </c>
      <c r="D760" s="633"/>
      <c r="E760" s="3167">
        <f t="shared" si="127"/>
        <v>1</v>
      </c>
      <c r="F760" s="633"/>
      <c r="G760" s="3167">
        <f t="shared" si="128"/>
        <v>1</v>
      </c>
      <c r="H760" s="633"/>
      <c r="I760" s="3167">
        <f t="shared" si="129"/>
        <v>1</v>
      </c>
      <c r="J760" s="633"/>
      <c r="K760" s="3167">
        <f t="shared" si="130"/>
        <v>1</v>
      </c>
      <c r="L760" s="633"/>
      <c r="M760" s="3167">
        <f t="shared" si="131"/>
        <v>1</v>
      </c>
      <c r="N760" s="633"/>
      <c r="O760" s="3167">
        <f t="shared" si="132"/>
        <v>1</v>
      </c>
      <c r="P760" s="3201" t="s">
        <v>4862</v>
      </c>
      <c r="Q760" s="3167">
        <f t="shared" si="133"/>
        <v>0.9</v>
      </c>
      <c r="R760" s="21">
        <f t="shared" ca="1" si="135"/>
        <v>16.720199999999998</v>
      </c>
      <c r="S760" s="901">
        <f t="shared" ca="1" si="134"/>
        <v>0</v>
      </c>
      <c r="T760" s="687"/>
    </row>
    <row r="761" spans="1:20">
      <c r="A761" s="631" t="str">
        <f>'5号楼'!B741</f>
        <v>B4230</v>
      </c>
      <c r="B761" s="631">
        <f>'5号楼'!C741</f>
        <v>52.93</v>
      </c>
      <c r="C761" s="3167">
        <f t="shared" si="126"/>
        <v>1</v>
      </c>
      <c r="D761" s="633"/>
      <c r="E761" s="3167">
        <f t="shared" si="127"/>
        <v>1</v>
      </c>
      <c r="F761" s="633"/>
      <c r="G761" s="3167">
        <f t="shared" si="128"/>
        <v>1</v>
      </c>
      <c r="H761" s="633"/>
      <c r="I761" s="3167">
        <f t="shared" si="129"/>
        <v>1</v>
      </c>
      <c r="J761" s="633"/>
      <c r="K761" s="3167">
        <f t="shared" si="130"/>
        <v>1</v>
      </c>
      <c r="L761" s="633"/>
      <c r="M761" s="3167">
        <f t="shared" si="131"/>
        <v>1</v>
      </c>
      <c r="N761" s="633"/>
      <c r="O761" s="3167">
        <f t="shared" si="132"/>
        <v>1</v>
      </c>
      <c r="P761" s="3201" t="s">
        <v>4862</v>
      </c>
      <c r="Q761" s="3167">
        <f t="shared" si="133"/>
        <v>0.9</v>
      </c>
      <c r="R761" s="21">
        <f t="shared" ca="1" si="135"/>
        <v>16.720199999999998</v>
      </c>
      <c r="S761" s="901">
        <f t="shared" ca="1" si="134"/>
        <v>0</v>
      </c>
      <c r="T761" s="687"/>
    </row>
    <row r="762" spans="1:20">
      <c r="A762" s="631" t="str">
        <f>'5号楼'!B742</f>
        <v>B4231</v>
      </c>
      <c r="B762" s="631">
        <f>'5号楼'!C742</f>
        <v>52.93</v>
      </c>
      <c r="C762" s="3167">
        <f t="shared" si="126"/>
        <v>1</v>
      </c>
      <c r="D762" s="633"/>
      <c r="E762" s="3167">
        <f t="shared" si="127"/>
        <v>1</v>
      </c>
      <c r="F762" s="633"/>
      <c r="G762" s="3167">
        <f t="shared" si="128"/>
        <v>1</v>
      </c>
      <c r="H762" s="633"/>
      <c r="I762" s="3167">
        <f t="shared" si="129"/>
        <v>1</v>
      </c>
      <c r="J762" s="633"/>
      <c r="K762" s="3167">
        <f t="shared" si="130"/>
        <v>1</v>
      </c>
      <c r="L762" s="633"/>
      <c r="M762" s="3167">
        <f t="shared" si="131"/>
        <v>1</v>
      </c>
      <c r="N762" s="633"/>
      <c r="O762" s="3167">
        <f t="shared" si="132"/>
        <v>1</v>
      </c>
      <c r="P762" s="3201" t="s">
        <v>4862</v>
      </c>
      <c r="Q762" s="3167">
        <f t="shared" si="133"/>
        <v>0.9</v>
      </c>
      <c r="R762" s="21">
        <f t="shared" ca="1" si="135"/>
        <v>16.720199999999998</v>
      </c>
      <c r="S762" s="901">
        <f t="shared" ca="1" si="134"/>
        <v>0</v>
      </c>
      <c r="T762" s="687"/>
    </row>
    <row r="763" spans="1:20">
      <c r="A763" s="631" t="str">
        <f>'5号楼'!B743</f>
        <v>B4232</v>
      </c>
      <c r="B763" s="631">
        <f>'5号楼'!C743</f>
        <v>52.93</v>
      </c>
      <c r="C763" s="3167">
        <f t="shared" si="126"/>
        <v>1</v>
      </c>
      <c r="D763" s="633"/>
      <c r="E763" s="3167">
        <f t="shared" si="127"/>
        <v>1</v>
      </c>
      <c r="F763" s="633"/>
      <c r="G763" s="3167">
        <f t="shared" si="128"/>
        <v>1</v>
      </c>
      <c r="H763" s="633"/>
      <c r="I763" s="3167">
        <f t="shared" si="129"/>
        <v>1</v>
      </c>
      <c r="J763" s="633"/>
      <c r="K763" s="3167">
        <f t="shared" si="130"/>
        <v>1</v>
      </c>
      <c r="L763" s="633"/>
      <c r="M763" s="3167">
        <f t="shared" si="131"/>
        <v>1</v>
      </c>
      <c r="N763" s="633"/>
      <c r="O763" s="3167">
        <f t="shared" si="132"/>
        <v>1</v>
      </c>
      <c r="P763" s="3201" t="s">
        <v>4862</v>
      </c>
      <c r="Q763" s="3167">
        <f t="shared" si="133"/>
        <v>0.9</v>
      </c>
      <c r="R763" s="21">
        <f t="shared" ca="1" si="135"/>
        <v>16.720199999999998</v>
      </c>
      <c r="S763" s="901">
        <f t="shared" ca="1" si="134"/>
        <v>0</v>
      </c>
      <c r="T763" s="687"/>
    </row>
    <row r="764" spans="1:20">
      <c r="A764" s="631" t="str">
        <f>'5号楼'!B744</f>
        <v>B4233</v>
      </c>
      <c r="B764" s="631">
        <f>'5号楼'!C744</f>
        <v>52.93</v>
      </c>
      <c r="C764" s="3167">
        <f t="shared" si="126"/>
        <v>1</v>
      </c>
      <c r="D764" s="633"/>
      <c r="E764" s="3167">
        <f t="shared" si="127"/>
        <v>1</v>
      </c>
      <c r="F764" s="633"/>
      <c r="G764" s="3167">
        <f t="shared" si="128"/>
        <v>1</v>
      </c>
      <c r="H764" s="633"/>
      <c r="I764" s="3167">
        <f t="shared" si="129"/>
        <v>1</v>
      </c>
      <c r="J764" s="633"/>
      <c r="K764" s="3167">
        <f t="shared" si="130"/>
        <v>1</v>
      </c>
      <c r="L764" s="633"/>
      <c r="M764" s="3167">
        <f t="shared" si="131"/>
        <v>1</v>
      </c>
      <c r="N764" s="633"/>
      <c r="O764" s="3167">
        <f t="shared" si="132"/>
        <v>1</v>
      </c>
      <c r="P764" s="3201" t="s">
        <v>4862</v>
      </c>
      <c r="Q764" s="3167">
        <f t="shared" si="133"/>
        <v>0.9</v>
      </c>
      <c r="R764" s="21">
        <f t="shared" ca="1" si="135"/>
        <v>16.720199999999998</v>
      </c>
      <c r="S764" s="901">
        <f t="shared" ca="1" si="134"/>
        <v>0</v>
      </c>
      <c r="T764" s="687"/>
    </row>
    <row r="765" spans="1:20">
      <c r="A765" s="631" t="str">
        <f>'5号楼'!B745</f>
        <v>B4234</v>
      </c>
      <c r="B765" s="631">
        <f>'5号楼'!C745</f>
        <v>52.93</v>
      </c>
      <c r="C765" s="3167">
        <f t="shared" si="126"/>
        <v>1</v>
      </c>
      <c r="D765" s="633"/>
      <c r="E765" s="3167">
        <f t="shared" si="127"/>
        <v>1</v>
      </c>
      <c r="F765" s="633"/>
      <c r="G765" s="3167">
        <f t="shared" si="128"/>
        <v>1</v>
      </c>
      <c r="H765" s="633"/>
      <c r="I765" s="3167">
        <f t="shared" si="129"/>
        <v>1</v>
      </c>
      <c r="J765" s="633"/>
      <c r="K765" s="3167">
        <f t="shared" si="130"/>
        <v>1</v>
      </c>
      <c r="L765" s="633"/>
      <c r="M765" s="3167">
        <f t="shared" si="131"/>
        <v>1</v>
      </c>
      <c r="N765" s="633"/>
      <c r="O765" s="3167">
        <f t="shared" si="132"/>
        <v>1</v>
      </c>
      <c r="P765" s="3201" t="s">
        <v>4862</v>
      </c>
      <c r="Q765" s="3167">
        <f t="shared" si="133"/>
        <v>0.9</v>
      </c>
      <c r="R765" s="21">
        <f t="shared" ca="1" si="135"/>
        <v>16.720199999999998</v>
      </c>
      <c r="S765" s="901">
        <f t="shared" ca="1" si="134"/>
        <v>0</v>
      </c>
      <c r="T765" s="687"/>
    </row>
    <row r="766" spans="1:20">
      <c r="A766" s="631" t="str">
        <f>'5号楼'!B746</f>
        <v>B4235</v>
      </c>
      <c r="B766" s="631">
        <f>'5号楼'!C746</f>
        <v>52.93</v>
      </c>
      <c r="C766" s="3167">
        <f t="shared" si="126"/>
        <v>1</v>
      </c>
      <c r="D766" s="633"/>
      <c r="E766" s="3167">
        <f t="shared" si="127"/>
        <v>1</v>
      </c>
      <c r="F766" s="633"/>
      <c r="G766" s="3167">
        <f t="shared" si="128"/>
        <v>1</v>
      </c>
      <c r="H766" s="633"/>
      <c r="I766" s="3167">
        <f t="shared" si="129"/>
        <v>1</v>
      </c>
      <c r="J766" s="633"/>
      <c r="K766" s="3167">
        <f t="shared" si="130"/>
        <v>1</v>
      </c>
      <c r="L766" s="633"/>
      <c r="M766" s="3167">
        <f t="shared" si="131"/>
        <v>1</v>
      </c>
      <c r="N766" s="633"/>
      <c r="O766" s="3167">
        <f t="shared" si="132"/>
        <v>1</v>
      </c>
      <c r="P766" s="3201" t="s">
        <v>4862</v>
      </c>
      <c r="Q766" s="3167">
        <f t="shared" si="133"/>
        <v>0.9</v>
      </c>
      <c r="R766" s="21">
        <f t="shared" ca="1" si="135"/>
        <v>16.720199999999998</v>
      </c>
      <c r="S766" s="901">
        <f t="shared" ca="1" si="134"/>
        <v>0</v>
      </c>
      <c r="T766" s="687"/>
    </row>
    <row r="767" spans="1:20">
      <c r="A767" s="631" t="str">
        <f>'5号楼'!B747</f>
        <v>B4236</v>
      </c>
      <c r="B767" s="631">
        <f>'5号楼'!C747</f>
        <v>52.93</v>
      </c>
      <c r="C767" s="3167">
        <f t="shared" si="126"/>
        <v>1</v>
      </c>
      <c r="D767" s="633"/>
      <c r="E767" s="3167">
        <f t="shared" si="127"/>
        <v>1</v>
      </c>
      <c r="F767" s="633"/>
      <c r="G767" s="3167">
        <f t="shared" si="128"/>
        <v>1</v>
      </c>
      <c r="H767" s="633"/>
      <c r="I767" s="3167">
        <f t="shared" si="129"/>
        <v>1</v>
      </c>
      <c r="J767" s="633"/>
      <c r="K767" s="3167">
        <f t="shared" si="130"/>
        <v>1</v>
      </c>
      <c r="L767" s="633"/>
      <c r="M767" s="3167">
        <f t="shared" si="131"/>
        <v>1</v>
      </c>
      <c r="N767" s="633"/>
      <c r="O767" s="3167">
        <f t="shared" si="132"/>
        <v>1</v>
      </c>
      <c r="P767" s="3201" t="s">
        <v>4862</v>
      </c>
      <c r="Q767" s="3167">
        <f t="shared" si="133"/>
        <v>0.9</v>
      </c>
      <c r="R767" s="21">
        <f t="shared" ca="1" si="135"/>
        <v>16.720199999999998</v>
      </c>
      <c r="S767" s="901">
        <f t="shared" ca="1" si="134"/>
        <v>0</v>
      </c>
      <c r="T767" s="687"/>
    </row>
    <row r="768" spans="1:20">
      <c r="A768" s="631" t="str">
        <f>'5号楼'!B748</f>
        <v>B4237</v>
      </c>
      <c r="B768" s="631">
        <f>'5号楼'!C748</f>
        <v>52.93</v>
      </c>
      <c r="C768" s="3167">
        <f t="shared" si="126"/>
        <v>1</v>
      </c>
      <c r="D768" s="633"/>
      <c r="E768" s="3167">
        <f t="shared" si="127"/>
        <v>1</v>
      </c>
      <c r="F768" s="633"/>
      <c r="G768" s="3167">
        <f t="shared" si="128"/>
        <v>1</v>
      </c>
      <c r="H768" s="633"/>
      <c r="I768" s="3167">
        <f t="shared" si="129"/>
        <v>1</v>
      </c>
      <c r="J768" s="633"/>
      <c r="K768" s="3167">
        <f t="shared" si="130"/>
        <v>1</v>
      </c>
      <c r="L768" s="633"/>
      <c r="M768" s="3167">
        <f t="shared" si="131"/>
        <v>1</v>
      </c>
      <c r="N768" s="633"/>
      <c r="O768" s="3167">
        <f t="shared" si="132"/>
        <v>1</v>
      </c>
      <c r="P768" s="3201" t="s">
        <v>4862</v>
      </c>
      <c r="Q768" s="3167">
        <f t="shared" si="133"/>
        <v>0.9</v>
      </c>
      <c r="R768" s="21">
        <f t="shared" ca="1" si="135"/>
        <v>16.720199999999998</v>
      </c>
      <c r="S768" s="901">
        <f t="shared" ca="1" si="134"/>
        <v>0</v>
      </c>
      <c r="T768" s="687"/>
    </row>
    <row r="769" spans="1:20">
      <c r="A769" s="631" t="str">
        <f>'5号楼'!B749</f>
        <v>B4238</v>
      </c>
      <c r="B769" s="631">
        <f>'5号楼'!C749</f>
        <v>52.93</v>
      </c>
      <c r="C769" s="3167">
        <f t="shared" si="126"/>
        <v>1</v>
      </c>
      <c r="D769" s="633"/>
      <c r="E769" s="3167">
        <f t="shared" si="127"/>
        <v>1</v>
      </c>
      <c r="F769" s="633"/>
      <c r="G769" s="3167">
        <f t="shared" si="128"/>
        <v>1</v>
      </c>
      <c r="H769" s="633"/>
      <c r="I769" s="3167">
        <f t="shared" si="129"/>
        <v>1</v>
      </c>
      <c r="J769" s="633"/>
      <c r="K769" s="3167">
        <f t="shared" si="130"/>
        <v>1</v>
      </c>
      <c r="L769" s="633"/>
      <c r="M769" s="3167">
        <f t="shared" si="131"/>
        <v>1</v>
      </c>
      <c r="N769" s="633"/>
      <c r="O769" s="3167">
        <f t="shared" si="132"/>
        <v>1</v>
      </c>
      <c r="P769" s="3201" t="s">
        <v>4862</v>
      </c>
      <c r="Q769" s="3167">
        <f t="shared" si="133"/>
        <v>0.9</v>
      </c>
      <c r="R769" s="21">
        <f t="shared" ca="1" si="135"/>
        <v>16.720199999999998</v>
      </c>
      <c r="S769" s="901">
        <f t="shared" ca="1" si="134"/>
        <v>0</v>
      </c>
      <c r="T769" s="687"/>
    </row>
    <row r="770" spans="1:20">
      <c r="A770" s="631" t="str">
        <f>'5号楼'!B750</f>
        <v>B4239</v>
      </c>
      <c r="B770" s="631">
        <f>'5号楼'!C750</f>
        <v>52.93</v>
      </c>
      <c r="C770" s="3167">
        <f t="shared" si="126"/>
        <v>1</v>
      </c>
      <c r="D770" s="633"/>
      <c r="E770" s="3167">
        <f t="shared" si="127"/>
        <v>1</v>
      </c>
      <c r="F770" s="633"/>
      <c r="G770" s="3167">
        <f t="shared" si="128"/>
        <v>1</v>
      </c>
      <c r="H770" s="633"/>
      <c r="I770" s="3167">
        <f t="shared" si="129"/>
        <v>1</v>
      </c>
      <c r="J770" s="633"/>
      <c r="K770" s="3167">
        <f t="shared" si="130"/>
        <v>1</v>
      </c>
      <c r="L770" s="633"/>
      <c r="M770" s="3167">
        <f t="shared" si="131"/>
        <v>1</v>
      </c>
      <c r="N770" s="633"/>
      <c r="O770" s="3167">
        <f t="shared" si="132"/>
        <v>1</v>
      </c>
      <c r="P770" s="3201" t="s">
        <v>4862</v>
      </c>
      <c r="Q770" s="3167">
        <f t="shared" si="133"/>
        <v>0.9</v>
      </c>
      <c r="R770" s="21">
        <f t="shared" ca="1" si="135"/>
        <v>16.720199999999998</v>
      </c>
      <c r="S770" s="901">
        <f t="shared" ca="1" si="134"/>
        <v>0</v>
      </c>
      <c r="T770" s="687"/>
    </row>
    <row r="771" spans="1:20">
      <c r="A771" s="631" t="str">
        <f>'5号楼'!B751</f>
        <v>B4240</v>
      </c>
      <c r="B771" s="631">
        <f>'5号楼'!C751</f>
        <v>52.93</v>
      </c>
      <c r="C771" s="3167">
        <f t="shared" si="126"/>
        <v>1</v>
      </c>
      <c r="D771" s="633"/>
      <c r="E771" s="3167">
        <f t="shared" si="127"/>
        <v>1</v>
      </c>
      <c r="F771" s="633"/>
      <c r="G771" s="3167">
        <f t="shared" si="128"/>
        <v>1</v>
      </c>
      <c r="H771" s="633"/>
      <c r="I771" s="3167">
        <f t="shared" si="129"/>
        <v>1</v>
      </c>
      <c r="J771" s="633"/>
      <c r="K771" s="3167">
        <f t="shared" si="130"/>
        <v>1</v>
      </c>
      <c r="L771" s="633"/>
      <c r="M771" s="3167">
        <f t="shared" si="131"/>
        <v>1</v>
      </c>
      <c r="N771" s="633"/>
      <c r="O771" s="3167">
        <f t="shared" si="132"/>
        <v>1</v>
      </c>
      <c r="P771" s="3201" t="s">
        <v>4862</v>
      </c>
      <c r="Q771" s="3167">
        <f t="shared" si="133"/>
        <v>0.9</v>
      </c>
      <c r="R771" s="21">
        <f t="shared" ca="1" si="135"/>
        <v>16.720199999999998</v>
      </c>
      <c r="S771" s="901">
        <f t="shared" ca="1" si="134"/>
        <v>0</v>
      </c>
      <c r="T771" s="687"/>
    </row>
    <row r="772" spans="1:20">
      <c r="A772" s="631" t="str">
        <f>'5号楼'!B752</f>
        <v>B4241</v>
      </c>
      <c r="B772" s="631">
        <f>'5号楼'!C752</f>
        <v>52.93</v>
      </c>
      <c r="C772" s="3167">
        <f t="shared" si="126"/>
        <v>1</v>
      </c>
      <c r="D772" s="633"/>
      <c r="E772" s="3167">
        <f t="shared" si="127"/>
        <v>1</v>
      </c>
      <c r="F772" s="633"/>
      <c r="G772" s="3167">
        <f t="shared" si="128"/>
        <v>1</v>
      </c>
      <c r="H772" s="633"/>
      <c r="I772" s="3167">
        <f t="shared" si="129"/>
        <v>1</v>
      </c>
      <c r="J772" s="633"/>
      <c r="K772" s="3167">
        <f t="shared" si="130"/>
        <v>1</v>
      </c>
      <c r="L772" s="633"/>
      <c r="M772" s="3167">
        <f t="shared" si="131"/>
        <v>1</v>
      </c>
      <c r="N772" s="633"/>
      <c r="O772" s="3167">
        <f t="shared" si="132"/>
        <v>1</v>
      </c>
      <c r="P772" s="3201" t="s">
        <v>4862</v>
      </c>
      <c r="Q772" s="3167">
        <f t="shared" si="133"/>
        <v>0.9</v>
      </c>
      <c r="R772" s="21">
        <f t="shared" ca="1" si="135"/>
        <v>16.720199999999998</v>
      </c>
      <c r="S772" s="901">
        <f t="shared" ca="1" si="134"/>
        <v>0</v>
      </c>
      <c r="T772" s="687"/>
    </row>
    <row r="773" spans="1:20">
      <c r="A773" s="631"/>
      <c r="B773" s="631"/>
      <c r="C773" s="3167">
        <f t="shared" si="126"/>
        <v>1</v>
      </c>
      <c r="D773" s="633"/>
      <c r="E773" s="3167">
        <f t="shared" si="127"/>
        <v>1</v>
      </c>
      <c r="F773" s="633"/>
      <c r="G773" s="3167">
        <f t="shared" si="128"/>
        <v>1</v>
      </c>
      <c r="H773" s="633"/>
      <c r="I773" s="3167">
        <f t="shared" si="129"/>
        <v>1</v>
      </c>
      <c r="J773" s="633"/>
      <c r="K773" s="3167">
        <f t="shared" si="130"/>
        <v>1</v>
      </c>
      <c r="L773" s="633"/>
      <c r="M773" s="3167">
        <f t="shared" si="131"/>
        <v>1</v>
      </c>
      <c r="N773" s="633"/>
      <c r="O773" s="3167">
        <f t="shared" si="132"/>
        <v>1</v>
      </c>
      <c r="P773" s="633"/>
      <c r="Q773" s="3167">
        <f t="shared" si="133"/>
        <v>0</v>
      </c>
      <c r="R773" s="21">
        <f t="shared" si="135"/>
        <v>0</v>
      </c>
      <c r="S773" s="901">
        <f t="shared" si="134"/>
        <v>0</v>
      </c>
    </row>
    <row r="774" spans="1:20">
      <c r="A774" s="631"/>
      <c r="B774" s="52"/>
      <c r="C774" s="3167">
        <f t="shared" si="126"/>
        <v>1</v>
      </c>
      <c r="D774" s="633"/>
      <c r="E774" s="3167">
        <f t="shared" si="127"/>
        <v>1</v>
      </c>
      <c r="F774" s="633"/>
      <c r="G774" s="3167">
        <f t="shared" si="128"/>
        <v>1</v>
      </c>
      <c r="H774" s="633"/>
      <c r="I774" s="3167">
        <f t="shared" si="129"/>
        <v>1</v>
      </c>
      <c r="J774" s="633"/>
      <c r="K774" s="3167">
        <f t="shared" si="130"/>
        <v>1</v>
      </c>
      <c r="L774" s="633"/>
      <c r="M774" s="3167">
        <f t="shared" si="131"/>
        <v>1</v>
      </c>
      <c r="N774" s="633"/>
      <c r="O774" s="3167">
        <f t="shared" si="132"/>
        <v>1</v>
      </c>
      <c r="P774" s="633"/>
      <c r="Q774" s="3167">
        <f t="shared" si="133"/>
        <v>0</v>
      </c>
      <c r="R774" s="21">
        <f t="shared" si="135"/>
        <v>0</v>
      </c>
      <c r="S774" s="901">
        <f t="shared" si="134"/>
        <v>0</v>
      </c>
    </row>
    <row r="775" spans="1:20">
      <c r="A775" s="631"/>
      <c r="B775" s="52"/>
      <c r="C775" s="3167">
        <f t="shared" si="126"/>
        <v>1</v>
      </c>
      <c r="D775" s="633"/>
      <c r="E775" s="3167">
        <f t="shared" si="127"/>
        <v>1</v>
      </c>
      <c r="F775" s="633"/>
      <c r="G775" s="3167">
        <f t="shared" si="128"/>
        <v>1</v>
      </c>
      <c r="H775" s="633"/>
      <c r="I775" s="3167">
        <f t="shared" si="129"/>
        <v>1</v>
      </c>
      <c r="J775" s="633"/>
      <c r="K775" s="3167">
        <f t="shared" si="130"/>
        <v>1</v>
      </c>
      <c r="L775" s="633"/>
      <c r="M775" s="3167">
        <f t="shared" si="131"/>
        <v>1</v>
      </c>
      <c r="N775" s="633"/>
      <c r="O775" s="3167">
        <f t="shared" si="132"/>
        <v>1</v>
      </c>
      <c r="P775" s="633"/>
      <c r="Q775" s="3167">
        <f t="shared" si="133"/>
        <v>0</v>
      </c>
      <c r="R775" s="21">
        <f t="shared" si="135"/>
        <v>0</v>
      </c>
      <c r="S775" s="901">
        <f t="shared" si="134"/>
        <v>0</v>
      </c>
    </row>
    <row r="776" spans="1:20">
      <c r="A776" s="631"/>
      <c r="B776" s="52"/>
      <c r="C776" s="3167">
        <f t="shared" si="126"/>
        <v>1</v>
      </c>
      <c r="D776" s="633"/>
      <c r="E776" s="3167">
        <f t="shared" si="127"/>
        <v>1</v>
      </c>
      <c r="F776" s="633"/>
      <c r="G776" s="3167">
        <f t="shared" si="128"/>
        <v>1</v>
      </c>
      <c r="H776" s="633"/>
      <c r="I776" s="3167">
        <f t="shared" si="129"/>
        <v>1</v>
      </c>
      <c r="J776" s="633"/>
      <c r="K776" s="3167">
        <f t="shared" si="130"/>
        <v>1</v>
      </c>
      <c r="L776" s="633"/>
      <c r="M776" s="3167">
        <f t="shared" si="131"/>
        <v>1</v>
      </c>
      <c r="N776" s="633"/>
      <c r="O776" s="3167">
        <f t="shared" si="132"/>
        <v>1</v>
      </c>
      <c r="P776" s="633"/>
      <c r="Q776" s="3167">
        <f t="shared" si="133"/>
        <v>0</v>
      </c>
      <c r="R776" s="21">
        <f t="shared" si="135"/>
        <v>0</v>
      </c>
      <c r="S776" s="901">
        <f t="shared" si="134"/>
        <v>0</v>
      </c>
    </row>
    <row r="777" spans="1:20">
      <c r="A777" s="631"/>
      <c r="B777" s="52"/>
      <c r="C777" s="3167">
        <f t="shared" si="126"/>
        <v>1</v>
      </c>
      <c r="D777" s="633"/>
      <c r="E777" s="3167">
        <f t="shared" si="127"/>
        <v>1</v>
      </c>
      <c r="F777" s="633"/>
      <c r="G777" s="3167">
        <f t="shared" si="128"/>
        <v>1</v>
      </c>
      <c r="H777" s="633"/>
      <c r="I777" s="3167">
        <f t="shared" si="129"/>
        <v>1</v>
      </c>
      <c r="J777" s="633"/>
      <c r="K777" s="3167">
        <f t="shared" si="130"/>
        <v>1</v>
      </c>
      <c r="L777" s="633"/>
      <c r="M777" s="3167">
        <f t="shared" si="131"/>
        <v>1</v>
      </c>
      <c r="N777" s="633"/>
      <c r="O777" s="3167">
        <f t="shared" si="132"/>
        <v>1</v>
      </c>
      <c r="P777" s="633"/>
      <c r="Q777" s="3167">
        <f t="shared" si="133"/>
        <v>0</v>
      </c>
      <c r="R777" s="21">
        <f t="shared" si="135"/>
        <v>0</v>
      </c>
      <c r="S777" s="901">
        <f t="shared" si="134"/>
        <v>0</v>
      </c>
    </row>
    <row r="778" spans="1:20">
      <c r="A778" s="631"/>
      <c r="B778" s="52"/>
      <c r="C778" s="3167">
        <f t="shared" si="126"/>
        <v>1</v>
      </c>
      <c r="D778" s="633"/>
      <c r="E778" s="3167">
        <f t="shared" si="127"/>
        <v>1</v>
      </c>
      <c r="F778" s="633"/>
      <c r="G778" s="3167">
        <f t="shared" si="128"/>
        <v>1</v>
      </c>
      <c r="H778" s="633"/>
      <c r="I778" s="3167">
        <f t="shared" si="129"/>
        <v>1</v>
      </c>
      <c r="J778" s="633"/>
      <c r="K778" s="3167">
        <f t="shared" si="130"/>
        <v>1</v>
      </c>
      <c r="L778" s="633"/>
      <c r="M778" s="3167">
        <f t="shared" si="131"/>
        <v>1</v>
      </c>
      <c r="N778" s="633"/>
      <c r="O778" s="3167">
        <f t="shared" si="132"/>
        <v>1</v>
      </c>
      <c r="P778" s="633"/>
      <c r="Q778" s="3167">
        <f t="shared" si="133"/>
        <v>0</v>
      </c>
      <c r="R778" s="21">
        <f t="shared" si="135"/>
        <v>0</v>
      </c>
      <c r="S778" s="901">
        <f t="shared" si="134"/>
        <v>0</v>
      </c>
    </row>
    <row r="779" spans="1:20">
      <c r="A779" s="631"/>
      <c r="B779" s="52"/>
      <c r="C779" s="3167">
        <f t="shared" si="126"/>
        <v>1</v>
      </c>
      <c r="D779" s="633"/>
      <c r="E779" s="3167">
        <f t="shared" si="127"/>
        <v>1</v>
      </c>
      <c r="F779" s="633"/>
      <c r="G779" s="3167">
        <f t="shared" si="128"/>
        <v>1</v>
      </c>
      <c r="H779" s="633"/>
      <c r="I779" s="3167">
        <f t="shared" si="129"/>
        <v>1</v>
      </c>
      <c r="J779" s="633"/>
      <c r="K779" s="3167">
        <f t="shared" si="130"/>
        <v>1</v>
      </c>
      <c r="L779" s="633"/>
      <c r="M779" s="3167">
        <f t="shared" si="131"/>
        <v>1</v>
      </c>
      <c r="N779" s="633"/>
      <c r="O779" s="3167">
        <f t="shared" si="132"/>
        <v>1</v>
      </c>
      <c r="P779" s="633"/>
      <c r="Q779" s="3167">
        <f t="shared" si="133"/>
        <v>0</v>
      </c>
      <c r="R779" s="21">
        <f t="shared" si="135"/>
        <v>0</v>
      </c>
      <c r="S779" s="901">
        <f t="shared" si="134"/>
        <v>0</v>
      </c>
    </row>
    <row r="780" spans="1:20">
      <c r="A780" s="631"/>
      <c r="B780" s="52"/>
      <c r="C780" s="3167">
        <f t="shared" si="126"/>
        <v>1</v>
      </c>
      <c r="D780" s="633"/>
      <c r="E780" s="3167">
        <f t="shared" si="127"/>
        <v>1</v>
      </c>
      <c r="F780" s="633"/>
      <c r="G780" s="3167">
        <f t="shared" si="128"/>
        <v>1</v>
      </c>
      <c r="H780" s="633"/>
      <c r="I780" s="3167">
        <f t="shared" si="129"/>
        <v>1</v>
      </c>
      <c r="J780" s="633"/>
      <c r="K780" s="3167">
        <f t="shared" si="130"/>
        <v>1</v>
      </c>
      <c r="L780" s="633"/>
      <c r="M780" s="3167">
        <f t="shared" si="131"/>
        <v>1</v>
      </c>
      <c r="N780" s="633"/>
      <c r="O780" s="3167">
        <f t="shared" si="132"/>
        <v>1</v>
      </c>
      <c r="P780" s="633"/>
      <c r="Q780" s="3167">
        <f t="shared" si="133"/>
        <v>0</v>
      </c>
      <c r="R780" s="21">
        <f t="shared" si="135"/>
        <v>0</v>
      </c>
      <c r="S780" s="901">
        <f t="shared" si="134"/>
        <v>0</v>
      </c>
    </row>
    <row r="781" spans="1:20">
      <c r="A781" s="631"/>
      <c r="B781" s="52"/>
      <c r="C781" s="3167">
        <f t="shared" si="126"/>
        <v>1</v>
      </c>
      <c r="D781" s="633"/>
      <c r="E781" s="3167">
        <f t="shared" si="127"/>
        <v>1</v>
      </c>
      <c r="F781" s="633"/>
      <c r="G781" s="3167">
        <f t="shared" si="128"/>
        <v>1</v>
      </c>
      <c r="H781" s="633"/>
      <c r="I781" s="3167">
        <f t="shared" si="129"/>
        <v>1</v>
      </c>
      <c r="J781" s="633"/>
      <c r="K781" s="3167">
        <f t="shared" si="130"/>
        <v>1</v>
      </c>
      <c r="L781" s="633"/>
      <c r="M781" s="3167">
        <f t="shared" si="131"/>
        <v>1</v>
      </c>
      <c r="N781" s="633"/>
      <c r="O781" s="3167">
        <f t="shared" si="132"/>
        <v>1</v>
      </c>
      <c r="P781" s="633"/>
      <c r="Q781" s="3167">
        <f t="shared" si="133"/>
        <v>0</v>
      </c>
      <c r="R781" s="21">
        <f t="shared" si="135"/>
        <v>0</v>
      </c>
      <c r="S781" s="901">
        <f t="shared" si="134"/>
        <v>0</v>
      </c>
    </row>
    <row r="782" spans="1:20">
      <c r="A782" s="631"/>
      <c r="B782" s="52"/>
      <c r="C782" s="3167">
        <f t="shared" si="126"/>
        <v>1</v>
      </c>
      <c r="D782" s="633"/>
      <c r="E782" s="3167">
        <f t="shared" si="127"/>
        <v>1</v>
      </c>
      <c r="F782" s="633"/>
      <c r="G782" s="3167">
        <f t="shared" si="128"/>
        <v>1</v>
      </c>
      <c r="H782" s="633"/>
      <c r="I782" s="3167">
        <f t="shared" si="129"/>
        <v>1</v>
      </c>
      <c r="J782" s="633"/>
      <c r="K782" s="3167">
        <f t="shared" si="130"/>
        <v>1</v>
      </c>
      <c r="L782" s="633"/>
      <c r="M782" s="3167">
        <f t="shared" si="131"/>
        <v>1</v>
      </c>
      <c r="N782" s="633"/>
      <c r="O782" s="3167">
        <f t="shared" si="132"/>
        <v>1</v>
      </c>
      <c r="P782" s="633"/>
      <c r="Q782" s="3167">
        <f t="shared" si="133"/>
        <v>0</v>
      </c>
      <c r="R782" s="21">
        <f t="shared" si="135"/>
        <v>0</v>
      </c>
      <c r="S782" s="901">
        <f t="shared" si="134"/>
        <v>0</v>
      </c>
    </row>
    <row r="783" spans="1:20">
      <c r="A783" s="631"/>
      <c r="B783" s="52"/>
      <c r="C783" s="3167">
        <f t="shared" si="126"/>
        <v>1</v>
      </c>
      <c r="D783" s="633"/>
      <c r="E783" s="3167">
        <f t="shared" si="127"/>
        <v>1</v>
      </c>
      <c r="F783" s="633"/>
      <c r="G783" s="3167">
        <f t="shared" si="128"/>
        <v>1</v>
      </c>
      <c r="H783" s="633"/>
      <c r="I783" s="3167">
        <f t="shared" si="129"/>
        <v>1</v>
      </c>
      <c r="J783" s="633"/>
      <c r="K783" s="3167">
        <f t="shared" si="130"/>
        <v>1</v>
      </c>
      <c r="L783" s="633"/>
      <c r="M783" s="3167">
        <f t="shared" si="131"/>
        <v>1</v>
      </c>
      <c r="N783" s="633"/>
      <c r="O783" s="3167">
        <f t="shared" si="132"/>
        <v>1</v>
      </c>
      <c r="P783" s="633"/>
      <c r="Q783" s="3167">
        <f t="shared" si="133"/>
        <v>0</v>
      </c>
      <c r="R783" s="21">
        <f t="shared" si="135"/>
        <v>0</v>
      </c>
      <c r="S783" s="901">
        <f t="shared" si="134"/>
        <v>0</v>
      </c>
    </row>
    <row r="784" spans="1:20">
      <c r="A784" s="631"/>
      <c r="B784" s="52"/>
      <c r="C784" s="3167">
        <f t="shared" ref="C784:C792" si="136">IF(B784="",1,(LOOKUP(B784,$3:$3,$4:$4)-LOOKUP($B$24,$3:$3,$4:$4)+100)/100)</f>
        <v>1</v>
      </c>
      <c r="D784" s="633"/>
      <c r="E784" s="3167">
        <f t="shared" ref="E784:E792" si="137">(SUMIF($5:$5,D784,$6:$6)-SUMIF($5:$5,$D$24,$6:$6)+100)/100</f>
        <v>1</v>
      </c>
      <c r="F784" s="633"/>
      <c r="G784" s="3167">
        <f t="shared" ref="G784:G792" si="138">(SUMIF($7:$7,F784,$8:$8)-SUMIF($7:$7,$F$24,$8:$8)+100)/100</f>
        <v>1</v>
      </c>
      <c r="H784" s="633"/>
      <c r="I784" s="3167">
        <f t="shared" ref="I784:I792" si="139">(SUMIF($9:$9,H784,$10:$10)-SUMIF($9:$9,$H$24,$10:$10)+100)/100</f>
        <v>1</v>
      </c>
      <c r="J784" s="633"/>
      <c r="K784" s="3167">
        <f t="shared" ref="K784:K792" si="140">(SUMIF($11:$11,J784,$12:$12)-SUMIF($11:$11,$J$24,$12:$12)+100)/100</f>
        <v>1</v>
      </c>
      <c r="L784" s="633"/>
      <c r="M784" s="3167">
        <f t="shared" ref="M784:M792" si="141">(SUMIF($13:$13,L784,$14:$14)-SUMIF($13:$13,$L$24,$14:$14)+100)/100</f>
        <v>1</v>
      </c>
      <c r="N784" s="633"/>
      <c r="O784" s="3167">
        <f t="shared" ref="O784:O792" si="142">(SUMIF($15:$15,N784,$16:$16)-SUMIF($15:$15,$N$24,$16:$16)+100)/100</f>
        <v>1</v>
      </c>
      <c r="P784" s="633"/>
      <c r="Q784" s="3167">
        <f t="shared" ref="Q784:Q792" si="143">(SUMIF($17:$17,P784,$18:$18)-SUMIF($17:$17,$P$24,$18:$18)+100)/100</f>
        <v>0</v>
      </c>
      <c r="R784" s="3167">
        <f t="shared" ref="R784:R792" si="144">IF(B784="",0,ROUND($R$24*C784*E784*G784*I784*K784*M784*O784*Q784,0))</f>
        <v>0</v>
      </c>
      <c r="S784" s="901">
        <f t="shared" ref="S784:S792" si="145">ROUND(R784*B784/10000,0)</f>
        <v>0</v>
      </c>
    </row>
    <row r="785" spans="1:19">
      <c r="A785" s="631"/>
      <c r="B785" s="52"/>
      <c r="C785" s="3167">
        <f t="shared" si="136"/>
        <v>1</v>
      </c>
      <c r="D785" s="633"/>
      <c r="E785" s="3167">
        <f t="shared" si="137"/>
        <v>1</v>
      </c>
      <c r="F785" s="633"/>
      <c r="G785" s="3167">
        <f t="shared" si="138"/>
        <v>1</v>
      </c>
      <c r="H785" s="633"/>
      <c r="I785" s="3167">
        <f t="shared" si="139"/>
        <v>1</v>
      </c>
      <c r="J785" s="633"/>
      <c r="K785" s="3167">
        <f t="shared" si="140"/>
        <v>1</v>
      </c>
      <c r="L785" s="633"/>
      <c r="M785" s="3167">
        <f t="shared" si="141"/>
        <v>1</v>
      </c>
      <c r="N785" s="633"/>
      <c r="O785" s="3167">
        <f t="shared" si="142"/>
        <v>1</v>
      </c>
      <c r="P785" s="633"/>
      <c r="Q785" s="3167">
        <f t="shared" si="143"/>
        <v>0</v>
      </c>
      <c r="R785" s="3167">
        <f t="shared" si="144"/>
        <v>0</v>
      </c>
      <c r="S785" s="901">
        <f t="shared" si="145"/>
        <v>0</v>
      </c>
    </row>
    <row r="786" spans="1:19">
      <c r="A786" s="631"/>
      <c r="B786" s="52"/>
      <c r="C786" s="3167">
        <f t="shared" si="136"/>
        <v>1</v>
      </c>
      <c r="D786" s="633"/>
      <c r="E786" s="3167">
        <f t="shared" si="137"/>
        <v>1</v>
      </c>
      <c r="F786" s="633"/>
      <c r="G786" s="3167">
        <f t="shared" si="138"/>
        <v>1</v>
      </c>
      <c r="H786" s="633"/>
      <c r="I786" s="3167">
        <f t="shared" si="139"/>
        <v>1</v>
      </c>
      <c r="J786" s="633"/>
      <c r="K786" s="3167">
        <f t="shared" si="140"/>
        <v>1</v>
      </c>
      <c r="L786" s="633"/>
      <c r="M786" s="3167">
        <f t="shared" si="141"/>
        <v>1</v>
      </c>
      <c r="N786" s="633"/>
      <c r="O786" s="3167">
        <f t="shared" si="142"/>
        <v>1</v>
      </c>
      <c r="P786" s="633"/>
      <c r="Q786" s="3167">
        <f t="shared" si="143"/>
        <v>0</v>
      </c>
      <c r="R786" s="3167">
        <f t="shared" si="144"/>
        <v>0</v>
      </c>
      <c r="S786" s="901">
        <f t="shared" si="145"/>
        <v>0</v>
      </c>
    </row>
    <row r="787" spans="1:19">
      <c r="A787" s="631"/>
      <c r="B787" s="52"/>
      <c r="C787" s="3167">
        <f t="shared" si="136"/>
        <v>1</v>
      </c>
      <c r="D787" s="633"/>
      <c r="E787" s="3167">
        <f t="shared" si="137"/>
        <v>1</v>
      </c>
      <c r="F787" s="633"/>
      <c r="G787" s="3167">
        <f t="shared" si="138"/>
        <v>1</v>
      </c>
      <c r="H787" s="633"/>
      <c r="I787" s="3167">
        <f t="shared" si="139"/>
        <v>1</v>
      </c>
      <c r="J787" s="633"/>
      <c r="K787" s="3167">
        <f t="shared" si="140"/>
        <v>1</v>
      </c>
      <c r="L787" s="633"/>
      <c r="M787" s="3167">
        <f t="shared" si="141"/>
        <v>1</v>
      </c>
      <c r="N787" s="633"/>
      <c r="O787" s="3167">
        <f t="shared" si="142"/>
        <v>1</v>
      </c>
      <c r="P787" s="633"/>
      <c r="Q787" s="3167">
        <f t="shared" si="143"/>
        <v>0</v>
      </c>
      <c r="R787" s="3167">
        <f t="shared" si="144"/>
        <v>0</v>
      </c>
      <c r="S787" s="901">
        <f t="shared" si="145"/>
        <v>0</v>
      </c>
    </row>
    <row r="788" spans="1:19">
      <c r="A788" s="631"/>
      <c r="B788" s="52"/>
      <c r="C788" s="3167">
        <f t="shared" si="136"/>
        <v>1</v>
      </c>
      <c r="D788" s="633"/>
      <c r="E788" s="3167">
        <f t="shared" si="137"/>
        <v>1</v>
      </c>
      <c r="F788" s="633"/>
      <c r="G788" s="3167">
        <f t="shared" si="138"/>
        <v>1</v>
      </c>
      <c r="H788" s="633"/>
      <c r="I788" s="3167">
        <f t="shared" si="139"/>
        <v>1</v>
      </c>
      <c r="J788" s="633"/>
      <c r="K788" s="3167">
        <f t="shared" si="140"/>
        <v>1</v>
      </c>
      <c r="L788" s="633"/>
      <c r="M788" s="3167">
        <f t="shared" si="141"/>
        <v>1</v>
      </c>
      <c r="N788" s="633"/>
      <c r="O788" s="3167">
        <f t="shared" si="142"/>
        <v>1</v>
      </c>
      <c r="P788" s="633"/>
      <c r="Q788" s="3167">
        <f t="shared" si="143"/>
        <v>0</v>
      </c>
      <c r="R788" s="3167">
        <f t="shared" si="144"/>
        <v>0</v>
      </c>
      <c r="S788" s="901">
        <f t="shared" si="145"/>
        <v>0</v>
      </c>
    </row>
    <row r="789" spans="1:19">
      <c r="A789" s="631"/>
      <c r="B789" s="52"/>
      <c r="C789" s="3167">
        <f t="shared" si="136"/>
        <v>1</v>
      </c>
      <c r="D789" s="633"/>
      <c r="E789" s="3167">
        <f t="shared" si="137"/>
        <v>1</v>
      </c>
      <c r="F789" s="633"/>
      <c r="G789" s="3167">
        <f t="shared" si="138"/>
        <v>1</v>
      </c>
      <c r="H789" s="633"/>
      <c r="I789" s="3167">
        <f t="shared" si="139"/>
        <v>1</v>
      </c>
      <c r="J789" s="633"/>
      <c r="K789" s="3167">
        <f t="shared" si="140"/>
        <v>1</v>
      </c>
      <c r="L789" s="633"/>
      <c r="M789" s="3167">
        <f t="shared" si="141"/>
        <v>1</v>
      </c>
      <c r="N789" s="633"/>
      <c r="O789" s="3167">
        <f t="shared" si="142"/>
        <v>1</v>
      </c>
      <c r="P789" s="633"/>
      <c r="Q789" s="3167">
        <f t="shared" si="143"/>
        <v>0</v>
      </c>
      <c r="R789" s="3167">
        <f t="shared" si="144"/>
        <v>0</v>
      </c>
      <c r="S789" s="901">
        <f t="shared" si="145"/>
        <v>0</v>
      </c>
    </row>
    <row r="790" spans="1:19">
      <c r="A790" s="631"/>
      <c r="B790" s="52"/>
      <c r="C790" s="3167">
        <f t="shared" si="136"/>
        <v>1</v>
      </c>
      <c r="D790" s="633"/>
      <c r="E790" s="3167">
        <f t="shared" si="137"/>
        <v>1</v>
      </c>
      <c r="F790" s="633"/>
      <c r="G790" s="3167">
        <f t="shared" si="138"/>
        <v>1</v>
      </c>
      <c r="H790" s="633"/>
      <c r="I790" s="3167">
        <f t="shared" si="139"/>
        <v>1</v>
      </c>
      <c r="J790" s="633"/>
      <c r="K790" s="3167">
        <f t="shared" si="140"/>
        <v>1</v>
      </c>
      <c r="L790" s="633"/>
      <c r="M790" s="3167">
        <f t="shared" si="141"/>
        <v>1</v>
      </c>
      <c r="N790" s="633"/>
      <c r="O790" s="3167">
        <f t="shared" si="142"/>
        <v>1</v>
      </c>
      <c r="P790" s="633"/>
      <c r="Q790" s="3167">
        <f t="shared" si="143"/>
        <v>0</v>
      </c>
      <c r="R790" s="3167">
        <f t="shared" si="144"/>
        <v>0</v>
      </c>
      <c r="S790" s="901">
        <f t="shared" si="145"/>
        <v>0</v>
      </c>
    </row>
    <row r="791" spans="1:19">
      <c r="A791" s="631"/>
      <c r="B791" s="52"/>
      <c r="C791" s="3167">
        <f t="shared" si="136"/>
        <v>1</v>
      </c>
      <c r="D791" s="633"/>
      <c r="E791" s="3167">
        <f t="shared" si="137"/>
        <v>1</v>
      </c>
      <c r="F791" s="633"/>
      <c r="G791" s="3167">
        <f t="shared" si="138"/>
        <v>1</v>
      </c>
      <c r="H791" s="633"/>
      <c r="I791" s="3167">
        <f t="shared" si="139"/>
        <v>1</v>
      </c>
      <c r="J791" s="633"/>
      <c r="K791" s="3167">
        <f t="shared" si="140"/>
        <v>1</v>
      </c>
      <c r="L791" s="633"/>
      <c r="M791" s="3167">
        <f t="shared" si="141"/>
        <v>1</v>
      </c>
      <c r="N791" s="633"/>
      <c r="O791" s="3167">
        <f t="shared" si="142"/>
        <v>1</v>
      </c>
      <c r="P791" s="633"/>
      <c r="Q791" s="3167">
        <f t="shared" si="143"/>
        <v>0</v>
      </c>
      <c r="R791" s="3167">
        <f t="shared" si="144"/>
        <v>0</v>
      </c>
      <c r="S791" s="901">
        <f t="shared" si="145"/>
        <v>0</v>
      </c>
    </row>
    <row r="792" spans="1:19">
      <c r="A792" s="631"/>
      <c r="B792" s="52"/>
      <c r="C792" s="3167">
        <f t="shared" si="136"/>
        <v>1</v>
      </c>
      <c r="D792" s="633"/>
      <c r="E792" s="3167">
        <f t="shared" si="137"/>
        <v>1</v>
      </c>
      <c r="F792" s="633"/>
      <c r="G792" s="3167">
        <f t="shared" si="138"/>
        <v>1</v>
      </c>
      <c r="H792" s="633"/>
      <c r="I792" s="3167">
        <f t="shared" si="139"/>
        <v>1</v>
      </c>
      <c r="J792" s="633"/>
      <c r="K792" s="3167">
        <f t="shared" si="140"/>
        <v>1</v>
      </c>
      <c r="L792" s="633"/>
      <c r="M792" s="3167">
        <f t="shared" si="141"/>
        <v>1</v>
      </c>
      <c r="N792" s="633"/>
      <c r="O792" s="3167">
        <f t="shared" si="142"/>
        <v>1</v>
      </c>
      <c r="P792" s="633"/>
      <c r="Q792" s="3167">
        <f t="shared" si="143"/>
        <v>0</v>
      </c>
      <c r="R792" s="3167">
        <f t="shared" si="144"/>
        <v>0</v>
      </c>
      <c r="S792" s="901">
        <f t="shared" si="145"/>
        <v>0</v>
      </c>
    </row>
    <row r="793" spans="1:19">
      <c r="A793" s="631"/>
    </row>
    <row r="794" spans="1:19">
      <c r="A794" s="631"/>
    </row>
    <row r="795" spans="1:19">
      <c r="A795" s="631"/>
    </row>
  </sheetData>
  <sheetProtection formatCells="0" formatColumns="0" formatRows="0"/>
  <mergeCells count="2">
    <mergeCell ref="C1:S1"/>
    <mergeCell ref="C22:Q22"/>
  </mergeCells>
  <phoneticPr fontId="136" type="noConversion"/>
  <conditionalFormatting sqref="C24:C792 E24:E792 G24:G792 I24:I792 K24:K792 M24:M792 O24:O792 Q24:Q792">
    <cfRule type="cellIs" dxfId="78" priority="1" operator="notEqual">
      <formula>1</formula>
    </cfRule>
  </conditionalFormatting>
  <dataValidations disablePrompts="1" count="9">
    <dataValidation type="list" allowBlank="1" showInputMessage="1" showErrorMessage="1" sqref="H20" xr:uid="{00000000-0002-0000-2A00-000000000000}">
      <formula1>估价方法</formula1>
    </dataValidation>
    <dataValidation type="list" allowBlank="1" showInputMessage="1" showErrorMessage="1" sqref="D20" xr:uid="{00000000-0002-0000-2A00-000001000000}">
      <formula1>"需扣减承租人权益,——"</formula1>
    </dataValidation>
    <dataValidation type="list" allowBlank="1" showInputMessage="1" showErrorMessage="1" sqref="P24:P524" xr:uid="{00000000-0002-0000-2A00-000002000000}">
      <formula1>一修多修正项8</formula1>
    </dataValidation>
    <dataValidation type="list" allowBlank="1" showInputMessage="1" showErrorMessage="1" sqref="N24:N524" xr:uid="{00000000-0002-0000-2A00-000003000000}">
      <formula1>一修多修正项7</formula1>
    </dataValidation>
    <dataValidation type="list" allowBlank="1" showInputMessage="1" showErrorMessage="1" sqref="L24:L524" xr:uid="{00000000-0002-0000-2A00-000004000000}">
      <formula1>一修多修正项6</formula1>
    </dataValidation>
    <dataValidation type="list" allowBlank="1" showInputMessage="1" showErrorMessage="1" sqref="J24:J524" xr:uid="{00000000-0002-0000-2A00-000005000000}">
      <formula1>一修多修正项5</formula1>
    </dataValidation>
    <dataValidation type="list" allowBlank="1" showInputMessage="1" showErrorMessage="1" sqref="H24:H524" xr:uid="{00000000-0002-0000-2A00-000006000000}">
      <formula1>一修多修正项4</formula1>
    </dataValidation>
    <dataValidation type="list" allowBlank="1" showInputMessage="1" showErrorMessage="1" sqref="F24:F524" xr:uid="{00000000-0002-0000-2A00-000007000000}">
      <formula1>一修多修正项3</formula1>
    </dataValidation>
    <dataValidation type="list" allowBlank="1" showInputMessage="1" showErrorMessage="1" sqref="D24:D524" xr:uid="{00000000-0002-0000-2A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85" zoomScaleNormal="100" zoomScaleSheetLayoutView="85" zoomScalePageLayoutView="80" workbookViewId="0">
      <selection activeCell="N8" sqref="N8"/>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1259</v>
      </c>
      <c r="B1" s="644"/>
      <c r="C1" s="1613" t="s">
        <v>4422</v>
      </c>
      <c r="D1" s="644"/>
      <c r="E1" s="644"/>
      <c r="F1" s="1614" t="s">
        <v>1260</v>
      </c>
      <c r="G1" s="1446" t="s">
        <v>4426</v>
      </c>
      <c r="H1" s="1614" t="str">
        <f>IF(G1="现房","——","估价对象范围")</f>
        <v>——</v>
      </c>
      <c r="I1" s="1615" t="s">
        <v>4427</v>
      </c>
    </row>
    <row r="2" spans="1:12" ht="21.75" customHeight="1" thickBot="1">
      <c r="A2" s="3325" t="str">
        <f>项目基本情况!S2</f>
        <v>北京市房地产</v>
      </c>
      <c r="B2" s="3326"/>
      <c r="C2" s="3326"/>
      <c r="D2" s="3326"/>
      <c r="E2" s="3326"/>
      <c r="F2" s="3326"/>
      <c r="G2" s="3326"/>
      <c r="H2" s="3326"/>
      <c r="I2" s="3327"/>
    </row>
    <row r="3" spans="1:12" ht="12.75">
      <c r="A3" s="3329" t="s">
        <v>1261</v>
      </c>
      <c r="B3" s="3330"/>
      <c r="C3" s="3330"/>
      <c r="D3" s="3330"/>
      <c r="E3" s="3330"/>
      <c r="F3" s="3330"/>
      <c r="G3" s="3330"/>
      <c r="H3" s="3330"/>
      <c r="I3" s="3330"/>
    </row>
    <row r="4" spans="1:12" ht="14.25">
      <c r="A4" s="1617" t="s">
        <v>1262</v>
      </c>
      <c r="B4" s="1618" t="s">
        <v>1263</v>
      </c>
      <c r="C4" s="1619" t="s">
        <v>4421</v>
      </c>
      <c r="D4" s="1619" t="s">
        <v>4423</v>
      </c>
      <c r="E4" s="3331" t="s">
        <v>1264</v>
      </c>
      <c r="F4" s="3332"/>
      <c r="G4" s="3332"/>
      <c r="H4" s="3332"/>
      <c r="I4" s="3333"/>
      <c r="K4" s="137" t="str">
        <f>IF(ISNUMBER(FIND("比较法",'车位结果表 '!C4)),"比较法",IF(ISNUMBER(FIND("成本法",'车位结果表 '!C4)),"成本法",IF(ISNUMBER(FIND("假设开发法",'车位结果表 '!C4)),"假设开发法",IF(ISNUMBER(FIND("收益法",'车位结果表 '!C4)),"收益法","基准地价系数修正法"))))</f>
        <v>成本法</v>
      </c>
      <c r="L4" s="137" t="str">
        <f>IF(ISNUMBER(FIND("比较法",'车位结果表 '!D4)),"比较法",IF(ISNUMBER(FIND("成本法",'车位结果表 '!D4)),"成本法",IF(ISNUMBER(FIND("假设开发法",'车位结果表 '!D4)),"假设开发法",IF(ISNUMBER(FIND("收益法",'车位结果表 '!D4)),"收益法","基准地价系数修正法"))))</f>
        <v>收益法</v>
      </c>
    </row>
    <row r="5" spans="1:12" ht="12.75">
      <c r="A5" s="3305" t="s">
        <v>1265</v>
      </c>
      <c r="B5" s="3292">
        <v>25</v>
      </c>
      <c r="C5" s="3308"/>
      <c r="D5" s="3328"/>
      <c r="E5" s="122" t="s">
        <v>1266</v>
      </c>
      <c r="F5" s="1620"/>
      <c r="G5" s="1620"/>
      <c r="H5" s="1620"/>
      <c r="I5" s="1274"/>
    </row>
    <row r="6" spans="1:12" ht="12.75">
      <c r="A6" s="3305"/>
      <c r="B6" s="3292"/>
      <c r="C6" s="3309"/>
      <c r="D6" s="3328"/>
      <c r="E6" s="122" t="s">
        <v>1267</v>
      </c>
      <c r="F6" s="1620"/>
      <c r="G6" s="1620"/>
      <c r="H6" s="1620"/>
      <c r="I6" s="1274"/>
    </row>
    <row r="7" spans="1:12" ht="12.75">
      <c r="A7" s="3305"/>
      <c r="B7" s="3292"/>
      <c r="C7" s="3310"/>
      <c r="D7" s="3328"/>
      <c r="E7" s="122" t="s">
        <v>1268</v>
      </c>
      <c r="F7" s="1620"/>
      <c r="G7" s="1620"/>
      <c r="H7" s="1620"/>
      <c r="I7" s="1274"/>
    </row>
    <row r="8" spans="1:12" ht="12.75">
      <c r="A8" s="3305" t="s">
        <v>1269</v>
      </c>
      <c r="B8" s="3292">
        <v>15</v>
      </c>
      <c r="C8" s="3308"/>
      <c r="D8" s="3328"/>
      <c r="E8" s="122" t="s">
        <v>1270</v>
      </c>
      <c r="F8" s="1620"/>
      <c r="G8" s="1620"/>
      <c r="H8" s="1620"/>
      <c r="I8" s="1274"/>
    </row>
    <row r="9" spans="1:12" ht="12.75">
      <c r="A9" s="3305"/>
      <c r="B9" s="3292"/>
      <c r="C9" s="3310"/>
      <c r="D9" s="3328"/>
      <c r="E9" s="122" t="s">
        <v>1271</v>
      </c>
      <c r="F9" s="1620"/>
      <c r="G9" s="1620"/>
      <c r="H9" s="1620"/>
      <c r="I9" s="1274"/>
    </row>
    <row r="10" spans="1:12" ht="12.75">
      <c r="A10" s="3305" t="s">
        <v>1272</v>
      </c>
      <c r="B10" s="3292">
        <v>15</v>
      </c>
      <c r="C10" s="3308"/>
      <c r="D10" s="3328"/>
      <c r="E10" s="122" t="s">
        <v>1273</v>
      </c>
      <c r="F10" s="1620"/>
      <c r="G10" s="1620"/>
      <c r="H10" s="1620"/>
      <c r="I10" s="1274"/>
    </row>
    <row r="11" spans="1:12" ht="12.75">
      <c r="A11" s="3305"/>
      <c r="B11" s="3292"/>
      <c r="C11" s="3310"/>
      <c r="D11" s="3328"/>
      <c r="E11" s="122" t="s">
        <v>1274</v>
      </c>
      <c r="F11" s="1620"/>
      <c r="G11" s="1620"/>
      <c r="H11" s="1620"/>
      <c r="I11" s="1274"/>
    </row>
    <row r="12" spans="1:12" ht="12.75">
      <c r="A12" s="3305" t="s">
        <v>1275</v>
      </c>
      <c r="B12" s="3292">
        <v>15</v>
      </c>
      <c r="C12" s="3308"/>
      <c r="D12" s="3328"/>
      <c r="E12" s="122" t="s">
        <v>1276</v>
      </c>
      <c r="F12" s="1620"/>
      <c r="G12" s="1620"/>
      <c r="H12" s="1620"/>
      <c r="I12" s="1274"/>
    </row>
    <row r="13" spans="1:12" ht="12.75">
      <c r="A13" s="3305"/>
      <c r="B13" s="3292"/>
      <c r="C13" s="3310"/>
      <c r="D13" s="3328"/>
      <c r="E13" s="122" t="s">
        <v>1277</v>
      </c>
      <c r="F13" s="1620"/>
      <c r="G13" s="1620"/>
      <c r="H13" s="1620"/>
      <c r="I13" s="1274"/>
    </row>
    <row r="14" spans="1:12" ht="12.75">
      <c r="A14" s="3305" t="s">
        <v>1278</v>
      </c>
      <c r="B14" s="3292">
        <v>30</v>
      </c>
      <c r="C14" s="3308">
        <v>3</v>
      </c>
      <c r="D14" s="3328">
        <v>7</v>
      </c>
      <c r="E14" s="122" t="s">
        <v>1279</v>
      </c>
      <c r="F14" s="1620"/>
      <c r="G14" s="1620"/>
      <c r="H14" s="1620"/>
      <c r="I14" s="1274"/>
    </row>
    <row r="15" spans="1:12" ht="12.75">
      <c r="A15" s="3305"/>
      <c r="B15" s="3292"/>
      <c r="C15" s="3309"/>
      <c r="D15" s="3328"/>
      <c r="E15" s="122" t="s">
        <v>1280</v>
      </c>
      <c r="F15" s="1620"/>
      <c r="G15" s="1620"/>
      <c r="H15" s="1620"/>
      <c r="I15" s="1274"/>
    </row>
    <row r="16" spans="1:12" ht="12.75">
      <c r="A16" s="3305"/>
      <c r="B16" s="3292"/>
      <c r="C16" s="3310"/>
      <c r="D16" s="3328"/>
      <c r="E16" s="122" t="s">
        <v>1281</v>
      </c>
      <c r="F16" s="1620"/>
      <c r="G16" s="1620"/>
      <c r="H16" s="1620"/>
      <c r="I16" s="1274"/>
    </row>
    <row r="17" spans="1:36" ht="15">
      <c r="A17" s="1621" t="s">
        <v>1282</v>
      </c>
      <c r="B17" s="54"/>
      <c r="C17" s="123">
        <f>SUM(C5:C16)</f>
        <v>3</v>
      </c>
      <c r="D17" s="123">
        <f>SUM(D5:D16)</f>
        <v>7</v>
      </c>
      <c r="E17" s="120"/>
      <c r="F17" s="120"/>
      <c r="G17" s="120"/>
      <c r="H17" s="120"/>
      <c r="I17" s="120"/>
      <c r="K17" s="293"/>
      <c r="L17" s="293" t="s">
        <v>1283</v>
      </c>
      <c r="M17" s="293" t="s">
        <v>1284</v>
      </c>
    </row>
    <row r="18" spans="1:36" ht="31.9" customHeight="1" thickBot="1">
      <c r="A18" s="1622" t="s">
        <v>1285</v>
      </c>
      <c r="B18" s="1535"/>
      <c r="C18" s="124">
        <f>ROUND(C17/SUM(C17:D17),2)</f>
        <v>0.3</v>
      </c>
      <c r="D18" s="124">
        <f>1-C18</f>
        <v>0.7</v>
      </c>
      <c r="E18" s="3315" t="s">
        <v>2127</v>
      </c>
      <c r="F18" s="3316"/>
      <c r="G18" s="3316"/>
      <c r="H18" s="3316"/>
      <c r="I18" s="3316"/>
      <c r="K18" s="293" t="s">
        <v>1286</v>
      </c>
      <c r="L18" s="293">
        <f>IF(C1="",'数据-汇总表'!E3,SUMIF(项目类型,C1,'数据-汇总表'!E17:E26)+SUMIF(项目类型,C1,'数据-汇总表'!I17:I26))</f>
        <v>52.93</v>
      </c>
      <c r="M18" s="293">
        <f>IF(C1="",'数据-汇总表'!E3,SUMIF(项目类型,C1,'数据-汇总表'!E17:E26))</f>
        <v>52.93</v>
      </c>
    </row>
    <row r="19" spans="1:36" ht="15">
      <c r="A19" s="1623" t="s">
        <v>1287</v>
      </c>
      <c r="B19" s="1624" t="s">
        <v>1288</v>
      </c>
      <c r="C19" s="125">
        <f ca="1">SUMIF(INDIRECT("'"&amp;C4&amp;"'"&amp;"!A:A"),'车位结果表 '!B19,INDIRECT("'"&amp;C4&amp;"'"&amp;"!B:B"))</f>
        <v>44.261299999999999</v>
      </c>
      <c r="D19" s="126">
        <f ca="1">SUMIF(INDIRECT("'"&amp;D4&amp;"'"&amp;"!A:A"),'车位结果表 '!B19,INDIRECT("'"&amp;D4&amp;"'"&amp;"!B:B"))</f>
        <v>7.5708000000000002</v>
      </c>
      <c r="E19" s="1623" t="s">
        <v>1289</v>
      </c>
      <c r="F19" s="1624" t="s">
        <v>1288</v>
      </c>
      <c r="G19" s="127">
        <f ca="1">ROUND(C19*$C$18+D19*$D$18,0)</f>
        <v>19</v>
      </c>
      <c r="H19" s="1625" t="s">
        <v>1290</v>
      </c>
      <c r="I19" s="120">
        <f ca="1">ROUND((C19*0.3+D19*0.7),4)</f>
        <v>18.577999999999999</v>
      </c>
      <c r="J19" s="682">
        <f ca="1">ROUND(I19*10000/'数据-基础表'!K15,0)</f>
        <v>3510</v>
      </c>
      <c r="K19" s="293" t="s">
        <v>1291</v>
      </c>
      <c r="L19" s="293">
        <f>IF(C1="",'数据-汇总表'!D3,SUMIF(项目类型,C1,'数据-汇总表'!D17:D26)+SUMIF(项目类型,C1,'数据-汇总表'!H17:H27))</f>
        <v>6.53</v>
      </c>
      <c r="M19" s="293">
        <f>IF(C1="",'数据-汇总表'!D3,SUMIF(项目类型,C1,'数据-汇总表'!D17:D26))</f>
        <v>6.53</v>
      </c>
    </row>
    <row r="20" spans="1:36" ht="15">
      <c r="A20" s="1626"/>
      <c r="B20" s="43" t="s">
        <v>1292</v>
      </c>
      <c r="C20" s="128">
        <f ca="1">SUMIF(INDIRECT("'"&amp;C4&amp;"'"&amp;"!A:A"),'车位结果表 '!B20,INDIRECT("'"&amp;C4&amp;"'"&amp;"!B:B"))</f>
        <v>8362</v>
      </c>
      <c r="D20" s="129">
        <f ca="1">SUMIF(INDIRECT("'"&amp;D4&amp;"'"&amp;"!A:A"),'车位结果表 '!B20,INDIRECT("'"&amp;D4&amp;"'"&amp;"!B:B"))</f>
        <v>1430</v>
      </c>
      <c r="E20" s="1626"/>
      <c r="F20" s="43" t="s">
        <v>1292</v>
      </c>
      <c r="G20" s="130">
        <f ca="1">ROUND(C20*$C$18+D20*$D$18,0)</f>
        <v>3510</v>
      </c>
      <c r="H20" s="756" t="s">
        <v>1293</v>
      </c>
      <c r="I20" s="120">
        <f ca="1">ROUND(G20*'数据-基础表'!K15,0)</f>
        <v>185784</v>
      </c>
    </row>
    <row r="21" spans="1:36" ht="15" customHeight="1" thickBot="1">
      <c r="A21" s="448"/>
      <c r="B21" s="93" t="s">
        <v>1294</v>
      </c>
      <c r="C21" s="676">
        <f ca="1">ROUND(C19*10000/L19,0)</f>
        <v>67781</v>
      </c>
      <c r="D21" s="677">
        <f ca="1">ROUND(D19*10000/L19,0)</f>
        <v>11594</v>
      </c>
      <c r="E21" s="448"/>
      <c r="F21" s="93" t="s">
        <v>1294</v>
      </c>
      <c r="G21" s="131">
        <f ca="1">ROUND(G19*10000/L19,0)</f>
        <v>29096</v>
      </c>
      <c r="H21" s="1627" t="s">
        <v>1293</v>
      </c>
      <c r="I21" s="120"/>
    </row>
    <row r="22" spans="1:36" ht="15" thickBot="1">
      <c r="A22" s="1557" t="s">
        <v>1295</v>
      </c>
      <c r="B22" s="1628"/>
      <c r="C22" s="1629"/>
      <c r="D22" s="678">
        <f ca="1">IF(C19&lt;D19,D19/C19-1,C19/D19-1)</f>
        <v>4.8463174301262741</v>
      </c>
      <c r="E22" s="120"/>
      <c r="F22" s="120"/>
      <c r="G22" s="120"/>
      <c r="H22" s="120"/>
      <c r="I22" s="120"/>
    </row>
    <row r="23" spans="1:36" ht="13.5" thickBot="1">
      <c r="A23" s="644"/>
      <c r="B23" s="644"/>
      <c r="C23" s="644"/>
      <c r="D23" s="644"/>
      <c r="E23" s="120"/>
      <c r="F23" s="120"/>
      <c r="G23" s="120"/>
      <c r="H23" s="120"/>
      <c r="I23" s="120"/>
    </row>
    <row r="24" spans="1:36" ht="14.25">
      <c r="A24" s="3299" t="s">
        <v>1296</v>
      </c>
      <c r="B24" s="1624" t="s">
        <v>1288</v>
      </c>
      <c r="C24" s="127">
        <f>IF(B30=0,0,D30)</f>
        <v>0</v>
      </c>
      <c r="D24" s="1630"/>
      <c r="E24" s="120"/>
      <c r="F24" s="120"/>
      <c r="G24" s="120"/>
      <c r="H24" s="120"/>
      <c r="I24" s="120"/>
    </row>
    <row r="25" spans="1:36" ht="14.25">
      <c r="A25" s="3300"/>
      <c r="B25" s="43" t="s">
        <v>1292</v>
      </c>
      <c r="C25" s="132">
        <f>IF(B30=0,0,C30)</f>
        <v>0</v>
      </c>
      <c r="D25" s="1631"/>
      <c r="E25" s="120"/>
      <c r="F25" s="120"/>
      <c r="G25" s="120"/>
      <c r="H25" s="120"/>
      <c r="I25" s="120"/>
    </row>
    <row r="26" spans="1:36" ht="13.5" customHeight="1">
      <c r="A26" s="1632" t="s">
        <v>1297</v>
      </c>
      <c r="B26" s="133" t="s">
        <v>1298</v>
      </c>
      <c r="C26" s="133" t="s">
        <v>1299</v>
      </c>
      <c r="D26" s="134" t="s">
        <v>1300</v>
      </c>
      <c r="E26" s="120"/>
      <c r="F26" s="120"/>
      <c r="G26" s="120"/>
      <c r="H26" s="120"/>
      <c r="I26" s="120"/>
    </row>
    <row r="27" spans="1:36" ht="14.25">
      <c r="A27" s="1632"/>
      <c r="B27" s="133">
        <v>0</v>
      </c>
      <c r="C27" s="133">
        <v>0</v>
      </c>
      <c r="D27" s="134">
        <f>ROUND(C27*B27/10000,0)</f>
        <v>0</v>
      </c>
      <c r="E27" s="120"/>
      <c r="F27" s="120"/>
      <c r="G27" s="120"/>
      <c r="H27" s="120"/>
      <c r="I27" s="120"/>
    </row>
    <row r="28" spans="1:36" ht="14.25">
      <c r="A28" s="1632"/>
      <c r="B28" s="133"/>
      <c r="C28" s="133"/>
      <c r="D28" s="134"/>
      <c r="E28" s="120"/>
      <c r="F28" s="120"/>
      <c r="G28" s="120"/>
      <c r="H28" s="120"/>
      <c r="I28" s="120"/>
    </row>
    <row r="29" spans="1:36" ht="14.25">
      <c r="A29" s="1632"/>
      <c r="B29" s="133"/>
      <c r="C29" s="133"/>
      <c r="D29" s="134"/>
      <c r="E29" s="120"/>
      <c r="F29" s="120"/>
      <c r="G29" s="120"/>
      <c r="H29" s="120"/>
      <c r="I29" s="120"/>
    </row>
    <row r="30" spans="1:36" ht="15" thickBot="1">
      <c r="A30" s="133" t="s">
        <v>1301</v>
      </c>
      <c r="B30" s="133"/>
      <c r="C30" s="133"/>
      <c r="D30" s="133"/>
      <c r="E30" s="2120" t="s">
        <v>2128</v>
      </c>
      <c r="F30" s="120"/>
      <c r="G30" s="120"/>
      <c r="H30" s="120"/>
      <c r="I30" s="120"/>
    </row>
    <row r="31" spans="1:36" s="2126" customFormat="1" ht="26.45" customHeight="1" thickTop="1" thickBot="1">
      <c r="A31" s="2121"/>
      <c r="B31" s="2122"/>
      <c r="C31" s="2122"/>
      <c r="D31" s="2122"/>
      <c r="E31" s="2122"/>
      <c r="F31" s="2122"/>
      <c r="G31" s="2122"/>
      <c r="H31" s="2122"/>
      <c r="I31" s="2123" t="s">
        <v>2129</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1302</v>
      </c>
      <c r="B32" s="1528"/>
      <c r="C32" s="135">
        <f ca="1">IF(D32="总价",G19-C24,G20-C25)</f>
        <v>19</v>
      </c>
      <c r="D32" s="1634" t="s">
        <v>4850</v>
      </c>
      <c r="E32" s="120"/>
      <c r="F32" s="120"/>
      <c r="G32" s="120"/>
      <c r="H32" s="120"/>
      <c r="I32" s="120"/>
    </row>
    <row r="33" spans="1:15" ht="15">
      <c r="A33" s="736" t="s">
        <v>1303</v>
      </c>
      <c r="B33" s="122"/>
      <c r="C33" s="1635"/>
      <c r="D33" s="1636"/>
      <c r="E33" s="1637" t="s">
        <v>1304</v>
      </c>
      <c r="F33" s="1638" t="str">
        <f>IF(D32="楼面单价","取值（单价）","取值（总价）")</f>
        <v>取值（总价）</v>
      </c>
      <c r="G33" s="120"/>
      <c r="H33" s="120"/>
      <c r="I33" s="120"/>
    </row>
    <row r="34" spans="1:15" ht="15">
      <c r="A34" s="1639"/>
      <c r="B34" s="1640" t="s">
        <v>1305</v>
      </c>
      <c r="C34" s="139" t="e">
        <f ca="1">IF(C33="自定义",F34,C32-C35)</f>
        <v>#REF!</v>
      </c>
      <c r="D34" s="804" t="e">
        <f ca="1">IF(C33="自定义",ROUND(C34/C32,3),IF(C33="收益比率",SUMIF(INDIRECT("'"&amp;D33&amp;"'"&amp;"!b:b"),"土地收益比率",INDIRECT("'"&amp;D33&amp;"'"&amp;"!c:c")),SUMIF(INDIRECT("'"&amp;D33&amp;"'"&amp;"!b:b"),"土地成本比率",INDIRECT("'"&amp;D33&amp;"'"&amp;"!c:c"))))</f>
        <v>#REF!</v>
      </c>
      <c r="E34" s="1641" t="s">
        <v>1306</v>
      </c>
      <c r="F34" s="1236"/>
      <c r="G34" s="120"/>
      <c r="H34" s="120"/>
      <c r="I34" s="120"/>
    </row>
    <row r="35" spans="1:15" ht="15.75" thickBot="1">
      <c r="A35" s="1642"/>
      <c r="B35" s="1643" t="s">
        <v>1307</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4" t="s">
        <v>1308</v>
      </c>
      <c r="F35" s="145"/>
      <c r="G35" s="120"/>
      <c r="H35" s="120"/>
      <c r="I35" s="120"/>
    </row>
    <row r="36" spans="1:15" ht="15.75" thickBot="1">
      <c r="A36" s="3319" t="s">
        <v>1309</v>
      </c>
      <c r="B36" s="1645" t="s">
        <v>1310</v>
      </c>
      <c r="C36" s="136"/>
      <c r="D36" s="1646"/>
      <c r="E36" s="1560"/>
      <c r="F36" s="1647"/>
      <c r="G36" s="120"/>
      <c r="H36" s="120"/>
      <c r="I36" s="120"/>
    </row>
    <row r="37" spans="1:15" ht="15.75" thickBot="1">
      <c r="A37" s="3320"/>
      <c r="B37" s="1548" t="s">
        <v>1311</v>
      </c>
      <c r="C37" s="138"/>
      <c r="D37" s="1066"/>
      <c r="E37" s="1066"/>
      <c r="F37" s="1647"/>
      <c r="G37" s="120"/>
      <c r="H37" s="120"/>
      <c r="I37" s="120"/>
    </row>
    <row r="38" spans="1:15" ht="15.75" thickBot="1">
      <c r="A38" s="3321"/>
      <c r="B38" s="1648" t="s">
        <v>1312</v>
      </c>
      <c r="C38" s="639"/>
      <c r="D38" s="1649" t="s">
        <v>1313</v>
      </c>
      <c r="E38" s="1066"/>
      <c r="F38" s="1647"/>
      <c r="G38" s="120"/>
      <c r="H38" s="120"/>
      <c r="I38" s="120"/>
    </row>
    <row r="39" spans="1:15" ht="15">
      <c r="A39" s="1626" t="s">
        <v>1314</v>
      </c>
      <c r="B39" s="1650" t="s">
        <v>1298</v>
      </c>
      <c r="C39" s="1651" t="s">
        <v>1299</v>
      </c>
      <c r="D39" s="1651" t="s">
        <v>1317</v>
      </c>
      <c r="E39" s="1652" t="s">
        <v>1300</v>
      </c>
      <c r="F39" s="1647"/>
      <c r="G39" s="120"/>
      <c r="H39" s="120"/>
      <c r="I39" s="120"/>
    </row>
    <row r="40" spans="1:15" ht="14.25">
      <c r="A40" s="1653" t="s">
        <v>1319</v>
      </c>
      <c r="B40" s="140"/>
      <c r="C40" s="141"/>
      <c r="D40" s="141"/>
      <c r="E40" s="142"/>
      <c r="F40" s="1647"/>
      <c r="G40" s="120"/>
      <c r="H40" s="120"/>
      <c r="I40" s="120"/>
    </row>
    <row r="41" spans="1:15" ht="14.25">
      <c r="A41" s="1653" t="s">
        <v>1320</v>
      </c>
      <c r="B41" s="140"/>
      <c r="C41" s="141"/>
      <c r="D41" s="141"/>
      <c r="E41" s="142"/>
      <c r="F41" s="1647"/>
      <c r="G41" s="120"/>
      <c r="H41" s="120"/>
      <c r="I41" s="120"/>
    </row>
    <row r="42" spans="1:15" ht="15" thickBot="1">
      <c r="A42" s="1654"/>
      <c r="B42" s="143"/>
      <c r="C42" s="144"/>
      <c r="D42" s="144"/>
      <c r="E42" s="145"/>
      <c r="F42" s="1647"/>
      <c r="G42" s="120"/>
      <c r="H42" s="120"/>
      <c r="I42" s="120"/>
    </row>
    <row r="43" spans="1:15" ht="12.75">
      <c r="A43" s="1460"/>
      <c r="B43" s="1460"/>
      <c r="C43" s="1460"/>
      <c r="D43" s="1460"/>
      <c r="E43" s="1460"/>
      <c r="F43" s="1655"/>
      <c r="G43" s="1655"/>
      <c r="H43" s="1655"/>
      <c r="I43" s="1656"/>
    </row>
    <row r="44" spans="1:15" ht="18.75">
      <c r="A44" s="1457" t="s">
        <v>1321</v>
      </c>
      <c r="B44" s="1657"/>
      <c r="C44" s="1657"/>
      <c r="D44" s="1658"/>
      <c r="E44" s="1658"/>
      <c r="F44" s="1659"/>
      <c r="G44" s="1659"/>
      <c r="H44" s="1659"/>
      <c r="I44" s="1659"/>
      <c r="J44" s="1660" t="s">
        <v>1322</v>
      </c>
      <c r="K44" s="4"/>
      <c r="L44" s="4"/>
      <c r="M44" s="4"/>
      <c r="N44" s="4"/>
      <c r="O44" s="4"/>
    </row>
    <row r="45" spans="1:15" ht="14.25" customHeight="1" thickBot="1">
      <c r="A45" s="3296" t="s">
        <v>1323</v>
      </c>
      <c r="B45" s="3297"/>
      <c r="C45" s="3298"/>
      <c r="D45" s="146">
        <f ca="1">ROUND(H101*F45,0)</f>
        <v>19</v>
      </c>
      <c r="E45" s="147" t="s">
        <v>1324</v>
      </c>
      <c r="F45" s="148">
        <v>1</v>
      </c>
      <c r="G45" s="149" t="s">
        <v>1325</v>
      </c>
      <c r="H45" s="120"/>
      <c r="I45" s="120"/>
      <c r="J45" s="3374" t="s">
        <v>1326</v>
      </c>
      <c r="K45" s="3374"/>
      <c r="L45" s="3374"/>
      <c r="M45" s="3374"/>
      <c r="N45" s="3374"/>
      <c r="O45" s="3374"/>
    </row>
    <row r="46" spans="1:15" ht="14.25" customHeight="1">
      <c r="A46" s="3293" t="s">
        <v>1327</v>
      </c>
      <c r="B46" s="3294"/>
      <c r="C46" s="3294"/>
      <c r="D46" s="3294"/>
      <c r="E46" s="3294"/>
      <c r="F46" s="3294"/>
      <c r="G46" s="3295"/>
      <c r="H46" s="1661"/>
      <c r="I46" s="150"/>
      <c r="J46" s="2303">
        <v>1</v>
      </c>
      <c r="K46" s="3355" t="s">
        <v>1328</v>
      </c>
      <c r="L46" s="3355"/>
      <c r="M46" s="3375"/>
      <c r="N46" s="3375"/>
      <c r="O46" s="3375"/>
    </row>
    <row r="47" spans="1:15" ht="12" customHeight="1">
      <c r="A47" s="151" t="s">
        <v>1329</v>
      </c>
      <c r="B47" s="152"/>
      <c r="C47" s="153"/>
      <c r="D47" s="1019" t="s">
        <v>1330</v>
      </c>
      <c r="E47" s="293" t="s">
        <v>1331</v>
      </c>
      <c r="F47" s="154" t="s">
        <v>1332</v>
      </c>
      <c r="G47" s="2326" t="s">
        <v>1333</v>
      </c>
      <c r="H47" s="2327"/>
      <c r="I47" s="150"/>
      <c r="J47" s="2303">
        <v>2</v>
      </c>
      <c r="K47" s="3355" t="s">
        <v>1334</v>
      </c>
      <c r="L47" s="3355"/>
      <c r="M47" s="3376">
        <f>'数据-取费表'!B2</f>
        <v>45492</v>
      </c>
      <c r="N47" s="3376"/>
      <c r="O47" s="3376"/>
    </row>
    <row r="48" spans="1:15" ht="25.5">
      <c r="A48" s="3324" t="s">
        <v>1335</v>
      </c>
      <c r="B48" s="3307"/>
      <c r="C48" s="3307"/>
      <c r="D48" s="12" t="b">
        <f>IF(H48="情况1",0,IF(H48="情况2",D52,IF(H48="情况3",D53,IF(H48="情况4",D54))))</f>
        <v>0</v>
      </c>
      <c r="E48" s="1249" t="str">
        <f>IF(H48="情况4","(销售额-原购置价)×税（费）率","销售额×税（费）率")</f>
        <v>销售额×税（费）率</v>
      </c>
      <c r="F48" s="2328">
        <f>IF(H48="情况1","免征",'数据-取费表'!B41)</f>
        <v>5.5000000000000007E-2</v>
      </c>
      <c r="G48" s="2329" t="s">
        <v>1336</v>
      </c>
      <c r="H48" s="2330"/>
      <c r="I48" s="1661"/>
      <c r="J48" s="2303">
        <v>3</v>
      </c>
      <c r="K48" s="3355" t="s">
        <v>1337</v>
      </c>
      <c r="L48" s="3355"/>
      <c r="M48" s="3377">
        <f ca="1">H101</f>
        <v>19</v>
      </c>
      <c r="N48" s="3377"/>
      <c r="O48" s="3377"/>
    </row>
    <row r="49" spans="1:35" ht="25.5" customHeight="1">
      <c r="A49" s="2145" t="s">
        <v>1338</v>
      </c>
      <c r="B49" s="3291" t="s">
        <v>1339</v>
      </c>
      <c r="C49" s="3291"/>
      <c r="D49" s="1471">
        <v>0</v>
      </c>
      <c r="E49" s="315" t="s">
        <v>1340</v>
      </c>
      <c r="F49" s="2226" t="s">
        <v>28</v>
      </c>
      <c r="G49" s="3361"/>
      <c r="H49" s="2127" t="s">
        <v>2130</v>
      </c>
      <c r="I49" s="2128"/>
      <c r="J49" s="2303">
        <v>4</v>
      </c>
      <c r="K49" s="3355" t="str">
        <f>IF(项目基本情况!E8="房地产抵押价值","房地产抵押价值","抵押担保权已注销时的房地产抵押价值")</f>
        <v>房地产抵押价值</v>
      </c>
      <c r="L49" s="3355"/>
      <c r="M49" s="3377">
        <f ca="1">IF(项目基本情况!E8="房地产抵押价值",H107,H109)</f>
        <v>19</v>
      </c>
      <c r="N49" s="3377"/>
      <c r="O49" s="3377"/>
    </row>
    <row r="50" spans="1:35" ht="25.5" customHeight="1">
      <c r="A50" s="2331"/>
      <c r="B50" s="3291" t="s">
        <v>1341</v>
      </c>
      <c r="C50" s="3291"/>
      <c r="D50" s="2182"/>
      <c r="E50" s="322"/>
      <c r="F50" s="2226"/>
      <c r="G50" s="3362"/>
      <c r="H50" s="2129" t="s">
        <v>2131</v>
      </c>
      <c r="I50" s="2128"/>
      <c r="J50" s="3374" t="s">
        <v>1342</v>
      </c>
      <c r="K50" s="3374"/>
      <c r="L50" s="3374"/>
      <c r="M50" s="3374"/>
      <c r="N50" s="3374"/>
      <c r="O50" s="3374"/>
    </row>
    <row r="51" spans="1:35" ht="20.45" customHeight="1">
      <c r="A51" s="2332"/>
      <c r="B51" s="3291" t="s">
        <v>1343</v>
      </c>
      <c r="C51" s="3291"/>
      <c r="D51" s="1019"/>
      <c r="E51" s="318"/>
      <c r="F51" s="2226"/>
      <c r="G51" s="3363"/>
      <c r="H51" s="2129" t="s">
        <v>2132</v>
      </c>
      <c r="I51" s="2128"/>
      <c r="J51" s="2304" t="s">
        <v>1344</v>
      </c>
      <c r="K51" s="3355" t="s">
        <v>1345</v>
      </c>
      <c r="L51" s="3355"/>
      <c r="M51" s="2304" t="s">
        <v>1346</v>
      </c>
      <c r="N51" s="2304" t="s">
        <v>1347</v>
      </c>
      <c r="O51" s="2304" t="s">
        <v>1348</v>
      </c>
    </row>
    <row r="52" spans="1:35" ht="24" customHeight="1">
      <c r="A52" s="2146" t="s">
        <v>1349</v>
      </c>
      <c r="B52" s="3291" t="s">
        <v>1350</v>
      </c>
      <c r="C52" s="3291"/>
      <c r="D52" s="1019">
        <f ca="1">ROUND(D45*'数据-取费表'!B41/(1+'数据-取费表'!C42),0)</f>
        <v>1</v>
      </c>
      <c r="E52" s="1249" t="s">
        <v>1351</v>
      </c>
      <c r="F52" s="2333">
        <f>'数据-取费表'!B41</f>
        <v>5.5000000000000007E-2</v>
      </c>
      <c r="G52" s="2334"/>
      <c r="H52" s="2324"/>
      <c r="I52" s="1662"/>
      <c r="J52" s="2303">
        <v>1</v>
      </c>
      <c r="K52" s="3356" t="s">
        <v>1352</v>
      </c>
      <c r="L52" s="3356"/>
      <c r="M52" s="2305" t="b">
        <f>D48</f>
        <v>0</v>
      </c>
      <c r="N52" s="2303" t="str">
        <f>E48</f>
        <v>销售额×税（费）率</v>
      </c>
      <c r="O52" s="2306">
        <f>F48</f>
        <v>5.5000000000000007E-2</v>
      </c>
    </row>
    <row r="53" spans="1:35" ht="12" customHeight="1">
      <c r="A53" s="2146" t="s">
        <v>1353</v>
      </c>
      <c r="B53" s="3317" t="s">
        <v>2278</v>
      </c>
      <c r="C53" s="3318"/>
      <c r="D53" s="1019">
        <f ca="1">ROUND(D45*'数据-取费表'!B41/(1+'数据-取费表'!C42),0)</f>
        <v>1</v>
      </c>
      <c r="E53" s="1249" t="s">
        <v>1351</v>
      </c>
      <c r="F53" s="2333">
        <f>'数据-取费表'!B41</f>
        <v>5.5000000000000007E-2</v>
      </c>
      <c r="G53" s="2334"/>
      <c r="H53" s="2324"/>
      <c r="I53" s="1662"/>
      <c r="J53" s="2303">
        <v>2</v>
      </c>
      <c r="K53" s="3356" t="s">
        <v>1354</v>
      </c>
      <c r="L53" s="3356"/>
      <c r="M53" s="2305">
        <f t="shared" ref="M53:O54" ca="1" si="0">D55</f>
        <v>0</v>
      </c>
      <c r="N53" s="2303" t="str">
        <f t="shared" si="0"/>
        <v>销售额×税（费）率</v>
      </c>
      <c r="O53" s="2306" t="str">
        <f t="shared" si="0"/>
        <v>免征</v>
      </c>
    </row>
    <row r="54" spans="1:35" ht="12" customHeight="1">
      <c r="A54" s="2146" t="s">
        <v>1355</v>
      </c>
      <c r="B54" s="3317" t="s">
        <v>2279</v>
      </c>
      <c r="C54" s="3318"/>
      <c r="D54" s="1019">
        <f ca="1">C68</f>
        <v>1</v>
      </c>
      <c r="E54" s="318" t="s">
        <v>1356</v>
      </c>
      <c r="F54" s="2333">
        <f>'数据-取费表'!B41</f>
        <v>5.5000000000000007E-2</v>
      </c>
      <c r="G54" s="2334"/>
      <c r="H54" s="2335"/>
      <c r="I54" s="1662"/>
      <c r="J54" s="2303">
        <v>3</v>
      </c>
      <c r="K54" s="3356" t="s">
        <v>1357</v>
      </c>
      <c r="L54" s="3356"/>
      <c r="M54" s="2305" t="e">
        <f t="shared" ca="1" si="0"/>
        <v>#DIV/0!</v>
      </c>
      <c r="N54" s="2303" t="str">
        <f t="shared" si="0"/>
        <v>增值额×税（费）率</v>
      </c>
      <c r="O54" s="2307" t="str">
        <f t="shared" si="0"/>
        <v>免征</v>
      </c>
    </row>
    <row r="55" spans="1:35" ht="24" customHeight="1">
      <c r="A55" s="3306" t="s">
        <v>1358</v>
      </c>
      <c r="B55" s="3307"/>
      <c r="C55" s="3307"/>
      <c r="D55" s="12">
        <f ca="1">IF(H55="个人住宅",0,ROUND(D45*I55,0))</f>
        <v>0</v>
      </c>
      <c r="E55" s="1249" t="s">
        <v>1359</v>
      </c>
      <c r="F55" s="2333" t="str">
        <f>IF(H55="正常",I55,"免征")</f>
        <v>免征</v>
      </c>
      <c r="G55" s="2334"/>
      <c r="H55" s="2330"/>
      <c r="I55" s="156">
        <f>'数据-取费表'!B49</f>
        <v>5.0000000000000001E-4</v>
      </c>
      <c r="J55" s="2303">
        <f>IF(H59="非个人房产","",4)</f>
        <v>4</v>
      </c>
      <c r="K55" s="3356" t="str">
        <f>IF(H59="非个人房产","——","个人所得税")</f>
        <v>个人所得税</v>
      </c>
      <c r="L55" s="3356"/>
      <c r="M55" s="2308">
        <f ca="1">D59</f>
        <v>0</v>
      </c>
      <c r="N55" s="1876" t="str">
        <f>E59</f>
        <v>差额计税</v>
      </c>
      <c r="O55" s="2309">
        <f>F59</f>
        <v>0.01</v>
      </c>
    </row>
    <row r="56" spans="1:35" ht="24.75">
      <c r="A56" s="3306" t="s">
        <v>1360</v>
      </c>
      <c r="B56" s="3307"/>
      <c r="C56" s="3307"/>
      <c r="D56" s="12" t="e">
        <f ca="1">IF(H56="个人住宅",D57,D58)</f>
        <v>#DIV/0!</v>
      </c>
      <c r="E56" s="1249" t="s">
        <v>1361</v>
      </c>
      <c r="F56" s="2333" t="str">
        <f>IF(H56="正常",F58,"免征")</f>
        <v>免征</v>
      </c>
      <c r="G56" s="2336" t="s">
        <v>1362</v>
      </c>
      <c r="H56" s="2337"/>
      <c r="I56" s="1663"/>
      <c r="J56" s="2303" t="str">
        <f>IF(项目基本情况!K6="上海银行",IF(J55="",4,J55+1),"")</f>
        <v/>
      </c>
      <c r="K56" s="3379" t="str">
        <f>IF(项目基本情况!K6="上海银行","其他处置费用","")</f>
        <v/>
      </c>
      <c r="L56" s="3380"/>
      <c r="M56" s="2305" t="str">
        <f>IF(项目基本情况!K6="上海银行",M69,"")</f>
        <v/>
      </c>
      <c r="N56" s="3379" t="str">
        <f>IF(项目基本情况!K6="上海银行","包含处置中涉及的律师、诉讼、拍卖、评估等费用","")</f>
        <v/>
      </c>
      <c r="O56" s="3382"/>
    </row>
    <row r="57" spans="1:35" ht="12.75">
      <c r="A57" s="2146" t="s">
        <v>1338</v>
      </c>
      <c r="B57" s="3317" t="s">
        <v>1363</v>
      </c>
      <c r="C57" s="3318"/>
      <c r="D57" s="1471">
        <v>0</v>
      </c>
      <c r="E57" s="315" t="s">
        <v>1340</v>
      </c>
      <c r="F57" s="293"/>
      <c r="G57" s="2334"/>
      <c r="H57" s="2338"/>
      <c r="I57" s="1663"/>
      <c r="J57" s="3356">
        <f>IF(AND(J55="",J56=""),4,IF(项目基本情况!K6="上海银行",'车位结果表 '!J56+1,'车位结果表 '!J55+1))</f>
        <v>5</v>
      </c>
      <c r="K57" s="3356" t="s">
        <v>1364</v>
      </c>
      <c r="L57" s="2310" t="s">
        <v>1365</v>
      </c>
      <c r="M57" s="2311"/>
      <c r="N57" s="2312">
        <f ca="1">SUMIF(M52:M56,"&lt;9e307")</f>
        <v>0</v>
      </c>
      <c r="O57" s="2313"/>
      <c r="P57" s="2458">
        <f ca="1">N57/M49</f>
        <v>0</v>
      </c>
    </row>
    <row r="58" spans="1:35" ht="24.75">
      <c r="A58" s="2146" t="s">
        <v>1349</v>
      </c>
      <c r="B58" s="3317" t="s">
        <v>1366</v>
      </c>
      <c r="C58" s="3291"/>
      <c r="D58" s="12" t="e">
        <f ca="1">IF(H58="转让取得",C81,C97)</f>
        <v>#DIV/0!</v>
      </c>
      <c r="E58" s="1249" t="s">
        <v>1361</v>
      </c>
      <c r="F58" s="293" t="s">
        <v>28</v>
      </c>
      <c r="G58" s="2334"/>
      <c r="H58" s="2337"/>
      <c r="I58" s="1663"/>
      <c r="J58" s="3356"/>
      <c r="K58" s="3356"/>
      <c r="L58" s="2310" t="s">
        <v>1367</v>
      </c>
      <c r="M58" s="2314"/>
      <c r="N58" s="2315" t="str">
        <f ca="1">NUMBERSTRING(INT(N57*10000),2)&amp;"元整"</f>
        <v>零元整</v>
      </c>
      <c r="O58" s="2316"/>
    </row>
    <row r="59" spans="1:35" ht="24.75" thickBot="1">
      <c r="A59" s="3359" t="s">
        <v>1368</v>
      </c>
      <c r="B59" s="3360"/>
      <c r="C59" s="3360"/>
      <c r="D59" s="2339">
        <f ca="1">IF(H59="非个人房产","——",IF(H59="个人住宅（满五唯一有凭证）",0,IF(H59="个人其他（无凭证）",ROUND(D45*F59,0),ROUND(C67*F59,0))))</f>
        <v>0</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1362</v>
      </c>
      <c r="H59" s="2131"/>
      <c r="I59" s="2130" t="s">
        <v>2133</v>
      </c>
      <c r="J59" s="3357">
        <f>J57+1</f>
        <v>6</v>
      </c>
      <c r="K59" s="3356" t="s">
        <v>1369</v>
      </c>
      <c r="L59" s="2303" t="s">
        <v>1365</v>
      </c>
      <c r="M59" s="2317"/>
      <c r="N59" s="2318">
        <f ca="1">M49-N57</f>
        <v>19</v>
      </c>
      <c r="O59" s="2319"/>
    </row>
    <row r="60" spans="1:35" ht="12" customHeight="1">
      <c r="A60" s="1664"/>
      <c r="B60" s="644"/>
      <c r="C60" s="644"/>
      <c r="D60" s="644"/>
      <c r="E60" s="1459"/>
      <c r="F60" s="1663"/>
      <c r="G60" s="1663"/>
      <c r="H60" s="150"/>
      <c r="I60" s="120"/>
      <c r="J60" s="3358"/>
      <c r="K60" s="3356"/>
      <c r="L60" s="2310" t="s">
        <v>1367</v>
      </c>
      <c r="M60" s="2314"/>
      <c r="N60" s="2315" t="str">
        <f ca="1">NUMBERSTRING(INT(N59*10000),2)&amp;"元整"</f>
        <v>壹拾玖万元整</v>
      </c>
      <c r="O60" s="2316"/>
    </row>
    <row r="61" spans="1:35" ht="13.5" thickBot="1">
      <c r="A61" s="3304" t="s">
        <v>1370</v>
      </c>
      <c r="B61" s="3304"/>
      <c r="C61" s="3304"/>
      <c r="D61" s="3304"/>
      <c r="E61" s="3304"/>
      <c r="F61" s="1663"/>
      <c r="G61" s="1663"/>
      <c r="H61" s="150"/>
      <c r="I61" s="120"/>
      <c r="J61" s="2303">
        <f>J59+1</f>
        <v>7</v>
      </c>
      <c r="K61" s="3356" t="s">
        <v>1371</v>
      </c>
      <c r="L61" s="3356"/>
      <c r="M61" s="2320"/>
      <c r="N61" s="2321">
        <f ca="1">ROUND(N59*10000/'数据-汇总表'!E3,0)</f>
        <v>1</v>
      </c>
      <c r="O61" s="2322"/>
    </row>
    <row r="62" spans="1:35" ht="12.75">
      <c r="A62" s="3322" t="s">
        <v>1372</v>
      </c>
      <c r="B62" s="3323"/>
      <c r="C62" s="1858"/>
      <c r="D62" s="1858" t="s">
        <v>1373</v>
      </c>
      <c r="E62" s="157" t="s">
        <v>1374</v>
      </c>
      <c r="F62" s="1663"/>
      <c r="G62" s="1663"/>
      <c r="H62" s="150"/>
      <c r="I62" s="120"/>
    </row>
    <row r="63" spans="1:35" ht="12.75">
      <c r="A63" s="164" t="s">
        <v>330</v>
      </c>
      <c r="B63" s="158" t="s">
        <v>1375</v>
      </c>
      <c r="C63" s="2343">
        <f ca="1">ROUND((C64+C65)/(1+'数据-取费表'!C42),0)</f>
        <v>18</v>
      </c>
      <c r="D63" s="158"/>
      <c r="E63" s="159"/>
      <c r="F63" s="1663"/>
      <c r="G63" s="1663"/>
      <c r="H63" s="150"/>
      <c r="I63" s="120"/>
      <c r="J63" s="3381" t="s">
        <v>1376</v>
      </c>
      <c r="K63" s="1238" t="s">
        <v>1377</v>
      </c>
      <c r="L63" s="1238">
        <f ca="1">IF(M49&gt;10000,M49*0.5%,IF(AND(M49&gt;1000,M49&lt;=10000),M49*1%,IF(AND(M49&gt;100,M49&lt;=1000),M49*3%,IF(AND(M49&gt;10,M49&lt;=100),M49*5%,M49*8%))))</f>
        <v>0.95000000000000007</v>
      </c>
      <c r="M63" s="293">
        <f ca="1">ROUND(L63,1)</f>
        <v>1</v>
      </c>
      <c r="N63" s="2323"/>
      <c r="Z63" s="1616"/>
      <c r="AI63" s="1554"/>
    </row>
    <row r="64" spans="1:35" ht="14.25" customHeight="1">
      <c r="A64" s="160" t="s">
        <v>325</v>
      </c>
      <c r="B64" s="161" t="s">
        <v>1378</v>
      </c>
      <c r="C64" s="2344">
        <f ca="1">D45</f>
        <v>19</v>
      </c>
      <c r="D64" s="161" t="s">
        <v>26</v>
      </c>
      <c r="E64" s="163"/>
      <c r="F64" s="1663"/>
      <c r="G64" s="1663"/>
      <c r="H64" s="150"/>
      <c r="I64" s="120"/>
      <c r="J64" s="3381"/>
      <c r="K64" s="1238" t="s">
        <v>1379</v>
      </c>
      <c r="L64" s="1238">
        <f ca="1">IF(M49&gt;2000,M49*0.5%,IF(AND(M49&gt;1000,M49&lt;=2000),M49*0.6%,IF(AND(M49&gt;500,M49&lt;=1000),M49*0.7%,IF(AND(M49&gt;200,M49&lt;=500),M49*0.8%,IF(AND(M49&gt;100,M49&lt;=200),M49*0.9%,IF(AND(M49&gt;50,M49&lt;=100),M49*1%,IF(AND(M49&gt;20,M49&lt;=50),M49*1.5%,IF(AND(M49&gt;10,M49&lt;=20),M49*2%,IF(AND(M49&gt;1,M49&lt;=10),M49*2.5%)))))))))</f>
        <v>0.38</v>
      </c>
      <c r="M64" s="293">
        <f t="shared" ref="M64:M65" ca="1" si="1">ROUND(L64,1)</f>
        <v>0.4</v>
      </c>
      <c r="N64" s="2324" t="s">
        <v>1380</v>
      </c>
      <c r="Z64" s="1616"/>
      <c r="AI64" s="1554"/>
    </row>
    <row r="65" spans="1:35" ht="14.25" customHeight="1">
      <c r="A65" s="160" t="s">
        <v>326</v>
      </c>
      <c r="B65" s="161" t="s">
        <v>1381</v>
      </c>
      <c r="C65" s="2345"/>
      <c r="D65" s="161"/>
      <c r="E65" s="163"/>
      <c r="F65" s="1663"/>
      <c r="G65" s="1663"/>
      <c r="H65" s="150"/>
      <c r="I65" s="120"/>
      <c r="J65" s="3381"/>
      <c r="K65" s="1238" t="s">
        <v>1382</v>
      </c>
      <c r="L65" s="1238">
        <f ca="1">IF(M49&gt;1000,M49*0.1%,IF(AND(M49&gt;500,M49&lt;=1000),M49*0.5%,IF(AND(M49&gt;50,M49&lt;=500),M49*1%,IF(AND(M49&gt;1,M49&lt;=50),M49*1.5%))))</f>
        <v>0.28499999999999998</v>
      </c>
      <c r="M65" s="293">
        <f t="shared" ca="1" si="1"/>
        <v>0.3</v>
      </c>
      <c r="N65" s="2324" t="s">
        <v>1380</v>
      </c>
      <c r="Z65" s="1616"/>
      <c r="AI65" s="1554"/>
    </row>
    <row r="66" spans="1:35" ht="14.25" customHeight="1">
      <c r="A66" s="164" t="s">
        <v>327</v>
      </c>
      <c r="B66" s="165" t="s">
        <v>1383</v>
      </c>
      <c r="C66" s="2346"/>
      <c r="D66" s="165" t="s">
        <v>26</v>
      </c>
      <c r="E66" s="1244" t="s">
        <v>668</v>
      </c>
      <c r="F66" s="1663"/>
      <c r="G66" s="1663"/>
      <c r="H66" s="150"/>
      <c r="I66" s="120"/>
      <c r="J66" s="3381"/>
      <c r="K66" s="1238" t="s">
        <v>1384</v>
      </c>
      <c r="L66" s="1238">
        <f ca="1">M49*0.5%</f>
        <v>9.5000000000000001E-2</v>
      </c>
      <c r="M66" s="293">
        <f ca="1">IF(L66&gt;0.5,0.5,ROUND(L66,0))</f>
        <v>0</v>
      </c>
      <c r="N66" s="2324" t="s">
        <v>1385</v>
      </c>
      <c r="Z66" s="1616"/>
      <c r="AI66" s="1554"/>
    </row>
    <row r="67" spans="1:35" ht="14.25" customHeight="1">
      <c r="A67" s="164" t="s">
        <v>328</v>
      </c>
      <c r="B67" s="165" t="s">
        <v>1386</v>
      </c>
      <c r="C67" s="2347">
        <f ca="1">C63-C66</f>
        <v>18</v>
      </c>
      <c r="D67" s="161" t="s">
        <v>26</v>
      </c>
      <c r="E67" s="163"/>
      <c r="F67" s="1663"/>
      <c r="G67" s="1663"/>
      <c r="H67" s="150"/>
      <c r="I67" s="120"/>
      <c r="J67" s="3381"/>
      <c r="K67" s="1238" t="s">
        <v>1387</v>
      </c>
      <c r="L67" s="1238">
        <f ca="1">IF(M49&gt;=10000,(8.25+(M49-10000)*0.01%),IF(AND(M49&gt;=8000,M49&lt;10000),(7.85+(M49-8000)*0.02%),IF(AND(M49&gt;=5000,M49&lt;8000),(6.65+(M49-5000)*0.04%),IF(AND(M49&gt;=2000,M49&lt;5000),(4.25+(PM49-2000)*0.08%),IF(AND(M49&gt;=1000,M49&lt;2000),(2.75+(M49-1000)*0.15%),IF(AND(M49&gt;=100,M49&lt;1000),(0.5+(M49-100)*0.25%),IF(AND(M49&gt;0,M49&lt;100),M49*0.5%)))))))</f>
        <v>9.5000000000000001E-2</v>
      </c>
      <c r="M67" s="293">
        <f ca="1">ROUND(L67*0.9,1)</f>
        <v>0.1</v>
      </c>
      <c r="N67" s="2323"/>
      <c r="Z67" s="1616"/>
      <c r="AI67" s="1554"/>
    </row>
    <row r="68" spans="1:35" ht="14.25" customHeight="1" thickBot="1">
      <c r="A68" s="167" t="s">
        <v>329</v>
      </c>
      <c r="B68" s="168" t="s">
        <v>1388</v>
      </c>
      <c r="C68" s="2348">
        <f ca="1">IF(C67&lt;=0,0,ROUND(C67*D68,0))</f>
        <v>1</v>
      </c>
      <c r="D68" s="2349">
        <f>'数据-取费表'!B41</f>
        <v>5.5000000000000007E-2</v>
      </c>
      <c r="E68" s="169"/>
      <c r="F68" s="1663"/>
      <c r="G68" s="1663"/>
      <c r="H68" s="150"/>
      <c r="I68" s="120"/>
      <c r="J68" s="3381"/>
      <c r="K68" s="1238" t="s">
        <v>1389</v>
      </c>
      <c r="L68" s="1238">
        <f ca="1">IF(M49&gt;10000,M49*0.5%,IF(AND(M49&gt;5000,M49&lt;=10000),M49*1%,IF(AND(M49&gt;1000,M49&lt;=5000),M49*2%,IF(AND(M49&gt;200,M49&lt;=1000),M49*3%,M49*5%))))</f>
        <v>0.95000000000000007</v>
      </c>
      <c r="M68" s="293">
        <f ca="1">ROUND(L68,1)</f>
        <v>1</v>
      </c>
      <c r="N68" s="2323"/>
      <c r="Z68" s="1616"/>
      <c r="AI68" s="1554"/>
    </row>
    <row r="69" spans="1:35" ht="16.5" customHeight="1">
      <c r="A69" s="1665"/>
      <c r="B69" s="1666"/>
      <c r="C69" s="1667"/>
      <c r="D69" s="1668"/>
      <c r="E69" s="1669"/>
      <c r="F69" s="1459"/>
      <c r="G69" s="1459"/>
      <c r="H69" s="1460"/>
      <c r="I69" s="644"/>
      <c r="J69" s="3381"/>
      <c r="K69" s="1238" t="s">
        <v>1390</v>
      </c>
      <c r="L69" s="1238"/>
      <c r="M69" s="293">
        <f ca="1">ROUND(SUM(M63:M68),0)</f>
        <v>3</v>
      </c>
      <c r="N69" s="2325">
        <f ca="1">M69/M49</f>
        <v>0.15789473684210525</v>
      </c>
      <c r="Z69" s="1616"/>
      <c r="AI69" s="1554"/>
    </row>
    <row r="70" spans="1:35" s="640" customFormat="1" ht="15" thickBot="1">
      <c r="A70" s="3343" t="s">
        <v>1391</v>
      </c>
      <c r="B70" s="3344"/>
      <c r="C70" s="3344"/>
      <c r="D70" s="3344"/>
      <c r="E70" s="3344"/>
      <c r="F70" s="3344"/>
      <c r="G70" s="3344"/>
      <c r="H70" s="3344"/>
      <c r="I70" s="1670"/>
      <c r="J70" s="458"/>
      <c r="K70" s="458"/>
      <c r="L70" s="458"/>
      <c r="M70" s="458"/>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22" t="s">
        <v>1372</v>
      </c>
      <c r="B71" s="3323"/>
      <c r="C71" s="1858"/>
      <c r="D71" s="1858" t="s">
        <v>1373</v>
      </c>
      <c r="E71" s="170" t="s">
        <v>1374</v>
      </c>
      <c r="F71" s="171"/>
      <c r="G71" s="171"/>
      <c r="H71" s="172"/>
      <c r="I71" s="1673"/>
      <c r="J71" s="458"/>
      <c r="K71" s="458"/>
      <c r="L71" s="458"/>
      <c r="M71" s="458"/>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4" t="s">
        <v>330</v>
      </c>
      <c r="B72" s="165" t="s">
        <v>1392</v>
      </c>
      <c r="C72" s="2347">
        <f ca="1">ROUND(D45/(1+'数据-取费表'!C42),0)</f>
        <v>18</v>
      </c>
      <c r="D72" s="161" t="s">
        <v>26</v>
      </c>
      <c r="E72" s="1250"/>
      <c r="F72" s="1248"/>
      <c r="G72" s="1248"/>
      <c r="H72" s="173"/>
      <c r="I72" s="1673"/>
      <c r="J72" s="458"/>
      <c r="K72" s="458"/>
      <c r="L72" s="458"/>
      <c r="M72" s="458"/>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4" t="s">
        <v>327</v>
      </c>
      <c r="B73" s="154" t="s">
        <v>1393</v>
      </c>
      <c r="C73" s="2347">
        <f ca="1">C74+C78</f>
        <v>0</v>
      </c>
      <c r="D73" s="161" t="s">
        <v>26</v>
      </c>
      <c r="E73" s="1250"/>
      <c r="F73" s="1248"/>
      <c r="G73" s="1248"/>
      <c r="H73" s="173"/>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0" t="s">
        <v>325</v>
      </c>
      <c r="B74" s="161" t="s">
        <v>1394</v>
      </c>
      <c r="C74" s="161">
        <f>ROUND(IF(G77="2016年5月1日后购买",C75/(1+'数据-取费表'!C42)+C76+C77,C75+C76+C77),0)</f>
        <v>0</v>
      </c>
      <c r="D74" s="161" t="s">
        <v>26</v>
      </c>
      <c r="E74" s="1250"/>
      <c r="F74" s="1248"/>
      <c r="G74" s="1248"/>
      <c r="H74" s="173"/>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0" t="s">
        <v>331</v>
      </c>
      <c r="B75" s="161" t="s">
        <v>1395</v>
      </c>
      <c r="C75" s="2350"/>
      <c r="D75" s="161" t="s">
        <v>26</v>
      </c>
      <c r="E75" s="175" t="s">
        <v>1396</v>
      </c>
      <c r="F75" s="2351"/>
      <c r="G75" s="175" t="s">
        <v>1397</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0" t="s">
        <v>332</v>
      </c>
      <c r="B76" s="176" t="s">
        <v>1398</v>
      </c>
      <c r="C76" s="161">
        <f>IF(F75="购房发票",ROUND(C75*H75*D76,0),0)</f>
        <v>0</v>
      </c>
      <c r="D76" s="2353">
        <v>0.05</v>
      </c>
      <c r="E76" s="3317" t="s">
        <v>1399</v>
      </c>
      <c r="F76" s="3291"/>
      <c r="G76" s="3291"/>
      <c r="H76" s="3342"/>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0" t="s">
        <v>333</v>
      </c>
      <c r="B77" s="161" t="s">
        <v>1400</v>
      </c>
      <c r="C77" s="161">
        <f>ROUND(IF(G77="个人住宅",0,IF(G77="2016年5月1日前购买",C75*D77,C75*D77/(1+'数据-取费表'!C42))),0)</f>
        <v>0</v>
      </c>
      <c r="D77" s="2354">
        <f>'数据-取费表'!B48+'数据-取费表'!B49</f>
        <v>3.0499999999999999E-2</v>
      </c>
      <c r="E77" s="12" t="s">
        <v>1401</v>
      </c>
      <c r="F77" s="177"/>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0" t="s">
        <v>326</v>
      </c>
      <c r="B78" s="161" t="s">
        <v>1402</v>
      </c>
      <c r="C78" s="2355">
        <f ca="1">ROUND(D45*D78/(1+'数据-取费表'!C42),0)</f>
        <v>0</v>
      </c>
      <c r="D78" s="2356">
        <f>'数据-取费表'!B43</f>
        <v>5.000000000000001E-3</v>
      </c>
      <c r="E78" s="3301" t="s">
        <v>1403</v>
      </c>
      <c r="F78" s="3302"/>
      <c r="G78" s="3302"/>
      <c r="H78" s="3311"/>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4" t="s">
        <v>328</v>
      </c>
      <c r="B79" s="165" t="s">
        <v>1404</v>
      </c>
      <c r="C79" s="2347">
        <f ca="1">C72-C73</f>
        <v>18</v>
      </c>
      <c r="D79" s="161" t="s">
        <v>26</v>
      </c>
      <c r="E79" s="1250"/>
      <c r="F79" s="1248"/>
      <c r="G79" s="1248"/>
      <c r="H79" s="173"/>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4" t="s">
        <v>335</v>
      </c>
      <c r="B80" s="165" t="s">
        <v>1405</v>
      </c>
      <c r="C80" s="2357"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48"/>
      <c r="G80" s="1248"/>
      <c r="H80" s="173"/>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7" t="s">
        <v>336</v>
      </c>
      <c r="B81" s="168" t="s">
        <v>1406</v>
      </c>
      <c r="C81" s="2358" t="e">
        <f ca="1">ROUND(IF(C79&lt;=0,0,IF(C80&gt;=200%,C79*60%-C73*35%,IF(C80&gt;=100%,C79*50%-C73*15%,IF(C80&gt;=50%,C79*40%-C73*5%,IF(C80&lt;50%,C79*30%,0))))),0)</f>
        <v>#DIV/0!</v>
      </c>
      <c r="D81" s="235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43" t="s">
        <v>1407</v>
      </c>
      <c r="B83" s="3344"/>
      <c r="C83" s="3344"/>
      <c r="D83" s="3344"/>
      <c r="E83" s="3344"/>
      <c r="F83" s="3344"/>
      <c r="G83" s="3344"/>
      <c r="H83" s="3344"/>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22" t="s">
        <v>1372</v>
      </c>
      <c r="B84" s="3323"/>
      <c r="C84" s="1858"/>
      <c r="D84" s="1858" t="s">
        <v>1373</v>
      </c>
      <c r="E84" s="170" t="s">
        <v>1374</v>
      </c>
      <c r="F84" s="171"/>
      <c r="G84" s="171"/>
      <c r="H84" s="182"/>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4" t="s">
        <v>330</v>
      </c>
      <c r="B85" s="165" t="s">
        <v>1392</v>
      </c>
      <c r="C85" s="2347">
        <f ca="1">ROUND(D45/(1+'数据-取费表'!C42),0)</f>
        <v>18</v>
      </c>
      <c r="D85" s="161" t="s">
        <v>26</v>
      </c>
      <c r="E85" s="1250"/>
      <c r="F85" s="1248"/>
      <c r="G85" s="1248"/>
      <c r="H85" s="183"/>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4" t="s">
        <v>327</v>
      </c>
      <c r="B86" s="154" t="s">
        <v>1393</v>
      </c>
      <c r="C86" s="2347">
        <f ca="1">IF(H88="仅含出让金",C87+C90+C91+C92+C93+C94,C87+C91+C92+C93+C94)</f>
        <v>0</v>
      </c>
      <c r="D86" s="2360"/>
      <c r="E86" s="1250"/>
      <c r="F86" s="1248"/>
      <c r="G86" s="1248"/>
      <c r="H86" s="183"/>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0" t="s">
        <v>325</v>
      </c>
      <c r="B87" s="161" t="s">
        <v>1408</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0" t="s">
        <v>331</v>
      </c>
      <c r="B88" s="161" t="s">
        <v>1409</v>
      </c>
      <c r="C88" s="2361"/>
      <c r="D88" s="2356"/>
      <c r="E88" s="184" t="s">
        <v>1410</v>
      </c>
      <c r="F88" s="2141"/>
      <c r="G88" s="185" t="s">
        <v>1411</v>
      </c>
      <c r="H88" s="1677"/>
      <c r="I88" s="1674"/>
      <c r="J88" s="2301" t="s">
        <v>2275</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0" t="s">
        <v>332</v>
      </c>
      <c r="B89" s="161" t="s">
        <v>1400</v>
      </c>
      <c r="C89" s="2355">
        <f>ROUND(C88*D89,0)</f>
        <v>0</v>
      </c>
      <c r="D89" s="2356">
        <f>'数据-取费表'!B48+'数据-取费表'!B49</f>
        <v>3.0499999999999999E-2</v>
      </c>
      <c r="E89" s="184" t="s">
        <v>1412</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0" t="s">
        <v>326</v>
      </c>
      <c r="B90" s="161" t="s">
        <v>1413</v>
      </c>
      <c r="C90" s="2361"/>
      <c r="D90" s="2356"/>
      <c r="E90" s="184" t="str">
        <f>IF(H88="-","土地取得成本中已包含该笔费用"," ")</f>
        <v xml:space="preserve"> </v>
      </c>
      <c r="F90" s="2141"/>
      <c r="G90" s="3383" t="s">
        <v>2125</v>
      </c>
      <c r="H90" s="3384"/>
      <c r="I90" s="1674"/>
      <c r="J90" s="2301" t="s">
        <v>2276</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0" t="s">
        <v>1414</v>
      </c>
      <c r="B91" s="161" t="s">
        <v>1415</v>
      </c>
      <c r="C91" s="2355">
        <f>IF(H91="——",成本法!C33,I91)</f>
        <v>0</v>
      </c>
      <c r="D91" s="2356"/>
      <c r="E91" s="3301" t="s">
        <v>1416</v>
      </c>
      <c r="F91" s="3302"/>
      <c r="G91" s="330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0" t="s">
        <v>1417</v>
      </c>
      <c r="B92" s="161" t="s">
        <v>1418</v>
      </c>
      <c r="C92" s="2355">
        <f>ROUND((C87+C90+C91)*D92,0)</f>
        <v>0</v>
      </c>
      <c r="D92" s="2362"/>
      <c r="E92" s="3301" t="s">
        <v>1419</v>
      </c>
      <c r="F92" s="3302"/>
      <c r="G92" s="3302"/>
      <c r="H92" s="3311"/>
      <c r="I92" s="1674"/>
      <c r="J92" s="2302" t="s">
        <v>2277</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0" t="s">
        <v>1420</v>
      </c>
      <c r="B93" s="161" t="s">
        <v>1402</v>
      </c>
      <c r="C93" s="2355">
        <f ca="1">ROUND(D45*D93/(1+'数据-取费表'!C42),0)</f>
        <v>0</v>
      </c>
      <c r="D93" s="2356">
        <f>'数据-取费表'!B43</f>
        <v>5.000000000000001E-3</v>
      </c>
      <c r="E93" s="3301" t="s">
        <v>1403</v>
      </c>
      <c r="F93" s="3302"/>
      <c r="G93" s="3302"/>
      <c r="H93" s="3311"/>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0" t="s">
        <v>1421</v>
      </c>
      <c r="B94" s="161" t="s">
        <v>1422</v>
      </c>
      <c r="C94" s="2361">
        <f>ROUND((C87+C90+C91)*D94,0)</f>
        <v>0</v>
      </c>
      <c r="D94" s="2356">
        <v>0.2</v>
      </c>
      <c r="E94" s="3312" t="s">
        <v>1423</v>
      </c>
      <c r="F94" s="3313"/>
      <c r="G94" s="3313"/>
      <c r="H94" s="3314"/>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4" t="s">
        <v>328</v>
      </c>
      <c r="B95" s="165" t="s">
        <v>1404</v>
      </c>
      <c r="C95" s="2347">
        <f ca="1">ROUND(C85-C86,0)</f>
        <v>18</v>
      </c>
      <c r="D95" s="161" t="s">
        <v>26</v>
      </c>
      <c r="E95" s="1250"/>
      <c r="F95" s="1248"/>
      <c r="G95" s="1248"/>
      <c r="H95" s="183"/>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4" t="s">
        <v>335</v>
      </c>
      <c r="B96" s="165" t="s">
        <v>1405</v>
      </c>
      <c r="C96" s="2357"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48"/>
      <c r="G96" s="1248"/>
      <c r="H96" s="183"/>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7" t="s">
        <v>336</v>
      </c>
      <c r="B97" s="168" t="s">
        <v>1406</v>
      </c>
      <c r="C97" s="2358" t="e">
        <f ca="1">ROUND(IF(C95&lt;=0,0,IF(C96&gt;=200%,C95*60%-C86*35%,IF(C96&gt;=100%,C95*50%-C86*15%,IF(C96&gt;=50%,C95*40%-C86*5%,IF(C96&lt;50%,C95*30%,0))))),0)</f>
        <v>#DIV/0!</v>
      </c>
      <c r="D97" s="235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0"/>
    </row>
    <row r="99" spans="1:35" ht="21.75" customHeight="1" thickBot="1">
      <c r="A99" s="1457" t="s">
        <v>1424</v>
      </c>
      <c r="B99" s="644"/>
      <c r="C99" s="644"/>
      <c r="D99" s="644"/>
      <c r="E99" s="1459"/>
      <c r="F99" s="1459"/>
      <c r="G99" s="1459"/>
      <c r="H99" s="1460"/>
      <c r="I99" s="120"/>
    </row>
    <row r="100" spans="1:35" ht="18.75" customHeight="1">
      <c r="A100" s="3285" t="s">
        <v>1425</v>
      </c>
      <c r="B100" s="3286"/>
      <c r="C100" s="3286"/>
      <c r="D100" s="3303"/>
      <c r="E100" s="3286" t="s">
        <v>1426</v>
      </c>
      <c r="F100" s="3286"/>
      <c r="G100" s="3286"/>
      <c r="H100" s="3303"/>
      <c r="I100" s="120"/>
    </row>
    <row r="101" spans="1:35" ht="18.75" customHeight="1">
      <c r="A101" s="3364" t="s">
        <v>1427</v>
      </c>
      <c r="B101" s="3365"/>
      <c r="C101" s="2364" t="str">
        <f>C4</f>
        <v>成本法 (元)</v>
      </c>
      <c r="D101" s="2365" t="str">
        <f>D4</f>
        <v>车库收益法 (元)</v>
      </c>
      <c r="E101" s="3378" t="s">
        <v>1428</v>
      </c>
      <c r="F101" s="3335"/>
      <c r="G101" s="1680" t="s">
        <v>1429</v>
      </c>
      <c r="H101" s="2374">
        <f ca="1">H118</f>
        <v>19</v>
      </c>
      <c r="I101" s="120"/>
    </row>
    <row r="102" spans="1:35" ht="18.75" customHeight="1">
      <c r="A102" s="3337" t="s">
        <v>1430</v>
      </c>
      <c r="B102" s="2363" t="s">
        <v>1429</v>
      </c>
      <c r="C102" s="2364">
        <f ca="1">IF(D32="楼面单价",ROUND(C19,0),C19)</f>
        <v>44.261299999999999</v>
      </c>
      <c r="D102" s="2365">
        <f ca="1">IF(D32="楼面单价",ROUND(D19,0),D19)</f>
        <v>7.5708000000000002</v>
      </c>
      <c r="E102" s="3378"/>
      <c r="F102" s="3335"/>
      <c r="G102" s="1680" t="s">
        <v>1431</v>
      </c>
      <c r="H102" s="2334">
        <f ca="1">I118</f>
        <v>3590</v>
      </c>
      <c r="I102" s="120"/>
    </row>
    <row r="103" spans="1:35" ht="42.75" customHeight="1">
      <c r="A103" s="3337"/>
      <c r="B103" s="2363" t="s">
        <v>1431</v>
      </c>
      <c r="C103" s="2366">
        <f ca="1">C20</f>
        <v>8362</v>
      </c>
      <c r="D103" s="2367">
        <f ca="1">D20</f>
        <v>1430</v>
      </c>
      <c r="E103" s="3372" t="s">
        <v>1432</v>
      </c>
      <c r="F103" s="3373"/>
      <c r="G103" s="1681" t="s">
        <v>1433</v>
      </c>
      <c r="H103" s="2374">
        <f>IF(D36="正常操作",H104+H105+H106,H105+H106)</f>
        <v>0</v>
      </c>
      <c r="I103" s="120"/>
    </row>
    <row r="104" spans="1:35" ht="18.75" customHeight="1">
      <c r="A104" s="3337" t="s">
        <v>1434</v>
      </c>
      <c r="B104" s="2368" t="s">
        <v>1429</v>
      </c>
      <c r="C104" s="2369">
        <f ca="1">H118</f>
        <v>19</v>
      </c>
      <c r="D104" s="2370"/>
      <c r="E104" s="1548" t="s">
        <v>1435</v>
      </c>
      <c r="F104" s="1541"/>
      <c r="G104" s="1681" t="s">
        <v>1433</v>
      </c>
      <c r="H104" s="2375">
        <f>IF(D36="同一抵押权人同一抵押物续贷",C36&amp;"（续贷，未扣减，详见特别提示）",C36)</f>
        <v>0</v>
      </c>
      <c r="I104" s="120"/>
    </row>
    <row r="105" spans="1:35" ht="18.75" customHeight="1" thickBot="1">
      <c r="A105" s="3338"/>
      <c r="B105" s="2371" t="s">
        <v>1431</v>
      </c>
      <c r="C105" s="2372">
        <f ca="1">I118</f>
        <v>3590</v>
      </c>
      <c r="D105" s="2373"/>
      <c r="E105" s="1548" t="s">
        <v>1436</v>
      </c>
      <c r="F105" s="1541"/>
      <c r="G105" s="1681" t="s">
        <v>1433</v>
      </c>
      <c r="H105" s="2376">
        <f>C37</f>
        <v>0</v>
      </c>
      <c r="I105" s="120"/>
    </row>
    <row r="106" spans="1:35" ht="18.75" customHeight="1">
      <c r="A106" s="644" t="s">
        <v>1437</v>
      </c>
      <c r="B106" s="644"/>
      <c r="C106" s="644"/>
      <c r="D106" s="644"/>
      <c r="E106" s="1682" t="s">
        <v>1438</v>
      </c>
      <c r="F106" s="1541"/>
      <c r="G106" s="1681" t="s">
        <v>1433</v>
      </c>
      <c r="H106" s="2376">
        <f>C38</f>
        <v>0</v>
      </c>
      <c r="I106" s="120"/>
    </row>
    <row r="107" spans="1:35" ht="18.75" customHeight="1">
      <c r="A107" s="120"/>
      <c r="B107" s="120"/>
      <c r="C107" s="120"/>
      <c r="D107" s="120"/>
      <c r="E107" s="3334" t="str">
        <f>IF(项目基本情况!E8="已注销","——","3.房地产抵押价值")</f>
        <v>3.房地产抵押价值</v>
      </c>
      <c r="F107" s="3335"/>
      <c r="G107" s="1680" t="s">
        <v>1429</v>
      </c>
      <c r="H107" s="2374">
        <f ca="1">IF(E107="——","——",H101-H103)</f>
        <v>19</v>
      </c>
      <c r="I107" s="120"/>
    </row>
    <row r="108" spans="1:35" ht="18.75" customHeight="1">
      <c r="A108" s="120"/>
      <c r="B108" s="120"/>
      <c r="C108" s="120"/>
      <c r="D108" s="120"/>
      <c r="E108" s="3334"/>
      <c r="F108" s="3335"/>
      <c r="G108" s="1680" t="s">
        <v>1431</v>
      </c>
      <c r="H108" s="2334">
        <f ca="1">IF(H107=H101,H102,ROUND(H107*10000/'数据-汇总表'!E3,0))</f>
        <v>3590</v>
      </c>
      <c r="I108" s="120"/>
    </row>
    <row r="109" spans="1:35" ht="18.75" customHeight="1">
      <c r="A109" s="120"/>
      <c r="B109" s="120"/>
      <c r="C109" s="120"/>
      <c r="D109" s="120"/>
      <c r="E109" s="3334" t="str">
        <f>IF(项目基本情况!E8="已注销及未注销","4.抵押担保权已注销时的房地产抵押价值",IF(项目基本情况!E8="已注销","3.抵押担保权已注销时的房地产抵押价值","——"))</f>
        <v>——</v>
      </c>
      <c r="F109" s="3335"/>
      <c r="G109" s="1680" t="s">
        <v>1429</v>
      </c>
      <c r="H109" s="2377" t="str">
        <f>IF(E109="——","——",H101-H105-H106)</f>
        <v>——</v>
      </c>
      <c r="I109" s="120"/>
    </row>
    <row r="110" spans="1:35" ht="18.75" customHeight="1">
      <c r="A110" s="120"/>
      <c r="B110" s="120"/>
      <c r="C110" s="120"/>
      <c r="D110" s="120"/>
      <c r="E110" s="3334"/>
      <c r="F110" s="3335"/>
      <c r="G110" s="1680" t="s">
        <v>1431</v>
      </c>
      <c r="H110" s="2334" t="str">
        <f>IF(H109="——","——",ROUND(H109*10000/'数据-汇总表'!E3,0))</f>
        <v>——</v>
      </c>
      <c r="I110" s="120"/>
    </row>
    <row r="111" spans="1:35" ht="18.75" customHeight="1">
      <c r="A111" s="120"/>
      <c r="B111" s="120"/>
      <c r="C111" s="120"/>
      <c r="D111" s="120"/>
      <c r="E111" s="3366" t="str">
        <f>IF(项目基本情况!E9="抵押净值",IF(OR(项目基本情况!E8="已注销",项目基本情况!E8="房地产抵押价值"),"4.抵押净值","5.抵押净值"),"——")</f>
        <v>——</v>
      </c>
      <c r="F111" s="3336"/>
      <c r="G111" s="1680" t="s">
        <v>1429</v>
      </c>
      <c r="H111" s="2374" t="str">
        <f>IF(E111="——","——",N59)</f>
        <v>——</v>
      </c>
      <c r="I111" s="120"/>
    </row>
    <row r="112" spans="1:35" ht="18.75" customHeight="1" thickBot="1">
      <c r="A112" s="120"/>
      <c r="B112" s="120"/>
      <c r="C112" s="120"/>
      <c r="D112" s="120"/>
      <c r="E112" s="3367"/>
      <c r="F112" s="3368"/>
      <c r="G112" s="1683" t="s">
        <v>1431</v>
      </c>
      <c r="H112" s="2378" t="str">
        <f>IF(E111="——","——",N61)</f>
        <v>——</v>
      </c>
      <c r="I112" s="120"/>
    </row>
    <row r="113" spans="1:27" ht="18.75" customHeight="1">
      <c r="A113" s="120"/>
      <c r="B113" s="120"/>
      <c r="C113" s="120"/>
      <c r="D113" s="120"/>
      <c r="E113" s="3339" t="s">
        <v>1437</v>
      </c>
      <c r="F113" s="3339"/>
      <c r="G113" s="3339"/>
      <c r="H113" s="3339"/>
      <c r="I113" s="120"/>
    </row>
    <row r="114" spans="1:27" ht="3.75" customHeight="1">
      <c r="A114" s="644"/>
      <c r="B114" s="644"/>
      <c r="C114" s="644"/>
      <c r="D114" s="644"/>
      <c r="E114" s="1664"/>
      <c r="F114" s="1664"/>
      <c r="G114" s="1664"/>
      <c r="H114" s="1664"/>
      <c r="I114" s="644"/>
    </row>
    <row r="115" spans="1:27" ht="18.75" customHeight="1">
      <c r="A115" s="3349" t="s">
        <v>1439</v>
      </c>
      <c r="B115" s="3350"/>
      <c r="C115" s="3350"/>
      <c r="D115" s="3350"/>
      <c r="E115" s="3350"/>
      <c r="F115" s="3350"/>
      <c r="G115" s="3350"/>
      <c r="H115" s="3350"/>
      <c r="I115" s="3351"/>
    </row>
    <row r="116" spans="1:27" ht="27" customHeight="1">
      <c r="A116" s="3305" t="s">
        <v>1440</v>
      </c>
      <c r="B116" s="3340" t="s">
        <v>1441</v>
      </c>
      <c r="C116" s="3340" t="s">
        <v>1442</v>
      </c>
      <c r="D116" s="3353" t="s">
        <v>1443</v>
      </c>
      <c r="E116" s="3354"/>
      <c r="F116" s="3348" t="s">
        <v>1444</v>
      </c>
      <c r="G116" s="3348"/>
      <c r="H116" s="3305" t="s">
        <v>1445</v>
      </c>
      <c r="I116" s="3305"/>
    </row>
    <row r="117" spans="1:27" ht="18.75" customHeight="1">
      <c r="A117" s="3305"/>
      <c r="B117" s="3341"/>
      <c r="C117" s="3341"/>
      <c r="D117" s="2143" t="s">
        <v>1446</v>
      </c>
      <c r="E117" s="2143" t="s">
        <v>1447</v>
      </c>
      <c r="F117" s="2143" t="s">
        <v>1446</v>
      </c>
      <c r="G117" s="2143" t="s">
        <v>1448</v>
      </c>
      <c r="H117" s="2143" t="s">
        <v>1446</v>
      </c>
      <c r="I117" s="2143" t="s">
        <v>1448</v>
      </c>
    </row>
    <row r="118" spans="1:27" ht="24.75" customHeight="1">
      <c r="A118" s="2379" t="str">
        <f>项目基本情况!S2</f>
        <v>北京市房地产</v>
      </c>
      <c r="B118" s="2143">
        <f>M18</f>
        <v>52.93</v>
      </c>
      <c r="C118" s="2143">
        <f>M19</f>
        <v>6.53</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f ca="1">ROUND(IF(D32="总价",C32,I118*B118/10000),0)</f>
        <v>19</v>
      </c>
      <c r="I118" s="2143">
        <f ca="1">ROUND(IF(D32="楼面单价",C32,H118*10000/B118),0)</f>
        <v>3590</v>
      </c>
    </row>
    <row r="119" spans="1:27" ht="18.75" customHeight="1">
      <c r="A119" s="3305" t="s">
        <v>1449</v>
      </c>
      <c r="B119" s="3305"/>
      <c r="C119" s="3305"/>
      <c r="D119" s="3345" t="e">
        <f ca="1">NUMBERSTRING(INT(D118*10000),2)&amp;"元整"</f>
        <v>#REF!</v>
      </c>
      <c r="E119" s="3347"/>
      <c r="F119" s="3345" t="e">
        <f ca="1">NUMBERSTRING(INT(F118*10000),2)&amp;"元整"</f>
        <v>#REF!</v>
      </c>
      <c r="G119" s="3347"/>
      <c r="H119" s="3345" t="str">
        <f ca="1">NUMBERSTRING(INT(H118*10000),2)&amp;"元整"</f>
        <v>壹拾玖万元整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45" t="s">
        <v>1449</v>
      </c>
      <c r="B121" s="3346"/>
      <c r="C121" s="3347"/>
      <c r="D121" s="3345" t="str">
        <f>IF(D120=0,"零元整",NUMBERSTRING(INT(D120*10000),2)&amp;"元整")</f>
        <v>零元整</v>
      </c>
      <c r="E121" s="3346"/>
      <c r="F121" s="3346"/>
      <c r="G121" s="3346"/>
      <c r="H121" s="3346"/>
      <c r="I121" s="3347"/>
      <c r="AA121" s="682"/>
    </row>
    <row r="122" spans="1:27" ht="18.75" customHeight="1">
      <c r="A122" s="3336" t="str">
        <f>IF(项目基本情况!B9="房地产市场价值","",MID(E107,3,LEN(E107)-2))</f>
        <v>房地产抵押价值</v>
      </c>
      <c r="B122" s="3336"/>
      <c r="C122" s="3336"/>
      <c r="D122" s="3369">
        <f ca="1">H107</f>
        <v>19</v>
      </c>
      <c r="E122" s="3370"/>
      <c r="F122" s="3370"/>
      <c r="G122" s="3370"/>
      <c r="H122" s="3370"/>
      <c r="I122" s="3371"/>
      <c r="AA122" s="682"/>
    </row>
    <row r="123" spans="1:27" ht="18.75" customHeight="1">
      <c r="A123" s="3305" t="s">
        <v>1449</v>
      </c>
      <c r="B123" s="3305"/>
      <c r="C123" s="3305"/>
      <c r="D123" s="3345" t="str">
        <f ca="1">NUMBERSTRING(INT(D122*10000),2)&amp;"元整"</f>
        <v>壹拾玖万元整</v>
      </c>
      <c r="E123" s="3346"/>
      <c r="F123" s="3346"/>
      <c r="G123" s="3346"/>
      <c r="H123" s="3346"/>
      <c r="I123" s="3347"/>
      <c r="AA123" s="682"/>
    </row>
    <row r="124" spans="1:27" ht="18.75" customHeight="1">
      <c r="A124" s="3336" t="str">
        <f>IF(项目基本情况!B9="房地产市场价值","",MID(E109,3,LEN(E109)-2))</f>
        <v/>
      </c>
      <c r="B124" s="3336"/>
      <c r="C124" s="3336"/>
      <c r="D124" s="3369" t="str">
        <f>H109</f>
        <v>——</v>
      </c>
      <c r="E124" s="3370"/>
      <c r="F124" s="3370"/>
      <c r="G124" s="3370"/>
      <c r="H124" s="3370"/>
      <c r="I124" s="3371"/>
      <c r="AA124" s="682"/>
    </row>
    <row r="125" spans="1:27" ht="18.75" customHeight="1">
      <c r="A125" s="3305" t="s">
        <v>1449</v>
      </c>
      <c r="B125" s="3305"/>
      <c r="C125" s="3305"/>
      <c r="D125" s="3345" t="e">
        <f>NUMBERSTRING(INT(D124*10000),2)&amp;"元整"</f>
        <v>#VALUE!</v>
      </c>
      <c r="E125" s="3346"/>
      <c r="F125" s="3346"/>
      <c r="G125" s="3346"/>
      <c r="H125" s="3346"/>
      <c r="I125" s="3347"/>
      <c r="AA125" s="682"/>
    </row>
    <row r="126" spans="1:27" ht="18.75" customHeight="1">
      <c r="A126" s="3336" t="str">
        <f>IF(项目基本情况!B9="房地产市场价值","",MID(E111,3,LEN(E111)-2))</f>
        <v/>
      </c>
      <c r="B126" s="3336"/>
      <c r="C126" s="3336"/>
      <c r="D126" s="3369" t="str">
        <f>H111</f>
        <v>——</v>
      </c>
      <c r="E126" s="3370"/>
      <c r="F126" s="3370"/>
      <c r="G126" s="3370"/>
      <c r="H126" s="3370"/>
      <c r="I126" s="3371"/>
      <c r="AA126" s="682"/>
    </row>
    <row r="127" spans="1:27" ht="18.75" customHeight="1">
      <c r="A127" s="3305" t="s">
        <v>1449</v>
      </c>
      <c r="B127" s="3305"/>
      <c r="C127" s="3305"/>
      <c r="D127" s="3345" t="e">
        <f>NUMBERSTRING(INT(D126*10000),2)&amp;"元整"</f>
        <v>#VALUE!</v>
      </c>
      <c r="E127" s="3346"/>
      <c r="F127" s="3346"/>
      <c r="G127" s="3346"/>
      <c r="H127" s="3346"/>
      <c r="I127" s="3347"/>
      <c r="AA127" s="682"/>
    </row>
    <row r="128" spans="1:27" ht="21.75" customHeight="1">
      <c r="A128" s="3352" t="s">
        <v>1450</v>
      </c>
      <c r="B128" s="3352"/>
      <c r="C128" s="3352"/>
      <c r="D128" s="3352"/>
      <c r="E128" s="3352"/>
      <c r="F128" s="3352"/>
      <c r="G128" s="3352"/>
      <c r="H128" s="3352"/>
      <c r="I128" s="3352"/>
      <c r="AA128" s="682"/>
    </row>
    <row r="129" spans="1:35" ht="21.75" customHeight="1">
      <c r="A129" s="1684" t="s">
        <v>1451</v>
      </c>
      <c r="B129" s="1685"/>
      <c r="C129" s="1686" t="s">
        <v>1452</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1453</v>
      </c>
      <c r="G135" s="1699"/>
      <c r="H135" s="1699"/>
      <c r="I135" s="1700" t="s">
        <v>1454</v>
      </c>
    </row>
    <row r="136" spans="1:35" ht="21.75" customHeight="1">
      <c r="A136" s="682"/>
      <c r="B136" s="1701"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1456</v>
      </c>
    </row>
    <row r="139" spans="1:35" ht="21.75" customHeight="1">
      <c r="A139" s="682"/>
      <c r="B139" s="1701" t="s">
        <v>1457</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1456</v>
      </c>
    </row>
    <row r="142" spans="1:35" ht="21.75" customHeight="1">
      <c r="A142" s="682"/>
      <c r="B142" s="1701"/>
      <c r="C142" s="1702"/>
      <c r="D142" s="1703"/>
      <c r="E142" s="1703"/>
      <c r="F142" s="1607"/>
      <c r="G142" s="682"/>
      <c r="H142" s="682"/>
      <c r="I142" s="682"/>
    </row>
    <row r="143" spans="1:35" s="121"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77" priority="3" stopIfTrue="1">
      <formula>$H$88&lt;&gt;"仅含出让金"</formula>
    </cfRule>
  </conditionalFormatting>
  <conditionalFormatting sqref="C91">
    <cfRule type="expression" dxfId="76" priority="2" stopIfTrue="1">
      <formula>$H$91="由企业提供"</formula>
    </cfRule>
  </conditionalFormatting>
  <conditionalFormatting sqref="C5:D7">
    <cfRule type="cellIs" dxfId="75" priority="6" stopIfTrue="1" operator="equal">
      <formula>25</formula>
    </cfRule>
  </conditionalFormatting>
  <conditionalFormatting sqref="C8:D13">
    <cfRule type="cellIs" dxfId="74" priority="5" stopIfTrue="1" operator="equal">
      <formula>15</formula>
    </cfRule>
  </conditionalFormatting>
  <conditionalFormatting sqref="C14:D16">
    <cfRule type="cellIs" dxfId="73" priority="4" stopIfTrue="1" operator="equal">
      <formula>30</formula>
    </cfRule>
  </conditionalFormatting>
  <conditionalFormatting sqref="E36">
    <cfRule type="expression" dxfId="72" priority="1" stopIfTrue="1">
      <formula>$D$36="同一抵押权人同一抵押物续贷"</formula>
    </cfRule>
  </conditionalFormatting>
  <dataValidations count="23">
    <dataValidation type="list" allowBlank="1" showInputMessage="1" showErrorMessage="1" sqref="C4:D4 D33" xr:uid="{00000000-0002-0000-2B00-000000000000}">
      <formula1>估价方法</formula1>
    </dataValidation>
    <dataValidation type="list" allowBlank="1" showInputMessage="1" showErrorMessage="1" sqref="H55:H56" xr:uid="{00000000-0002-0000-2B00-000001000000}">
      <formula1>"个人住宅,正常"</formula1>
    </dataValidation>
    <dataValidation type="list" allowBlank="1" showInputMessage="1" showErrorMessage="1" sqref="H48" xr:uid="{00000000-0002-0000-2B00-000002000000}">
      <formula1>"情况1,情况2,情况3,情况4"</formula1>
    </dataValidation>
    <dataValidation type="list" allowBlank="1" showInputMessage="1" showErrorMessage="1" sqref="H58" xr:uid="{00000000-0002-0000-2B00-000003000000}">
      <formula1>"转让取得,自行开发建设"</formula1>
    </dataValidation>
    <dataValidation type="list" allowBlank="1" showInputMessage="1" showErrorMessage="1" sqref="D32" xr:uid="{00000000-0002-0000-2B00-000004000000}">
      <formula1>"总价,楼面单价"</formula1>
    </dataValidation>
    <dataValidation type="list" allowBlank="1" showInputMessage="1" showErrorMessage="1" sqref="F45" xr:uid="{00000000-0002-0000-2B00-000005000000}">
      <formula1>"100%,70%,56%"</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H91" xr:uid="{00000000-0002-0000-2B00-000007000000}">
      <formula1>"企业提供（在右侧录入）,——"</formula1>
    </dataValidation>
    <dataValidation type="list" allowBlank="1" showInputMessage="1" showErrorMessage="1" sqref="H88" xr:uid="{00000000-0002-0000-2B00-000008000000}">
      <formula1>"仅含出让金,出让金+开发费"</formula1>
    </dataValidation>
    <dataValidation type="list" allowBlank="1" showInputMessage="1" showErrorMessage="1" sqref="F75" xr:uid="{00000000-0002-0000-2B00-000009000000}">
      <formula1>"买卖合同,购房发票"</formula1>
    </dataValidation>
    <dataValidation type="list" allowBlank="1" showInputMessage="1" showErrorMessage="1" sqref="D36" xr:uid="{00000000-0002-0000-2B00-00000A000000}">
      <formula1>"同一抵押权人同一抵押物续贷,注销后放款,正常操作"</formula1>
    </dataValidation>
    <dataValidation type="list" allowBlank="1" showInputMessage="1" showErrorMessage="1" sqref="B116:B117" xr:uid="{00000000-0002-0000-2B00-00000B000000}">
      <formula1>"建筑面积,规划建筑面积,（规划）建筑面积"</formula1>
    </dataValidation>
    <dataValidation type="list" allowBlank="1" showInputMessage="1" showErrorMessage="1" sqref="C116:C117" xr:uid="{00000000-0002-0000-2B00-00000C000000}">
      <formula1>"土地面积,分摊土地面积,（分摊）土地面积"</formula1>
    </dataValidation>
    <dataValidation type="list" allowBlank="1" showInputMessage="1" showErrorMessage="1" sqref="D116:E116" xr:uid="{00000000-0002-0000-2B00-00000D000000}">
      <formula1>"出让国有建设用地使用权价值,划拨国有建设用地使用权价值"</formula1>
    </dataValidation>
    <dataValidation type="list" allowBlank="1" showInputMessage="1" showErrorMessage="1" sqref="F116:G116" xr:uid="{00000000-0002-0000-2B00-00000E000000}">
      <formula1>"建筑物价值,在建建筑物价值,建筑物/在建建筑物价值"</formula1>
    </dataValidation>
    <dataValidation type="list" allowBlank="1" showInputMessage="1" showErrorMessage="1" sqref="C129" xr:uid="{00000000-0002-0000-2B00-00000F000000}">
      <formula1>"无,有"</formula1>
    </dataValidation>
    <dataValidation type="list" showInputMessage="1" showErrorMessage="1" sqref="G1" xr:uid="{00000000-0002-0000-2B00-000010000000}">
      <formula1>"现房,在建,土地,-"</formula1>
    </dataValidation>
    <dataValidation type="list" allowBlank="1" showInputMessage="1" showErrorMessage="1" sqref="I1" xr:uid="{00000000-0002-0000-2B00-000011000000}">
      <formula1>"项目局部,项目全部,——"</formula1>
    </dataValidation>
    <dataValidation type="list" allowBlank="1" showInputMessage="1" showErrorMessage="1" sqref="C1" xr:uid="{00000000-0002-0000-2B00-000012000000}">
      <formula1>项目类型</formula1>
    </dataValidation>
    <dataValidation type="list" allowBlank="1" showInputMessage="1" showErrorMessage="1" sqref="G77" xr:uid="{00000000-0002-0000-2B00-000013000000}">
      <formula1>"个人住宅,2016年5月1日前购买,2016年5月1日后购买"</formula1>
    </dataValidation>
    <dataValidation type="list" allowBlank="1" showInputMessage="1" showErrorMessage="1" sqref="E103" xr:uid="{00000000-0002-0000-2B00-000014000000}">
      <formula1>"2.估价师知悉的法定优先受偿款,2.估价师知悉的除抵押担保权以外的法定优先受偿款"</formula1>
    </dataValidation>
    <dataValidation type="list" allowBlank="1" showInputMessage="1" showErrorMessage="1" sqref="H59" xr:uid="{00000000-0002-0000-2B00-000015000000}">
      <formula1>"非个人房产,个人住宅（满五唯一有凭证）,个人其他（有凭证）,个人其他（无凭证）"</formula1>
    </dataValidation>
    <dataValidation type="list" allowBlank="1" showInputMessage="1" showErrorMessage="1" sqref="D92" xr:uid="{00000000-0002-0000-2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67" t="s">
        <v>4422</v>
      </c>
      <c r="C1" s="1710" t="s">
        <v>1560</v>
      </c>
      <c r="D1" s="189"/>
      <c r="E1" s="189"/>
      <c r="F1" s="189"/>
      <c r="G1" s="1057">
        <f>MATCH(B1,'数据-取费表'!A6:A16,0)+5</f>
        <v>8</v>
      </c>
      <c r="H1" s="993" t="str">
        <f>IF(ISERROR(FIND("住宅",B1)),"非住宅","住宅")</f>
        <v>非住宅</v>
      </c>
    </row>
    <row r="2" spans="1:8" s="191" customFormat="1" ht="18" customHeight="1">
      <c r="A2" s="192" t="s">
        <v>1459</v>
      </c>
      <c r="B2" s="3116">
        <f ca="1">ROUND(IF(D2="——",C52/10000,C52/10000-E2),4)</f>
        <v>44.261299999999999</v>
      </c>
      <c r="C2" s="190" t="s">
        <v>1460</v>
      </c>
      <c r="D2" s="1704" t="s">
        <v>43</v>
      </c>
      <c r="E2" s="1084" t="e">
        <f ca="1">SUMIF(INDIRECT("'"&amp;G2&amp;"'"&amp;"!A:A"),"承租人权益价值",INDIRECT("'"&amp;G2&amp;"'"&amp;"!c:c"))</f>
        <v>#REF!</v>
      </c>
      <c r="F2" s="1705" t="s">
        <v>1460</v>
      </c>
      <c r="G2" s="1706"/>
    </row>
    <row r="3" spans="1:8" s="191" customFormat="1" ht="18" customHeight="1" thickBot="1">
      <c r="A3" s="194" t="s">
        <v>1461</v>
      </c>
      <c r="B3" s="195">
        <f ca="1">ROUND(B2*10000/(IF(B1="",'数据-汇总表'!E3,INDIRECT("'数据-取费表'!k"&amp;$G$1))),0)</f>
        <v>8362</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86964.3</v>
      </c>
      <c r="D5" s="202" t="s">
        <v>1466</v>
      </c>
      <c r="E5" s="203" t="s">
        <v>1467</v>
      </c>
      <c r="F5" s="203" t="s">
        <v>1468</v>
      </c>
      <c r="G5" s="204"/>
    </row>
    <row r="6" spans="1:8" s="205" customFormat="1" ht="13.5" customHeight="1">
      <c r="A6" s="728" t="s">
        <v>1469</v>
      </c>
      <c r="B6" s="206" t="s">
        <v>1470</v>
      </c>
      <c r="C6" s="207">
        <f>车位基准地价修正!C42*车位基准地价修正!D42</f>
        <v>74631.3</v>
      </c>
      <c r="D6" s="208"/>
      <c r="E6" s="209"/>
      <c r="F6" s="209"/>
      <c r="G6" s="210"/>
    </row>
    <row r="7" spans="1:8" s="205" customFormat="1" ht="13.5" customHeight="1">
      <c r="A7" s="728" t="s">
        <v>1471</v>
      </c>
      <c r="B7" s="206" t="s">
        <v>1472</v>
      </c>
      <c r="C7" s="211">
        <f>ROUND(C6*F7,0)</f>
        <v>2276</v>
      </c>
      <c r="D7" s="211"/>
      <c r="E7" s="209"/>
      <c r="F7" s="212">
        <f>IF(项目基本情况!B8="出让",0,'数据-取费表'!B48+'数据-取费表'!B49)</f>
        <v>3.0499999999999999E-2</v>
      </c>
      <c r="G7" s="210"/>
    </row>
    <row r="8" spans="1:8" s="214" customFormat="1">
      <c r="A8" s="728" t="s">
        <v>1473</v>
      </c>
      <c r="B8" s="206" t="s">
        <v>1474</v>
      </c>
      <c r="C8" s="211">
        <f ca="1">IF(G8="已包含在土地购买价格中",0,C9+C10)</f>
        <v>10057</v>
      </c>
      <c r="D8" s="213"/>
      <c r="E8" s="211"/>
      <c r="F8" s="212"/>
      <c r="G8" s="1707" t="s">
        <v>4166</v>
      </c>
    </row>
    <row r="9" spans="1:8" s="205" customFormat="1" ht="13.5" customHeight="1">
      <c r="A9" s="729" t="s">
        <v>355</v>
      </c>
      <c r="B9" s="215" t="s">
        <v>1475</v>
      </c>
      <c r="C9" s="216">
        <f ca="1">ROUND(D9*E9,0)</f>
        <v>0</v>
      </c>
      <c r="D9" s="791">
        <f ca="1">IF(B1="",'数据-汇总表'!E5,IF(INDIRECT("'数据-取费表'!c"&amp;$G$1)="住宅",INDIRECT("'数据-取费表'!k"&amp;$G$1),0))</f>
        <v>0</v>
      </c>
      <c r="E9" s="216">
        <f>'数据-取费表'!B27</f>
        <v>150</v>
      </c>
      <c r="F9" s="212"/>
      <c r="G9" s="217"/>
    </row>
    <row r="10" spans="1:8" s="205" customFormat="1" ht="13.5" customHeight="1">
      <c r="A10" s="729" t="s">
        <v>356</v>
      </c>
      <c r="B10" s="215" t="s">
        <v>1477</v>
      </c>
      <c r="C10" s="216">
        <f ca="1">ROUND(D10*E10,0)</f>
        <v>10057</v>
      </c>
      <c r="D10" s="791">
        <f ca="1">IF(B1="",'数据-汇总表'!E6,IF(INDIRECT("'数据-取费表'!c"&amp;$G$1)="住宅",INDIRECT("'数据-取费表'!s"&amp;$G$1),INDIRECT("'数据-取费表'!k"&amp;$G$1)+INDIRECT("'数据-取费表'!s"&amp;$G$1)))</f>
        <v>52.93</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t="str">
        <f>IF(G19="已包含在土地取得成本中","0",ROUND(D19*E19,0))</f>
        <v>0</v>
      </c>
      <c r="D19" s="203">
        <f ca="1">D9+D10</f>
        <v>52.93</v>
      </c>
      <c r="E19" s="202">
        <f>'数据-取费表'!B31</f>
        <v>200</v>
      </c>
      <c r="F19" s="222"/>
      <c r="G19" s="1707" t="s">
        <v>4168</v>
      </c>
    </row>
    <row r="20" spans="1:7" s="205" customFormat="1" ht="13.5" customHeight="1">
      <c r="A20" s="246" t="s">
        <v>1571</v>
      </c>
      <c r="B20" s="201" t="s">
        <v>1572</v>
      </c>
      <c r="C20" s="223">
        <f ca="1">ROUND((C5+C19)*F20,0)</f>
        <v>2174</v>
      </c>
      <c r="D20" s="223"/>
      <c r="E20" s="223"/>
      <c r="F20" s="224">
        <f>'数据-取费表'!B37</f>
        <v>2.5000000000000001E-2</v>
      </c>
      <c r="G20" s="225" t="s">
        <v>1573</v>
      </c>
    </row>
    <row r="21" spans="1:7" s="205" customFormat="1" ht="13.5" customHeight="1">
      <c r="A21" s="246" t="s">
        <v>1574</v>
      </c>
      <c r="B21" s="201" t="s">
        <v>1575</v>
      </c>
      <c r="C21" s="226">
        <f>F21</f>
        <v>2.5000000000000001E-2</v>
      </c>
      <c r="D21" s="227" t="s">
        <v>1576</v>
      </c>
      <c r="E21" s="223"/>
      <c r="F21" s="224">
        <f>'数据-取费表'!B38</f>
        <v>2.5000000000000001E-2</v>
      </c>
      <c r="G21" s="225" t="s">
        <v>1577</v>
      </c>
    </row>
    <row r="22" spans="1:7" s="205" customFormat="1" ht="13.5" customHeight="1">
      <c r="A22" s="246" t="s">
        <v>1578</v>
      </c>
      <c r="B22" s="201" t="s">
        <v>1579</v>
      </c>
      <c r="C22" s="223">
        <f ca="1">ROUND(SUM(C23:C25),0)</f>
        <v>7790</v>
      </c>
      <c r="D22" s="226">
        <f ca="1">C26</f>
        <v>1.1000000000000001E-3</v>
      </c>
      <c r="E22" s="227" t="s">
        <v>1576</v>
      </c>
      <c r="F22" s="228">
        <f ca="1">'数据-取费表'!B40</f>
        <v>3.4500000000000003E-2</v>
      </c>
      <c r="G22" s="225" t="str">
        <f>IF('数据-取费表'!B22&lt;=1,"单利计息","复利计息")</f>
        <v>复利计息</v>
      </c>
    </row>
    <row r="23" spans="1:7" s="205" customFormat="1" ht="13.5" customHeight="1">
      <c r="A23" s="730" t="s">
        <v>1469</v>
      </c>
      <c r="B23" s="206" t="s">
        <v>1580</v>
      </c>
      <c r="C23" s="229">
        <f ca="1">ROUND(IF('数据-取费表'!B22&lt;=1,C5*F22*'数据-取费表'!B22,C5*(POWER((1+F22),'数据-取费表'!B22)-1)),0)</f>
        <v>7696</v>
      </c>
      <c r="D23" s="229"/>
      <c r="E23" s="229"/>
      <c r="F23" s="230"/>
      <c r="G23" s="231" t="s">
        <v>1581</v>
      </c>
    </row>
    <row r="24" spans="1:7" s="205" customFormat="1" ht="13.5" customHeight="1">
      <c r="A24" s="730" t="s">
        <v>1471</v>
      </c>
      <c r="B24" s="206" t="s">
        <v>1582</v>
      </c>
      <c r="C24" s="229">
        <f ca="1">ROUND(IF('数据-取费表'!B22&lt;=1,C19*F22*('数据-取费表'!B19/2+'数据-取费表'!B20),C19*(POWER((1+F22),('数据-取费表'!B19/2+'数据-取费表'!B20))-1)),0)</f>
        <v>0</v>
      </c>
      <c r="D24" s="229"/>
      <c r="E24" s="229"/>
      <c r="F24" s="230"/>
      <c r="G24" s="231" t="s">
        <v>1583</v>
      </c>
    </row>
    <row r="25" spans="1:7" s="205" customFormat="1" ht="24">
      <c r="A25" s="730" t="s">
        <v>1473</v>
      </c>
      <c r="B25" s="206" t="s">
        <v>1584</v>
      </c>
      <c r="C25" s="229">
        <f ca="1">ROUND(IF('数据-取费表'!B22&lt;=1,C20*F22*'数据-取费表'!B22/2,C20*(POWER((1+F22),'数据-取费表'!B22/2)-1)),0)</f>
        <v>94</v>
      </c>
      <c r="D25" s="229"/>
      <c r="E25" s="232"/>
      <c r="F25" s="230"/>
      <c r="G25" s="233" t="s">
        <v>1585</v>
      </c>
    </row>
    <row r="26" spans="1:7" s="205" customFormat="1">
      <c r="A26" s="730" t="s">
        <v>350</v>
      </c>
      <c r="B26" s="206" t="s">
        <v>1508</v>
      </c>
      <c r="C26" s="229">
        <f ca="1">ROUND(IF('数据-取费表'!B22&lt;=1,F21*F22*'数据-取费表'!B22/2,F21*(POWER((1+F22),'数据-取费表'!B22/2)-1)),4)</f>
        <v>1.1000000000000001E-3</v>
      </c>
      <c r="D26" s="229"/>
      <c r="E26" s="232"/>
      <c r="F26" s="230"/>
      <c r="G26" s="234"/>
    </row>
    <row r="27" spans="1:7" s="205" customFormat="1" ht="24.75">
      <c r="A27" s="246" t="s">
        <v>1509</v>
      </c>
      <c r="B27" s="235" t="s">
        <v>1510</v>
      </c>
      <c r="C27" s="236">
        <f ca="1">C28</f>
        <v>4457</v>
      </c>
      <c r="D27" s="226">
        <f ca="1">C29</f>
        <v>1.2999999999999999E-3</v>
      </c>
      <c r="E27" s="227" t="s">
        <v>1511</v>
      </c>
      <c r="F27" s="237">
        <f ca="1">IF(B1="",'数据-取费表'!Q16,INDIRECT("'数据-取费表'!q"&amp;$G$1))</f>
        <v>0.05</v>
      </c>
      <c r="G27" s="238" t="s">
        <v>1512</v>
      </c>
    </row>
    <row r="28" spans="1:7" s="205" customFormat="1" ht="13.5" customHeight="1">
      <c r="A28" s="730" t="s">
        <v>346</v>
      </c>
      <c r="B28" s="239" t="s">
        <v>1513</v>
      </c>
      <c r="C28" s="240">
        <f ca="1">ROUND((C5+C19+C20)*F27,0)</f>
        <v>4457</v>
      </c>
      <c r="D28" s="226"/>
      <c r="E28" s="227"/>
      <c r="F28" s="237"/>
      <c r="G28" s="238"/>
    </row>
    <row r="29" spans="1:7" s="205" customFormat="1" ht="13.5" customHeight="1">
      <c r="A29" s="730" t="s">
        <v>347</v>
      </c>
      <c r="B29" s="239" t="s">
        <v>1514</v>
      </c>
      <c r="C29" s="229">
        <f ca="1">ROUND(C21*F27,4)</f>
        <v>1.2999999999999999E-3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110177</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278545</v>
      </c>
      <c r="D33" s="223"/>
      <c r="E33" s="203"/>
      <c r="F33" s="232"/>
      <c r="G33" s="225"/>
    </row>
    <row r="34" spans="1:7" s="249" customFormat="1" ht="13.5" customHeight="1">
      <c r="A34" s="730" t="s">
        <v>346</v>
      </c>
      <c r="B34" s="206" t="s">
        <v>1522</v>
      </c>
      <c r="C34" s="211">
        <f ca="1">ROUND(IF(B1="",SUMPRODUCT('数据-取费表'!K6:K14,'数据-取费表'!L6:L14),INDIRECT("'数据-取费表'!l"&amp;$G$1)*INDIRECT("'数据-取费表'!k"&amp;$G$1)+'数据-取费表'!L14*INDIRECT("'数据-取费表'!S"&amp;$G$1)),0)</f>
        <v>238185</v>
      </c>
      <c r="D34" s="208"/>
      <c r="E34" s="211"/>
      <c r="F34" s="248"/>
      <c r="G34" s="210"/>
    </row>
    <row r="35" spans="1:7" ht="13.5" customHeight="1">
      <c r="A35" s="730" t="s">
        <v>351</v>
      </c>
      <c r="B35" s="206" t="s">
        <v>1524</v>
      </c>
      <c r="C35" s="211">
        <f ca="1">ROUND(C34*F35,0)</f>
        <v>23819</v>
      </c>
      <c r="D35" s="211"/>
      <c r="E35" s="211"/>
      <c r="F35" s="250">
        <f>'数据-取费表'!B33</f>
        <v>0.1</v>
      </c>
      <c r="G35" s="210" t="s">
        <v>1525</v>
      </c>
    </row>
    <row r="36" spans="1:7" ht="24">
      <c r="A36" s="730"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30" t="s">
        <v>353</v>
      </c>
      <c r="B37" s="206" t="s">
        <v>1528</v>
      </c>
      <c r="C37" s="240">
        <f ca="1">ROUND(E37*D37,0)</f>
        <v>10586</v>
      </c>
      <c r="D37" s="208">
        <f ca="1">D19</f>
        <v>52.93</v>
      </c>
      <c r="E37" s="240">
        <f>'数据-取费表'!B35</f>
        <v>200</v>
      </c>
      <c r="F37" s="250"/>
      <c r="G37" s="252"/>
    </row>
    <row r="38" spans="1:7" ht="13.5" customHeight="1">
      <c r="A38" s="730" t="s">
        <v>354</v>
      </c>
      <c r="B38" s="206" t="s">
        <v>1530</v>
      </c>
      <c r="C38" s="211">
        <f ca="1">ROUND(C34*F38,0)</f>
        <v>5955</v>
      </c>
      <c r="D38" s="211"/>
      <c r="E38" s="211"/>
      <c r="F38" s="250">
        <f>'数据-取费表'!B36</f>
        <v>2.5000000000000001E-2</v>
      </c>
      <c r="G38" s="210" t="s">
        <v>1525</v>
      </c>
    </row>
    <row r="39" spans="1:7" s="205" customFormat="1" ht="13.5" customHeight="1">
      <c r="A39" s="246" t="s">
        <v>1531</v>
      </c>
      <c r="B39" s="201" t="s">
        <v>1532</v>
      </c>
      <c r="C39" s="223">
        <f ca="1">ROUND(C33*F20,0)</f>
        <v>6964</v>
      </c>
      <c r="D39" s="223"/>
      <c r="E39" s="223"/>
      <c r="F39" s="224">
        <f>F20</f>
        <v>2.5000000000000001E-2</v>
      </c>
      <c r="G39" s="225" t="s">
        <v>1533</v>
      </c>
    </row>
    <row r="40" spans="1:7" s="205" customFormat="1" ht="13.5" customHeight="1">
      <c r="A40" s="246" t="s">
        <v>1534</v>
      </c>
      <c r="B40" s="201" t="s">
        <v>1535</v>
      </c>
      <c r="C40" s="226">
        <f>F21</f>
        <v>2.5000000000000001E-2</v>
      </c>
      <c r="D40" s="227" t="s">
        <v>1536</v>
      </c>
      <c r="E40" s="223"/>
      <c r="F40" s="224">
        <f>F21</f>
        <v>2.5000000000000001E-2</v>
      </c>
      <c r="G40" s="225" t="s">
        <v>1537</v>
      </c>
    </row>
    <row r="41" spans="1:7" s="205" customFormat="1" ht="13.5" customHeight="1">
      <c r="A41" s="246" t="s">
        <v>1538</v>
      </c>
      <c r="B41" s="201" t="s">
        <v>1539</v>
      </c>
      <c r="C41" s="223">
        <f ca="1">ROUND(SUM(C42:C43),0)</f>
        <v>12366</v>
      </c>
      <c r="D41" s="226">
        <f ca="1">C44</f>
        <v>1.1000000000000001E-3</v>
      </c>
      <c r="E41" s="227" t="s">
        <v>1536</v>
      </c>
      <c r="F41" s="228">
        <f ca="1">F22</f>
        <v>3.4500000000000003E-2</v>
      </c>
      <c r="G41" s="225" t="str">
        <f>IF('数据-取费表'!B22&lt;=1,"单利计息","复利计息")</f>
        <v>复利计息</v>
      </c>
    </row>
    <row r="42" spans="1:7" ht="13.5" customHeight="1">
      <c r="A42" s="730" t="s">
        <v>346</v>
      </c>
      <c r="B42" s="206" t="s">
        <v>1540</v>
      </c>
      <c r="C42" s="229">
        <f ca="1">ROUND(IF('数据-取费表'!B22&lt;=1,C33*F22*'数据-取费表'!B20/2,C33*(POWER((1+F22),'数据-取费表'!B20/2)-1)),0)</f>
        <v>12064</v>
      </c>
      <c r="D42" s="229"/>
      <c r="E42" s="229"/>
      <c r="F42" s="230"/>
      <c r="G42" s="3385" t="s">
        <v>1588</v>
      </c>
    </row>
    <row r="43" spans="1:7" ht="13.5" customHeight="1">
      <c r="A43" s="730" t="s">
        <v>347</v>
      </c>
      <c r="B43" s="206" t="s">
        <v>1542</v>
      </c>
      <c r="C43" s="229">
        <f ca="1">ROUND(IF('数据-取费表'!B22&lt;=1,C39*F22*'数据-取费表'!B20/2,C39*(POWER((1+F22),'数据-取费表'!B20/2)-1)),0)</f>
        <v>302</v>
      </c>
      <c r="D43" s="229"/>
      <c r="E43" s="229"/>
      <c r="F43" s="230"/>
      <c r="G43" s="3386"/>
    </row>
    <row r="44" spans="1:7" ht="13.5" customHeight="1">
      <c r="A44" s="730" t="s">
        <v>348</v>
      </c>
      <c r="B44" s="206" t="s">
        <v>1543</v>
      </c>
      <c r="C44" s="229">
        <f ca="1">ROUND(IF('数据-取费表'!B22&lt;=1,C40*F22*'数据-取费表'!B20/2,C40*(POWER((1+F22),'数据-取费表'!B20/2)-1)),4)</f>
        <v>1.1000000000000001E-3</v>
      </c>
      <c r="D44" s="229"/>
      <c r="E44" s="229"/>
      <c r="F44" s="230"/>
      <c r="G44" s="3387"/>
    </row>
    <row r="45" spans="1:7" s="205" customFormat="1" ht="13.5" customHeight="1">
      <c r="A45" s="246" t="s">
        <v>1544</v>
      </c>
      <c r="B45" s="235" t="s">
        <v>1510</v>
      </c>
      <c r="C45" s="236">
        <f ca="1">C46</f>
        <v>14275</v>
      </c>
      <c r="D45" s="226">
        <f ca="1">C47</f>
        <v>1.2999999999999999E-3</v>
      </c>
      <c r="E45" s="227" t="s">
        <v>1536</v>
      </c>
      <c r="F45" s="237">
        <f ca="1">F27</f>
        <v>0.05</v>
      </c>
      <c r="G45" s="238" t="s">
        <v>1545</v>
      </c>
    </row>
    <row r="46" spans="1:7" s="205" customFormat="1" ht="13.5" customHeight="1">
      <c r="A46" s="730" t="s">
        <v>346</v>
      </c>
      <c r="B46" s="239" t="s">
        <v>1546</v>
      </c>
      <c r="C46" s="240">
        <f ca="1">ROUND((C33+C39)*F27,0)</f>
        <v>14275</v>
      </c>
      <c r="D46" s="254"/>
      <c r="E46" s="227"/>
      <c r="F46" s="237"/>
      <c r="G46" s="238"/>
    </row>
    <row r="47" spans="1:7" s="205" customFormat="1" ht="13.5" customHeight="1">
      <c r="A47" s="730" t="s">
        <v>347</v>
      </c>
      <c r="B47" s="239" t="s">
        <v>1547</v>
      </c>
      <c r="C47" s="229">
        <f ca="1">ROUND(C40*F27,4)</f>
        <v>1.2999999999999999E-3</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339220</v>
      </c>
      <c r="D49" s="223"/>
      <c r="E49" s="223"/>
      <c r="F49" s="255"/>
      <c r="G49" s="225" t="s">
        <v>1551</v>
      </c>
    </row>
    <row r="50" spans="1:7" s="249" customFormat="1">
      <c r="A50" s="246" t="s">
        <v>1552</v>
      </c>
      <c r="B50" s="201" t="s">
        <v>1553</v>
      </c>
      <c r="C50" s="223"/>
      <c r="D50" s="223"/>
      <c r="E50" s="223"/>
      <c r="F50" s="255">
        <f>IF('数据-取费表'!B24=0,'数据-取费表'!N16,1)</f>
        <v>0.98</v>
      </c>
      <c r="G50" s="238"/>
    </row>
    <row r="51" spans="1:7" ht="16.5" customHeight="1">
      <c r="A51" s="246" t="s">
        <v>1555</v>
      </c>
      <c r="B51" s="201" t="s">
        <v>1590</v>
      </c>
      <c r="C51" s="223">
        <f ca="1">ROUND(C49*F50,0)</f>
        <v>332436</v>
      </c>
      <c r="D51" s="223"/>
      <c r="E51" s="223"/>
      <c r="F51" s="255"/>
      <c r="G51" s="225" t="s">
        <v>1557</v>
      </c>
    </row>
    <row r="52" spans="1:7" s="199" customFormat="1" ht="16.5" thickBot="1">
      <c r="A52" s="256" t="s">
        <v>1558</v>
      </c>
      <c r="B52" s="257"/>
      <c r="C52" s="258">
        <f ca="1">C31+C51</f>
        <v>442613</v>
      </c>
      <c r="D52" s="257"/>
      <c r="E52" s="257"/>
      <c r="F52" s="257"/>
      <c r="G52" s="259"/>
    </row>
    <row r="55" spans="1:7" ht="15">
      <c r="B55" s="261" t="s">
        <v>1559</v>
      </c>
      <c r="C55" s="262"/>
    </row>
    <row r="56" spans="1:7">
      <c r="B56" s="264" t="s">
        <v>799</v>
      </c>
      <c r="C56" s="266">
        <f ca="1">1-C57</f>
        <v>0.249</v>
      </c>
    </row>
    <row r="57" spans="1:7">
      <c r="B57" s="264" t="s">
        <v>800</v>
      </c>
      <c r="C57" s="265">
        <f ca="1">ROUND(C51/C52,3)</f>
        <v>0.751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 type="list" allowBlank="1" showInputMessage="1" showErrorMessage="1" sqref="B1" xr:uid="{00000000-0002-0000-2C00-000002000000}">
      <formula1>项目类型</formula1>
    </dataValidation>
    <dataValidation type="list" allowBlank="1" showInputMessage="1" showErrorMessage="1" sqref="G2" xr:uid="{00000000-0002-0000-2C00-000003000000}">
      <formula1>估价方法</formula1>
    </dataValidation>
    <dataValidation type="list" allowBlank="1" showInputMessage="1" showErrorMessage="1" sqref="D2" xr:uid="{00000000-0002-0000-2C00-000004000000}">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sheetPr>
  <dimension ref="A1:AK122"/>
  <sheetViews>
    <sheetView view="pageBreakPreview" zoomScale="85" zoomScaleNormal="80" zoomScaleSheetLayoutView="85" workbookViewId="0">
      <selection activeCell="D42" sqref="D42"/>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7" t="s">
        <v>1923</v>
      </c>
      <c r="B1" s="188"/>
      <c r="C1" s="192" t="s">
        <v>1924</v>
      </c>
      <c r="D1" s="332">
        <f>SUM(D33:D34,D37:D42)</f>
        <v>52.93</v>
      </c>
      <c r="E1" s="1835"/>
      <c r="F1" s="1835"/>
      <c r="G1" s="1835"/>
      <c r="H1" s="1835"/>
      <c r="I1" s="1835"/>
      <c r="J1" s="1835"/>
      <c r="K1" s="1051"/>
      <c r="L1" s="1836" t="s">
        <v>1925</v>
      </c>
      <c r="M1" s="806">
        <f>SUMPRODUCT((区片价!B5:B9=I2)*(区片价!C3:G3=E2)*(区片价!C5:G9))</f>
        <v>0</v>
      </c>
      <c r="N1" s="809">
        <f>SUMPRODUCT((因素修正幅度!B5:B9=I2)*(因素修正幅度!C3:G3=E2)*(因素修正幅度!C5:G9))</f>
        <v>0</v>
      </c>
      <c r="O1" s="1837"/>
      <c r="P1" s="1837"/>
      <c r="Q1" s="1051"/>
      <c r="R1" s="1124" t="s">
        <v>1926</v>
      </c>
      <c r="S1" s="1124" t="s">
        <v>1927</v>
      </c>
      <c r="T1" s="1124" t="s">
        <v>1928</v>
      </c>
      <c r="U1" s="1124" t="s">
        <v>1929</v>
      </c>
      <c r="V1" s="1124" t="s">
        <v>1930</v>
      </c>
      <c r="W1" s="1128"/>
      <c r="X1" s="1128"/>
      <c r="Y1" s="1128"/>
      <c r="Z1" s="1128"/>
      <c r="AA1" s="1128"/>
      <c r="AB1" s="1128"/>
      <c r="AC1" s="1129"/>
      <c r="AD1" s="1130"/>
      <c r="AE1" s="1130"/>
      <c r="AF1" s="1130"/>
      <c r="AG1" s="1130"/>
      <c r="AH1" s="1130"/>
      <c r="AI1" s="1130"/>
      <c r="AJ1" s="1131"/>
    </row>
    <row r="2" spans="1:36" ht="15.75">
      <c r="A2" s="192" t="s">
        <v>1931</v>
      </c>
      <c r="B2" s="195">
        <f>C30</f>
        <v>7</v>
      </c>
      <c r="C2" s="1839" t="s">
        <v>1932</v>
      </c>
      <c r="D2" s="161" t="s">
        <v>1933</v>
      </c>
      <c r="E2" s="3114" t="s">
        <v>21</v>
      </c>
      <c r="F2" s="161" t="s">
        <v>1934</v>
      </c>
      <c r="G2" s="162" t="str">
        <f>IF(E2="商业",项目基本情况!B37,IF(E2="办公",项目基本情况!C37,IF(E2="住宅",项目基本情况!D37,IF(E2="工业",项目基本情况!E37,项目基本情况!F37))))</f>
        <v>七级</v>
      </c>
      <c r="H2" s="161" t="s">
        <v>1935</v>
      </c>
      <c r="I2" s="162" t="str">
        <f>IF(E2="商业",项目基本情况!B38,IF(E2="办公",项目基本情况!C38,IF(E2="住宅",项目基本情况!D38,IF(E2="工业",项目基本情况!E38,项目基本情况!F38))))</f>
        <v>Ⅶ-昌3</v>
      </c>
      <c r="J2" s="1835"/>
      <c r="K2" s="1051"/>
      <c r="L2" s="1840" t="s">
        <v>1936</v>
      </c>
      <c r="M2" s="807">
        <f>SUMPRODUCT((区片价!B10:B29=I2)*(区片价!C3:G3=E2)*(区片价!C10:G29))</f>
        <v>0</v>
      </c>
      <c r="N2" s="809">
        <f>SUMPRODUCT((因素修正幅度!B10:B29=I2)*(因素修正幅度!C3:G3=E2)*(因素修正幅度!C10:G29))</f>
        <v>0</v>
      </c>
      <c r="O2" s="1051"/>
      <c r="P2" s="1051"/>
      <c r="Q2" s="1051"/>
      <c r="R2" s="1124">
        <v>1</v>
      </c>
      <c r="S2" s="3057">
        <f>ROUND(SUMPRODUCT((B106:B110=R2)*(C105:N105=G2)*(C106:N110)),4)</f>
        <v>1.5019</v>
      </c>
      <c r="T2" s="3057">
        <f t="shared" ref="T2:T16" si="0">ROUND($C$5*$C$22*$C$23*$C$24*S2*$C$28,0)</f>
        <v>14828</v>
      </c>
      <c r="U2" s="1125"/>
      <c r="V2" s="3057">
        <f>ROUND(T2*U2/10000,0)</f>
        <v>0</v>
      </c>
      <c r="W2" s="1128"/>
      <c r="X2" s="1128"/>
      <c r="Y2" s="1128"/>
      <c r="Z2" s="1128"/>
      <c r="AA2" s="1128"/>
      <c r="AB2" s="1128"/>
      <c r="AC2" s="1129"/>
      <c r="AD2" s="1130"/>
      <c r="AE2" s="1130"/>
      <c r="AF2" s="1130"/>
      <c r="AG2" s="1130"/>
      <c r="AH2" s="1130"/>
      <c r="AI2" s="1130"/>
      <c r="AJ2" s="1131"/>
    </row>
    <row r="3" spans="1:36" ht="15.75">
      <c r="A3" s="194" t="s">
        <v>1937</v>
      </c>
      <c r="B3" s="195">
        <f>ROUND(B2*10000/D1,0)</f>
        <v>1323</v>
      </c>
      <c r="C3" s="1839" t="s">
        <v>1938</v>
      </c>
      <c r="D3" s="161" t="s">
        <v>1939</v>
      </c>
      <c r="E3" s="3112" t="s">
        <v>4419</v>
      </c>
      <c r="F3" s="1841" t="s">
        <v>4163</v>
      </c>
      <c r="G3" s="704">
        <f>IF(F3="宗地容积率",'数据-汇总表'!I4,IF(F3="估价对象容积率",'数据-汇总表'!I6,'数据-汇总表'!I7))</f>
        <v>6.2</v>
      </c>
      <c r="H3" s="161" t="s">
        <v>1940</v>
      </c>
      <c r="I3" s="725"/>
      <c r="J3" s="1835" t="s">
        <v>1941</v>
      </c>
      <c r="K3" s="1051"/>
      <c r="L3" s="1840" t="s">
        <v>1942</v>
      </c>
      <c r="M3" s="807">
        <f>SUMPRODUCT((区片价!B30:B54=I2)*(区片价!C3:G3=E2)*(区片价!C30:G54))</f>
        <v>0</v>
      </c>
      <c r="N3" s="809">
        <f>SUMPRODUCT((因素修正幅度!B30:B54=I2)*(因素修正幅度!C3:G3=E2)*(因素修正幅度!C30:G54))</f>
        <v>0</v>
      </c>
      <c r="O3" s="1051"/>
      <c r="P3" s="1051"/>
      <c r="Q3" s="1051"/>
      <c r="R3" s="1124">
        <v>2</v>
      </c>
      <c r="S3" s="3057">
        <f>ROUND(SUMPRODUCT((B106:B110=R3)*(C105:N105=G2)*(C106:N110)),4)</f>
        <v>1.1838</v>
      </c>
      <c r="T3" s="3057">
        <f t="shared" si="0"/>
        <v>11687</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395"/>
      <c r="B4" s="3396"/>
      <c r="C4" s="3396"/>
      <c r="D4" s="3397"/>
      <c r="E4" s="3397"/>
      <c r="F4" s="3397"/>
      <c r="G4" s="3397"/>
      <c r="H4" s="3397"/>
      <c r="I4" s="3397"/>
      <c r="J4" s="3398"/>
      <c r="K4" s="1051"/>
      <c r="L4" s="1840" t="s">
        <v>1943</v>
      </c>
      <c r="M4" s="807">
        <f>SUMPRODUCT((区片价!B55:B86=I2)*(区片价!C3:G3=E2)*(区片价!C55:G86))</f>
        <v>0</v>
      </c>
      <c r="N4" s="809">
        <f>SUMPRODUCT((因素修正幅度!B55:B86=I2)*(因素修正幅度!C3:G3=E2)*(因素修正幅度!C55:G86))</f>
        <v>0</v>
      </c>
      <c r="O4" s="1051"/>
      <c r="P4" s="1051"/>
      <c r="Q4" s="1051"/>
      <c r="R4" s="1124">
        <v>3</v>
      </c>
      <c r="S4" s="3057">
        <f>ROUND(SUMPRODUCT((B106:B110=R4)*(C105:N105=G2)*(C106:N110)),4)</f>
        <v>1.0004999999999999</v>
      </c>
      <c r="T4" s="3057">
        <f t="shared" si="0"/>
        <v>9878</v>
      </c>
      <c r="U4" s="1125"/>
      <c r="V4" s="3057">
        <f t="shared" si="1"/>
        <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1944</v>
      </c>
      <c r="C5" s="705">
        <f>ROUND(IF(E2="商业",C6*C7*C17+C20,(IF(E2="住宅",C6*C13*C17+C20,IF(E2="办公",C6*C12*C17+C20,C6+C20)))),0)</f>
        <v>9429</v>
      </c>
      <c r="D5" s="1245">
        <f>ROUND(C6*C17+C20,0)</f>
        <v>8980</v>
      </c>
      <c r="E5" s="1245"/>
      <c r="F5" s="1844"/>
      <c r="G5" s="1845"/>
      <c r="H5" s="1845"/>
      <c r="I5" s="1845"/>
      <c r="J5" s="1846"/>
      <c r="K5" s="1847"/>
      <c r="L5" s="1840" t="s">
        <v>1945</v>
      </c>
      <c r="M5" s="807">
        <f>SUMPRODUCT((区片价!B87:B126=I2)*(区片价!C3:G3=E2)*(区片价!C87:G126))</f>
        <v>0</v>
      </c>
      <c r="N5" s="809">
        <f>SUMPRODUCT((因素修正幅度!B87:B126=I2)*(因素修正幅度!C3:G3=E2)*(因素修正幅度!C87:G126))</f>
        <v>0</v>
      </c>
      <c r="O5" s="1051"/>
      <c r="P5" s="1051"/>
      <c r="Q5" s="1051"/>
      <c r="R5" s="1124">
        <v>4</v>
      </c>
      <c r="S5" s="3057">
        <f>ROUND(SUMPRODUCT((B106:B110=R5)*(C105:N105=G2)*(C106:N110)),4)</f>
        <v>0.88239999999999996</v>
      </c>
      <c r="T5" s="3057">
        <f t="shared" si="0"/>
        <v>8712</v>
      </c>
      <c r="U5" s="1125"/>
      <c r="V5" s="3057">
        <f t="shared" si="1"/>
        <v>0</v>
      </c>
      <c r="W5" s="1128"/>
      <c r="X5" s="1128"/>
      <c r="Y5" s="1128"/>
      <c r="Z5" s="1128"/>
      <c r="AA5" s="1128"/>
      <c r="AB5" s="1128"/>
      <c r="AC5" s="1848"/>
      <c r="AD5" s="1849"/>
      <c r="AE5" s="1849"/>
      <c r="AF5" s="1849"/>
      <c r="AG5" s="1849"/>
      <c r="AH5" s="1849"/>
      <c r="AI5" s="1849"/>
      <c r="AJ5" s="1850"/>
    </row>
    <row r="6" spans="1:36" ht="15.75" thickBot="1">
      <c r="A6" s="1852" t="s">
        <v>1946</v>
      </c>
      <c r="B6" s="1853" t="s">
        <v>1947</v>
      </c>
      <c r="C6" s="706">
        <f>SUMIF(L1:L12,G2,M1:M12)</f>
        <v>8980</v>
      </c>
      <c r="D6" s="1854"/>
      <c r="E6" s="1855"/>
      <c r="F6" s="1855"/>
      <c r="G6" s="1856"/>
      <c r="H6" s="1856"/>
      <c r="I6" s="1856"/>
      <c r="J6" s="1857"/>
      <c r="K6" s="1285"/>
      <c r="L6" s="1840" t="s">
        <v>1948</v>
      </c>
      <c r="M6" s="807">
        <f>SUMPRODUCT((区片价!B127:B189=I2)*(区片价!C3:G3=E2)*(区片价!C127:G189))</f>
        <v>0</v>
      </c>
      <c r="N6" s="809">
        <f>SUMPRODUCT((因素修正幅度!B127:B189=I2)*(因素修正幅度!C3:G3=E2)*(因素修正幅度!C127:G189))</f>
        <v>0</v>
      </c>
      <c r="O6" s="1051"/>
      <c r="P6" s="1051"/>
      <c r="Q6" s="1051"/>
      <c r="R6" s="1124">
        <v>5</v>
      </c>
      <c r="S6" s="3057">
        <f>ROUND(SUMPRODUCT((B106:B110=R6)*(C105:N105=G2)*(C106:N110)),4)</f>
        <v>0.84799999999999998</v>
      </c>
      <c r="T6" s="3057">
        <f t="shared" si="0"/>
        <v>8372</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3226</v>
      </c>
      <c r="B7" s="1858" t="s">
        <v>1949</v>
      </c>
      <c r="C7" s="707">
        <f>IF(C8="不临65条商业街",1,ROUND(1+(1.6*E8+1.2*E9+0.8*E10+0.4*E11)*C9,4))</f>
        <v>1</v>
      </c>
      <c r="D7" s="1859" t="s">
        <v>1950</v>
      </c>
      <c r="E7" s="726"/>
      <c r="F7" s="1860"/>
      <c r="G7" s="1861"/>
      <c r="H7" s="1861"/>
      <c r="I7" s="1861"/>
      <c r="J7" s="1862"/>
      <c r="K7" s="1285"/>
      <c r="L7" s="1840" t="s">
        <v>1951</v>
      </c>
      <c r="M7" s="807">
        <f>SUMPRODUCT((区片价!B190:B233=I2)*(区片价!C3:G3=E2)*(区片价!C190:G233))</f>
        <v>8980</v>
      </c>
      <c r="N7" s="809">
        <f>SUMPRODUCT((因素修正幅度!B190:B233=I2)*(因素修正幅度!C3:G3=E2)*(因素修正幅度!C190:G233))</f>
        <v>0.13</v>
      </c>
      <c r="O7" s="1051"/>
      <c r="P7" s="1051"/>
      <c r="Q7" s="1051"/>
      <c r="R7" s="1124">
        <v>6</v>
      </c>
      <c r="S7" s="3111"/>
      <c r="T7" s="3057">
        <f t="shared" si="0"/>
        <v>0</v>
      </c>
      <c r="U7" s="1125"/>
      <c r="V7" s="3057">
        <f t="shared" si="1"/>
        <v>0</v>
      </c>
      <c r="W7" s="1260" t="s">
        <v>1952</v>
      </c>
      <c r="X7" s="1126" t="str">
        <f>G2</f>
        <v>七级</v>
      </c>
      <c r="Y7" s="1126" t="s">
        <v>1953</v>
      </c>
      <c r="Z7" s="1127">
        <f>G3</f>
        <v>6.2</v>
      </c>
      <c r="AA7" s="1128"/>
      <c r="AB7" s="1128"/>
      <c r="AC7" s="1129"/>
      <c r="AD7" s="1130"/>
      <c r="AE7" s="1130"/>
      <c r="AF7" s="1130"/>
      <c r="AG7" s="1130"/>
      <c r="AH7" s="1130"/>
      <c r="AI7" s="1130"/>
      <c r="AJ7" s="1131"/>
    </row>
    <row r="8" spans="1:36" ht="25.5">
      <c r="A8" s="3003"/>
      <c r="B8" s="161" t="s">
        <v>1954</v>
      </c>
      <c r="C8" s="1863" t="s">
        <v>4160</v>
      </c>
      <c r="D8" s="708" t="s">
        <v>112</v>
      </c>
      <c r="E8" s="709" t="e">
        <f>ROUND(C11/E7,4)</f>
        <v>#DIV/0!</v>
      </c>
      <c r="F8" s="1864" t="s">
        <v>1955</v>
      </c>
      <c r="G8" s="1865"/>
      <c r="H8" s="1865"/>
      <c r="I8" s="1865"/>
      <c r="J8" s="1866"/>
      <c r="K8" s="1051"/>
      <c r="L8" s="1840" t="s">
        <v>1956</v>
      </c>
      <c r="M8" s="807">
        <f>SUMPRODUCT((区片价!B234:B276=I2)*(区片价!C3:G3=E2)*(区片价!C234:G276))</f>
        <v>0</v>
      </c>
      <c r="N8" s="809">
        <f>SUMPRODUCT((因素修正幅度!B234:B276=I2)*(因素修正幅度!C3:G3=E2)*(因素修正幅度!C234:G276))</f>
        <v>0</v>
      </c>
      <c r="O8" s="1051"/>
      <c r="P8" s="1051"/>
      <c r="Q8" s="1051"/>
      <c r="R8" s="1124">
        <v>7</v>
      </c>
      <c r="S8" s="1125"/>
      <c r="T8" s="3057">
        <f t="shared" si="0"/>
        <v>0</v>
      </c>
      <c r="U8" s="1125"/>
      <c r="V8" s="3057">
        <f t="shared" si="1"/>
        <v>0</v>
      </c>
      <c r="W8" s="3392" t="s">
        <v>1957</v>
      </c>
      <c r="X8" s="3393"/>
      <c r="Y8" s="1132" t="s">
        <v>1958</v>
      </c>
      <c r="Z8" s="1132" t="s">
        <v>1959</v>
      </c>
      <c r="AA8" s="1132" t="s">
        <v>1960</v>
      </c>
      <c r="AB8" s="1132" t="s">
        <v>1961</v>
      </c>
      <c r="AC8" s="1132" t="s">
        <v>1962</v>
      </c>
      <c r="AD8" s="1132" t="s">
        <v>1963</v>
      </c>
      <c r="AE8" s="1132" t="s">
        <v>1964</v>
      </c>
      <c r="AF8" s="1132" t="s">
        <v>1965</v>
      </c>
      <c r="AG8" s="1132" t="s">
        <v>1966</v>
      </c>
      <c r="AH8" s="1132" t="s">
        <v>1967</v>
      </c>
      <c r="AI8" s="1132" t="s">
        <v>1968</v>
      </c>
      <c r="AJ8" s="1132" t="s">
        <v>1969</v>
      </c>
    </row>
    <row r="9" spans="1:36" ht="15">
      <c r="A9" s="3003"/>
      <c r="B9" s="161" t="s">
        <v>1970</v>
      </c>
      <c r="C9" s="710">
        <f>SUMIF(修正!C71:C138,C8,修正!E71:E138)</f>
        <v>0</v>
      </c>
      <c r="D9" s="162" t="s">
        <v>113</v>
      </c>
      <c r="E9" s="162" t="e">
        <f>ROUND(C11/E7,4)</f>
        <v>#DIV/0!</v>
      </c>
      <c r="F9" s="1864" t="s">
        <v>1971</v>
      </c>
      <c r="G9" s="1865"/>
      <c r="H9" s="1865"/>
      <c r="I9" s="1865"/>
      <c r="J9" s="1866"/>
      <c r="K9" s="1051"/>
      <c r="L9" s="1840" t="s">
        <v>1972</v>
      </c>
      <c r="M9" s="807">
        <f>SUMPRODUCT((区片价!B277:B326=I2)*(区片价!C3:G3=E2)*(区片价!C277:G326))</f>
        <v>0</v>
      </c>
      <c r="N9" s="809">
        <f>SUMPRODUCT((因素修正幅度!B277:B326=I2)*(因素修正幅度!C3:G3=E2)*(因素修正幅度!C277:G326))</f>
        <v>0</v>
      </c>
      <c r="O9" s="1051"/>
      <c r="P9" s="1051"/>
      <c r="Q9" s="1051"/>
      <c r="R9" s="1124">
        <v>8</v>
      </c>
      <c r="S9" s="1125"/>
      <c r="T9" s="3057">
        <f t="shared" si="0"/>
        <v>0</v>
      </c>
      <c r="U9" s="1125"/>
      <c r="V9" s="3057">
        <f t="shared" si="1"/>
        <v>0</v>
      </c>
      <c r="W9" s="3394"/>
      <c r="X9" s="3058" t="s">
        <v>3256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4" t="s">
        <v>1974</v>
      </c>
      <c r="G10" s="1865"/>
      <c r="H10" s="1865"/>
      <c r="I10" s="1865"/>
      <c r="J10" s="1866"/>
      <c r="K10" s="1051"/>
      <c r="L10" s="1840" t="s">
        <v>1975</v>
      </c>
      <c r="M10" s="807">
        <f>SUMPRODUCT((区片价!B327:B357=I2)*(区片价!C3:G3=E2)*(区片价!C327:G357))</f>
        <v>0</v>
      </c>
      <c r="N10" s="809">
        <f>SUMPRODUCT((因素修正幅度!B327:B357=I2)*(因素修正幅度!C3:G3=E2)*(因素修正幅度!C327:G357))</f>
        <v>0</v>
      </c>
      <c r="O10" s="1051"/>
      <c r="P10" s="1051"/>
      <c r="Q10" s="1051"/>
      <c r="R10" s="1124">
        <v>9</v>
      </c>
      <c r="S10" s="1125"/>
      <c r="T10" s="3057">
        <f t="shared" si="0"/>
        <v>0</v>
      </c>
      <c r="U10" s="1125"/>
      <c r="V10" s="3057">
        <f t="shared" si="1"/>
        <v>0</v>
      </c>
      <c r="W10" s="339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1976</v>
      </c>
      <c r="C11" s="711">
        <f>C10/4</f>
        <v>0</v>
      </c>
      <c r="D11" s="711" t="s">
        <v>115</v>
      </c>
      <c r="E11" s="711" t="e">
        <f>ROUND(C11/E7,4)</f>
        <v>#DIV/0!</v>
      </c>
      <c r="F11" s="1868" t="s">
        <v>1977</v>
      </c>
      <c r="G11" s="1869"/>
      <c r="H11" s="1869"/>
      <c r="I11" s="1869"/>
      <c r="J11" s="1870"/>
      <c r="K11" s="1051"/>
      <c r="L11" s="1840" t="s">
        <v>1978</v>
      </c>
      <c r="M11" s="807">
        <f>SUMPRODUCT((区片价!B358:B377=I2)*(区片价!C3:G3=E2)*(区片价!C358:G377))</f>
        <v>0</v>
      </c>
      <c r="N11" s="809">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5" thickBot="1">
      <c r="A12" s="3006" t="s">
        <v>3227</v>
      </c>
      <c r="B12" s="3007" t="s">
        <v>3228</v>
      </c>
      <c r="C12" s="3008">
        <v>1.05</v>
      </c>
      <c r="D12" s="3009" t="s">
        <v>3229</v>
      </c>
      <c r="E12" s="3010" t="s">
        <v>3230</v>
      </c>
      <c r="F12" s="3011"/>
      <c r="G12" s="3012"/>
      <c r="H12" s="3012"/>
      <c r="I12" s="3012"/>
      <c r="J12" s="3013"/>
      <c r="K12" s="1051"/>
      <c r="L12" s="1789" t="s">
        <v>1981</v>
      </c>
      <c r="M12" s="808">
        <f>SUMPRODUCT((区片价!B378:B384=I2)*(区片价!C3:G3=E2)*(区片价!C378:G384))</f>
        <v>0</v>
      </c>
      <c r="N12" s="809">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15.75" thickBot="1">
      <c r="A13" s="3006" t="s">
        <v>3231</v>
      </c>
      <c r="B13" s="1871" t="s">
        <v>1979</v>
      </c>
      <c r="C13" s="707">
        <f>ROUND(C16*D16*E16*F16*G16*H16*I16*J16,4)</f>
        <v>0</v>
      </c>
      <c r="D13" s="1872" t="s">
        <v>1980</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15">
      <c r="A14" s="3002"/>
      <c r="B14" s="1876" t="s">
        <v>1982</v>
      </c>
      <c r="C14" s="1877" t="s">
        <v>1983</v>
      </c>
      <c r="D14" s="1254" t="s">
        <v>1984</v>
      </c>
      <c r="E14" s="27" t="s">
        <v>1985</v>
      </c>
      <c r="F14" s="3014" t="s">
        <v>3232</v>
      </c>
      <c r="G14" s="3014" t="s">
        <v>3232</v>
      </c>
      <c r="H14" s="3014" t="s">
        <v>3232</v>
      </c>
      <c r="I14" s="3014" t="s">
        <v>3232</v>
      </c>
      <c r="J14" s="3014" t="s">
        <v>3232</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8"/>
      <c r="C15" s="1879"/>
      <c r="D15" s="1880"/>
      <c r="E15" s="1881"/>
      <c r="F15" s="1463" t="s">
        <v>3233</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c r="A17" s="3029" t="s">
        <v>3234</v>
      </c>
      <c r="B17" s="3021" t="s">
        <v>3235</v>
      </c>
      <c r="C17" s="3030">
        <f>ROUND(IF(OR(E2="工业",E2="公共服务"),1,IF(AND(E18=0,E19=0),1,IF(AND(E18=J24,E19=G19),0.8,IF(E19=0,1+E17*(-0.2),1+E17*G17*(-0.2))))),4)</f>
        <v>1</v>
      </c>
      <c r="D17" s="3022" t="s">
        <v>3236</v>
      </c>
      <c r="E17" s="3030">
        <f>ROUND(G18/I18,2)</f>
        <v>0</v>
      </c>
      <c r="F17" s="3022" t="s">
        <v>3239</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3"/>
      <c r="C18" s="3028"/>
      <c r="D18" s="3023" t="s">
        <v>3237</v>
      </c>
      <c r="E18" s="2350"/>
      <c r="F18" s="3024" t="s">
        <v>3240</v>
      </c>
      <c r="G18" s="3028">
        <f>ROUND(1-(1/(POWER(1+G24,E18))),4)</f>
        <v>0</v>
      </c>
      <c r="H18" s="3024" t="s">
        <v>3242</v>
      </c>
      <c r="I18" s="3028">
        <f>ROUND(1-(1/(POWER(1+G24,J24))),4)</f>
        <v>0.93120000000000003</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6"/>
    </row>
    <row r="19" spans="1:37" s="1851" customFormat="1" ht="15" thickBot="1">
      <c r="A19" s="3034"/>
      <c r="B19" s="3035"/>
      <c r="C19" s="3036"/>
      <c r="D19" s="3036" t="s">
        <v>3238</v>
      </c>
      <c r="E19" s="3037"/>
      <c r="F19" s="3038" t="s">
        <v>3241</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9"/>
      <c r="AH19" s="1973"/>
      <c r="AI19" s="559"/>
      <c r="AJ19" s="559"/>
      <c r="AK19" s="1892"/>
    </row>
    <row r="20" spans="1:37" s="1851" customFormat="1" ht="14.25">
      <c r="A20" s="3399" t="s">
        <v>3243</v>
      </c>
      <c r="B20" s="158" t="s">
        <v>1991</v>
      </c>
      <c r="C20" s="3025">
        <f>ROUND(IF(F21="与级别开发程度一致",0,(G21-E21)/C21),0)</f>
        <v>0</v>
      </c>
      <c r="D20" s="3040" t="s">
        <v>1995</v>
      </c>
      <c r="E20" s="3041"/>
      <c r="F20" s="3405" t="s">
        <v>1992</v>
      </c>
      <c r="G20" s="3406"/>
      <c r="H20" s="3194" t="s">
        <v>4841</v>
      </c>
      <c r="I20" s="3194" t="s">
        <v>4842</v>
      </c>
      <c r="J20" s="3195" t="s">
        <v>4843</v>
      </c>
      <c r="K20" s="1882" t="s">
        <v>4844</v>
      </c>
      <c r="L20" s="1882" t="s">
        <v>4845</v>
      </c>
      <c r="M20" s="1882" t="s">
        <v>4846</v>
      </c>
      <c r="N20" s="1882" t="s">
        <v>4847</v>
      </c>
      <c r="O20" s="1883" t="s">
        <v>4848</v>
      </c>
      <c r="P20" s="1837"/>
      <c r="Q20" s="1055"/>
      <c r="R20" s="1055"/>
      <c r="S20" s="1055"/>
      <c r="T20" s="1052"/>
      <c r="U20" s="1052"/>
      <c r="V20" s="1052"/>
      <c r="W20" s="1051"/>
      <c r="X20" s="1051"/>
      <c r="Y20" s="1051"/>
      <c r="Z20" s="1056"/>
      <c r="AA20" s="1056"/>
      <c r="AB20" s="1056"/>
      <c r="AC20" s="1056"/>
      <c r="AD20" s="1056"/>
      <c r="AE20" s="1056"/>
      <c r="AF20" s="1056"/>
      <c r="AG20" s="2546"/>
      <c r="AH20" s="2546"/>
      <c r="AI20" s="2546"/>
      <c r="AJ20" s="2546"/>
    </row>
    <row r="21" spans="1:37" s="1851" customFormat="1" ht="26.25" thickBot="1">
      <c r="A21" s="3400"/>
      <c r="B21" s="1995" t="s">
        <v>1994</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4161</v>
      </c>
      <c r="G21" s="1988">
        <f>SUM(H21:O21)</f>
        <v>315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50</v>
      </c>
      <c r="N21" s="1996">
        <f>SUMPRODUCT((七通一平=N20)*(修正!B1:M1=G2)*(修正!B8:M16))</f>
        <v>40</v>
      </c>
      <c r="O21" s="1998">
        <f>SUMPRODUCT((七通一平=O20)*(修正!B1:M1=G2)*(修正!B8:M16))</f>
        <v>15</v>
      </c>
      <c r="P21" s="1837"/>
      <c r="Q21" s="2546"/>
      <c r="R21" s="1055"/>
      <c r="S21" s="1055"/>
      <c r="T21" s="1052"/>
      <c r="U21" s="1052"/>
      <c r="V21" s="1052"/>
      <c r="W21" s="1051"/>
      <c r="X21" s="1051"/>
      <c r="Y21" s="1051"/>
      <c r="Z21" s="1056"/>
      <c r="AA21" s="1056"/>
      <c r="AB21" s="1056"/>
      <c r="AC21" s="1056"/>
      <c r="AD21" s="1056"/>
      <c r="AE21" s="1056"/>
      <c r="AF21" s="1056"/>
      <c r="AG21" s="2546"/>
      <c r="AH21" s="2546"/>
      <c r="AI21" s="2546"/>
      <c r="AJ21" s="2546"/>
    </row>
    <row r="22" spans="1:37" s="1851" customFormat="1" ht="15.75" thickBot="1">
      <c r="A22" s="1989" t="s">
        <v>363</v>
      </c>
      <c r="B22" s="1990" t="s">
        <v>1997</v>
      </c>
      <c r="C22" s="1991">
        <f>SUMIF(修正!C20:C51,E3,修正!E20:E51)</f>
        <v>1</v>
      </c>
      <c r="D22" s="1992"/>
      <c r="E22" s="1993"/>
      <c r="F22" s="1993"/>
      <c r="G22" s="1993"/>
      <c r="H22" s="1993"/>
      <c r="I22" s="1993"/>
      <c r="J22" s="1994"/>
      <c r="K22" s="1056"/>
      <c r="L22" s="2546"/>
      <c r="M22" s="2546"/>
      <c r="N22" s="2546"/>
      <c r="O22" s="1054"/>
      <c r="P22" s="1054"/>
      <c r="Q22" s="2546"/>
      <c r="R22" s="1055"/>
      <c r="S22" s="1055"/>
      <c r="T22" s="1052"/>
      <c r="U22" s="1052"/>
      <c r="V22" s="1052"/>
      <c r="W22" s="1051"/>
      <c r="X22" s="1051"/>
      <c r="Y22" s="1051"/>
      <c r="Z22" s="1056"/>
      <c r="AA22" s="1056"/>
      <c r="AB22" s="1056"/>
      <c r="AC22" s="1056"/>
      <c r="AD22" s="1056"/>
      <c r="AE22" s="1056"/>
      <c r="AF22" s="1056"/>
      <c r="AG22" s="2546"/>
      <c r="AH22" s="2546"/>
      <c r="AI22" s="2546"/>
      <c r="AJ22" s="2546"/>
    </row>
    <row r="23" spans="1:37" ht="26.25" thickBot="1">
      <c r="A23" s="1885" t="s">
        <v>364</v>
      </c>
      <c r="B23" s="1886" t="s">
        <v>1998</v>
      </c>
      <c r="C23" s="712">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1.0298</v>
      </c>
      <c r="D23" s="1889" t="s">
        <v>1999</v>
      </c>
      <c r="E23" s="713">
        <v>44197</v>
      </c>
      <c r="F23" s="1889" t="s">
        <v>2000</v>
      </c>
      <c r="G23" s="714">
        <f>'数据-取费表'!B2</f>
        <v>45492</v>
      </c>
      <c r="H23" s="3042" t="s">
        <v>3244</v>
      </c>
      <c r="I23" s="3043" t="str">
        <f>IF(H23="季度增幅（自定义）",SUMIF(N25:N28,E2,O25:O28),"")</f>
        <v/>
      </c>
      <c r="J23" s="3135" t="s">
        <v>4162</v>
      </c>
      <c r="K23" s="1056"/>
      <c r="L23" s="1890" t="s">
        <v>2001</v>
      </c>
      <c r="M23" s="1234">
        <f>ROUND(SUMIF(地价!B2:G2,E2,地价!B16:G16),0)</f>
        <v>350</v>
      </c>
      <c r="N23" s="1891" t="s">
        <v>2002</v>
      </c>
      <c r="O23" s="715">
        <f>ROUNDDOWN(DATEDIF(E23,G23,"M")/3,0)</f>
        <v>14</v>
      </c>
      <c r="P23" s="1052"/>
      <c r="Q23" s="2546"/>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2003</v>
      </c>
      <c r="C24" s="716">
        <f>ROUND(POWER(1+G24,J24-I24)*(POWER(1+G24,I24)-1)/(POWER(1+G24,J24)-1),4)</f>
        <v>0.95730000000000004</v>
      </c>
      <c r="D24" s="1895" t="s">
        <v>2004</v>
      </c>
      <c r="E24" s="1241">
        <f>存贷款利率!E26/100</f>
        <v>4.3499999999999997E-2</v>
      </c>
      <c r="F24" s="1895" t="s">
        <v>1996</v>
      </c>
      <c r="G24" s="720">
        <f>SUMIF(M30:Q30,E2,M33:Q33)</f>
        <v>5.5E-2</v>
      </c>
      <c r="H24" s="1895" t="s">
        <v>2005</v>
      </c>
      <c r="I24" s="721">
        <f>SUMIF('数据-取费表'!C6:C15,E2,'数据-取费表'!F6:F15)/COUNTIF('数据-取费表'!C6:C15,E2)</f>
        <v>41.47</v>
      </c>
      <c r="J24" s="722">
        <f>IF(E2="住宅",70,IF(E2="商业",40,50))</f>
        <v>50</v>
      </c>
      <c r="K24" s="1056"/>
      <c r="L24" s="1896" t="s">
        <v>2006</v>
      </c>
      <c r="M24" s="1235">
        <f>ROUND(SUMPRODUCT((地价!A4:A16=YEAR(G23)&amp;"-"&amp;ROUNDUP(MONTH(G23)/3,0))*(地价!B2:G2=E2)*(地价!B4:G16)),0)</f>
        <v>0</v>
      </c>
      <c r="N24" s="1897" t="s">
        <v>2007</v>
      </c>
      <c r="O24" s="1898" t="s">
        <v>2008</v>
      </c>
      <c r="P24" s="1899" t="s">
        <v>2009</v>
      </c>
      <c r="Q24" s="1837"/>
      <c r="R24" s="1055"/>
      <c r="S24" s="1055"/>
      <c r="T24" s="1052"/>
      <c r="U24" s="1052"/>
      <c r="V24" s="1052"/>
      <c r="W24" s="1051"/>
      <c r="X24" s="1051"/>
      <c r="Y24" s="1051"/>
      <c r="Z24" s="1056"/>
      <c r="AA24" s="1056"/>
      <c r="AB24" s="1056"/>
      <c r="AC24" s="1056"/>
      <c r="AD24" s="1056"/>
      <c r="AE24" s="1056"/>
      <c r="AF24" s="1056"/>
      <c r="AG24" s="2546"/>
      <c r="AH24" s="2546"/>
      <c r="AI24" s="2546"/>
      <c r="AJ24" s="2546"/>
    </row>
    <row r="25" spans="1:37" ht="15">
      <c r="A25" s="1900" t="s">
        <v>366</v>
      </c>
      <c r="B25" s="1901" t="s">
        <v>3323</v>
      </c>
      <c r="C25" s="460">
        <f>IF(B25="容积率修正",IF(G3&lt;10,D26,J26),C27)</f>
        <v>0.86619999999999997</v>
      </c>
      <c r="D25" s="1902"/>
      <c r="E25" s="1902"/>
      <c r="F25" s="1902"/>
      <c r="G25" s="1902"/>
      <c r="H25" s="1902"/>
      <c r="I25" s="1902"/>
      <c r="J25" s="1903"/>
      <c r="K25" s="1056"/>
      <c r="L25" s="2546"/>
      <c r="M25" s="2546"/>
      <c r="N25" s="1904" t="s">
        <v>2010</v>
      </c>
      <c r="O25" s="1088"/>
      <c r="P25" s="1089">
        <f>SUMPRODUCT((地价!A3:A40=YEAR(G23)&amp;"-"&amp;ROUNDUP(MONTH(G23)/3,0))*(地价!AD2:AH2=N25)*(地价!AD3:AH40))</f>
        <v>0</v>
      </c>
      <c r="Q25" s="2546"/>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2011</v>
      </c>
      <c r="B26" s="1905" t="s">
        <v>2012</v>
      </c>
      <c r="C26" s="1905" t="s">
        <v>3245</v>
      </c>
      <c r="D26" s="1256">
        <f>IF(E26=G26,F26,IF(G3&lt;10,ROUND(F26+(H26-F26)*(G3-E26)/(G26-E26),4),"——"))</f>
        <v>0.86619999999999997</v>
      </c>
      <c r="E26" s="704">
        <f>ROUNDDOWN(G3,1)</f>
        <v>6.2</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704">
        <f>ROUNDUP(G3,1)</f>
        <v>6.2</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0.86619999999999997</v>
      </c>
      <c r="I26" s="1905" t="s">
        <v>3246</v>
      </c>
      <c r="J26" s="373" t="str">
        <f>IF(G3&gt;=10,D115,"——")</f>
        <v>——</v>
      </c>
      <c r="K26" s="1056"/>
      <c r="L26" s="2546"/>
      <c r="M26" s="2546"/>
      <c r="N26" s="1904" t="s">
        <v>2013</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2014</v>
      </c>
      <c r="B27" s="1906" t="s">
        <v>2015</v>
      </c>
      <c r="C27" s="787">
        <f>ROUND(IF(I3&lt;6,SUMPRODUCT((B106:B110=I3)*(C105:N105=G2)*(C106:N110)),SUMIF(C105:N105,G2,C112:N112)),4)</f>
        <v>0</v>
      </c>
      <c r="D27" s="1835"/>
      <c r="E27" s="1835"/>
      <c r="F27" s="1907"/>
      <c r="G27" s="1908"/>
      <c r="H27" s="1909"/>
      <c r="I27" s="1910"/>
      <c r="J27" s="1911"/>
      <c r="K27" s="1051"/>
      <c r="L27" s="1837"/>
      <c r="M27" s="1837"/>
      <c r="N27" s="1904" t="s">
        <v>2016</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2017</v>
      </c>
      <c r="C28" s="712">
        <f>SUMIF(A47:A101,E2,B47:B101)</f>
        <v>1.0621</v>
      </c>
      <c r="D28" s="1887"/>
      <c r="E28" s="1912"/>
      <c r="F28" s="1912"/>
      <c r="G28" s="1912"/>
      <c r="H28" s="1912"/>
      <c r="I28" s="1912"/>
      <c r="J28" s="1913"/>
      <c r="K28" s="1056"/>
      <c r="L28" s="2546"/>
      <c r="M28" s="2546"/>
      <c r="N28" s="1914" t="s">
        <v>2018</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2019</v>
      </c>
      <c r="C29" s="717"/>
      <c r="D29" s="1861"/>
      <c r="E29" s="1861"/>
      <c r="F29" s="1916"/>
      <c r="G29" s="1861"/>
      <c r="H29" s="1861"/>
      <c r="I29" s="1861"/>
      <c r="J29" s="1862"/>
      <c r="K29" s="1051"/>
      <c r="L29" s="1837"/>
      <c r="M29" s="1837"/>
      <c r="N29" s="2543" t="s">
        <v>2020</v>
      </c>
      <c r="O29" s="2544"/>
      <c r="P29" s="2545">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2021</v>
      </c>
      <c r="C30" s="2138">
        <f>IF(B25="容积率修正",E33+SUM(E37:E42),SUM(V2:V16)+SUM(E37:E42))</f>
        <v>7</v>
      </c>
      <c r="D30" s="1918"/>
      <c r="E30" s="1835"/>
      <c r="F30" s="1919"/>
      <c r="G30" s="1835"/>
      <c r="H30" s="1835"/>
      <c r="I30" s="1835"/>
      <c r="J30" s="1920"/>
      <c r="K30" s="1051"/>
      <c r="L30" s="3049" t="s">
        <v>1933</v>
      </c>
      <c r="M30" s="3050" t="s">
        <v>1987</v>
      </c>
      <c r="N30" s="3050" t="s">
        <v>1988</v>
      </c>
      <c r="O30" s="3050" t="s">
        <v>1989</v>
      </c>
      <c r="P30" s="3050" t="s">
        <v>1990</v>
      </c>
      <c r="Q30" s="3053" t="s">
        <v>3250</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2022</v>
      </c>
      <c r="C31" s="718">
        <f>E34+SUM(I37:I42)</f>
        <v>2</v>
      </c>
      <c r="D31" s="1922"/>
      <c r="E31" s="1923"/>
      <c r="F31" s="1924"/>
      <c r="G31" s="1923"/>
      <c r="H31" s="1923"/>
      <c r="I31" s="1923"/>
      <c r="J31" s="1925"/>
      <c r="K31" s="1051"/>
      <c r="L31" s="3051" t="s">
        <v>1993</v>
      </c>
      <c r="M31" s="161">
        <v>0.25</v>
      </c>
      <c r="N31" s="161">
        <v>0.2</v>
      </c>
      <c r="O31" s="161">
        <v>0.15</v>
      </c>
      <c r="P31" s="161">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2023</v>
      </c>
      <c r="C32" s="1928" t="s">
        <v>2024</v>
      </c>
      <c r="D32" s="1928" t="s">
        <v>2025</v>
      </c>
      <c r="E32" s="1929" t="s">
        <v>2026</v>
      </c>
      <c r="F32" s="1930"/>
      <c r="G32" s="1874"/>
      <c r="H32" s="1874"/>
      <c r="I32" s="1874"/>
      <c r="J32" s="1875"/>
      <c r="K32" s="1051"/>
      <c r="L32" s="3052" t="s">
        <v>1996</v>
      </c>
      <c r="M32" s="2349">
        <f>ROUND($E$24*(1+M31),3)</f>
        <v>5.3999999999999999E-2</v>
      </c>
      <c r="N32" s="2349">
        <f>ROUND($E$24*(1+N31),3)</f>
        <v>5.1999999999999998E-2</v>
      </c>
      <c r="O32" s="2349">
        <f>ROUND($E$24*(1+O31),3)</f>
        <v>0.05</v>
      </c>
      <c r="P32" s="2349">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2027</v>
      </c>
      <c r="C33" s="166">
        <f>ROUND(C5*C22*C23*C24*C25*C28,0)</f>
        <v>8552</v>
      </c>
      <c r="D33" s="1933"/>
      <c r="E33" s="723">
        <f>ROUND(C33*D33/10000,0)</f>
        <v>0</v>
      </c>
      <c r="F33" s="3044" t="s">
        <v>3248</v>
      </c>
      <c r="G33" s="1934"/>
      <c r="H33" s="1934"/>
      <c r="I33" s="1934"/>
      <c r="J33" s="1935"/>
      <c r="K33" s="1051"/>
      <c r="L33" s="3047" t="s">
        <v>3251</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2028</v>
      </c>
      <c r="C34" s="178">
        <f>ROUND(IF(E2="工业",C33*M42,IF(B25="楼层修正",SUM(V2:V16)*M41*10000/D34,C33*M41)),0)</f>
        <v>2138</v>
      </c>
      <c r="D34" s="1938"/>
      <c r="E34" s="723">
        <f>ROUND(IF(B25="楼层修正",SUM(V2:V16)*M40,C34*D34/10000),0)</f>
        <v>0</v>
      </c>
      <c r="F34" s="1939" t="s">
        <v>2029</v>
      </c>
      <c r="G34" s="1940"/>
      <c r="H34" s="1940"/>
      <c r="I34" s="1940"/>
      <c r="J34" s="1941"/>
      <c r="K34" s="1051"/>
      <c r="L34" s="3047" t="s">
        <v>3252</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2030</v>
      </c>
      <c r="C35" s="3045" t="s">
        <v>3249</v>
      </c>
      <c r="D35" s="1874"/>
      <c r="E35" s="1944"/>
      <c r="F35" s="1944"/>
      <c r="G35" s="1872" t="s">
        <v>2031</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5" t="s">
        <v>2024</v>
      </c>
      <c r="D36" s="432" t="s">
        <v>2025</v>
      </c>
      <c r="E36" s="432" t="s">
        <v>2026</v>
      </c>
      <c r="F36" s="332" t="s">
        <v>2032</v>
      </c>
      <c r="G36" s="1947" t="s">
        <v>2024</v>
      </c>
      <c r="H36" s="1947" t="s">
        <v>2025</v>
      </c>
      <c r="I36" s="1947" t="s">
        <v>2026</v>
      </c>
      <c r="J36" s="234"/>
      <c r="K36" s="1957" t="s">
        <v>3253</v>
      </c>
      <c r="L36" s="3136">
        <f ca="1">'数据-取费表'!B40</f>
        <v>3.4500000000000003E-2</v>
      </c>
      <c r="M36" s="2359">
        <f ca="1">ROUND($L$36*(1+M31),3)</f>
        <v>4.2999999999999997E-2</v>
      </c>
      <c r="N36" s="2359">
        <f ca="1">ROUND($L$36*(1+N31),3)</f>
        <v>4.1000000000000002E-2</v>
      </c>
      <c r="O36" s="2359">
        <f ca="1">ROUND($L$36*(1+O31),3)</f>
        <v>0.04</v>
      </c>
      <c r="P36" s="2359">
        <f ca="1">ROUND($L$36*(1+P31),3)</f>
        <v>3.7999999999999999E-2</v>
      </c>
      <c r="Q36" s="2359">
        <f ca="1">ROUND($L$36*(1+Q31),3)</f>
        <v>0.04</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403"/>
      <c r="B37" s="1948" t="s">
        <v>2033</v>
      </c>
      <c r="C37" s="166">
        <f>ROUND(D5*C22*C23*C24*C28*F37,0)</f>
        <v>5641</v>
      </c>
      <c r="D37" s="1933"/>
      <c r="E37" s="162">
        <f>ROUND(C37*D37/10000,0)</f>
        <v>0</v>
      </c>
      <c r="F37" s="162">
        <f>SUMIF(修正!A57:A68,G2,修正!B57:B68)</f>
        <v>0.6</v>
      </c>
      <c r="G37" s="162">
        <f>ROUND(IF(E2="工业",C37*$M$42,C37*$M$41),0)</f>
        <v>1410</v>
      </c>
      <c r="H37" s="162">
        <f>D37</f>
        <v>0</v>
      </c>
      <c r="I37" s="162">
        <f>ROUND(G37*H37/10000,0)</f>
        <v>0</v>
      </c>
      <c r="J37" s="2748"/>
      <c r="K37" s="3055" t="s">
        <v>3254</v>
      </c>
      <c r="L37" s="1957">
        <f ca="1">L36+K38</f>
        <v>3.95E-2</v>
      </c>
      <c r="M37" s="2359">
        <f ca="1">ROUND($L$37*(1+M31),3)</f>
        <v>4.9000000000000002E-2</v>
      </c>
      <c r="N37" s="2359">
        <f t="shared" ref="N37:Q37" ca="1" si="3">ROUND($L$37*(1+N31),3)</f>
        <v>4.7E-2</v>
      </c>
      <c r="O37" s="2359">
        <f t="shared" ca="1" si="3"/>
        <v>4.4999999999999998E-2</v>
      </c>
      <c r="P37" s="2359">
        <f t="shared" ca="1" si="3"/>
        <v>4.2999999999999997E-2</v>
      </c>
      <c r="Q37" s="2359">
        <f t="shared" ca="1" si="3"/>
        <v>4.4999999999999998E-2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404"/>
      <c r="B38" s="1877" t="s">
        <v>2034</v>
      </c>
      <c r="C38" s="166">
        <f>ROUND(D5*C22*C23*C24*C28*F38,0)</f>
        <v>2821</v>
      </c>
      <c r="D38" s="1933"/>
      <c r="E38" s="162">
        <f t="shared" ref="E38:E42" si="4">ROUND(C38*D38/10000,0)</f>
        <v>0</v>
      </c>
      <c r="F38" s="162">
        <f>SUMIF(修正!A57:A68,G2,修正!C57:C68)</f>
        <v>0.3</v>
      </c>
      <c r="G38" s="162">
        <f>ROUND(IF(E2="工业",C38*$M$42,C38*$M$41),0)</f>
        <v>705</v>
      </c>
      <c r="H38" s="162">
        <f t="shared" ref="H38:H42" si="5">D38</f>
        <v>0</v>
      </c>
      <c r="I38" s="162">
        <f t="shared" ref="I38:I42" si="6">ROUND(G38*H38/10000,0)</f>
        <v>0</v>
      </c>
      <c r="J38" s="2747"/>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404"/>
      <c r="B39" s="1877" t="s">
        <v>3247</v>
      </c>
      <c r="C39" s="166">
        <f>ROUND(D5*C22*C23*C24*C28*F39,0)</f>
        <v>2351</v>
      </c>
      <c r="D39" s="1933"/>
      <c r="E39" s="162">
        <f t="shared" si="4"/>
        <v>0</v>
      </c>
      <c r="F39" s="162">
        <f>SUMIF(修正!A57:A68,G2,修正!D57:D68)</f>
        <v>0.25</v>
      </c>
      <c r="G39" s="162">
        <f>ROUND(IF(E2="工业",C39*$M$42,C39*$M$41),0)</f>
        <v>588</v>
      </c>
      <c r="H39" s="162">
        <f t="shared" si="5"/>
        <v>0</v>
      </c>
      <c r="I39" s="162">
        <f t="shared" si="6"/>
        <v>0</v>
      </c>
      <c r="J39" s="2747"/>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2035</v>
      </c>
      <c r="C40" s="162">
        <f>ROUND(D5*C22*C23*C24*C28*F40,0)</f>
        <v>2351</v>
      </c>
      <c r="D40" s="1933"/>
      <c r="E40" s="162">
        <f t="shared" si="4"/>
        <v>0</v>
      </c>
      <c r="F40" s="166">
        <f>SUMIF(修正!A57:A68,G2,修正!E57:E68)</f>
        <v>0.25</v>
      </c>
      <c r="G40" s="162">
        <f>ROUND(IF(E2="工业",C40*$M$42,C40*$M$41),0)</f>
        <v>588</v>
      </c>
      <c r="H40" s="162">
        <f t="shared" si="5"/>
        <v>0</v>
      </c>
      <c r="I40" s="162">
        <f t="shared" si="6"/>
        <v>0</v>
      </c>
      <c r="J40" s="935"/>
      <c r="L40" s="1950" t="s">
        <v>2036</v>
      </c>
      <c r="M40" s="1951"/>
      <c r="Z40" s="1052"/>
      <c r="AA40" s="1052"/>
      <c r="AB40" s="1052"/>
      <c r="AC40" s="1052"/>
      <c r="AD40" s="1052"/>
      <c r="AE40" s="1052"/>
      <c r="AF40" s="1052"/>
      <c r="AG40" s="1052"/>
      <c r="AH40" s="1052"/>
      <c r="AI40" s="1052"/>
      <c r="AJ40" s="1052"/>
    </row>
    <row r="41" spans="1:37" s="1051" customFormat="1">
      <c r="A41" s="1949"/>
      <c r="B41" s="1877" t="s">
        <v>2037</v>
      </c>
      <c r="C41" s="162">
        <f>ROUND(D5*C22*C23*C44*C28*F41,0)</f>
        <v>2351</v>
      </c>
      <c r="D41" s="1933"/>
      <c r="E41" s="162">
        <f t="shared" si="4"/>
        <v>0</v>
      </c>
      <c r="F41" s="166">
        <f>SUMIF(修正!A57:A68,G2,修正!F57:F68)</f>
        <v>0.25</v>
      </c>
      <c r="G41" s="162">
        <f>ROUND(IF(E2="工业",C41*$M$42,C41*$M$41),0)</f>
        <v>588</v>
      </c>
      <c r="H41" s="162">
        <f t="shared" si="5"/>
        <v>0</v>
      </c>
      <c r="I41" s="162">
        <f t="shared" si="6"/>
        <v>0</v>
      </c>
      <c r="J41" s="935"/>
      <c r="L41" s="3056" t="s">
        <v>3255</v>
      </c>
      <c r="M41" s="1952">
        <v>0.25</v>
      </c>
      <c r="Z41" s="1052"/>
      <c r="AA41" s="1052"/>
      <c r="AB41" s="1052"/>
      <c r="AC41" s="1052"/>
      <c r="AD41" s="1052"/>
      <c r="AE41" s="1052"/>
      <c r="AF41" s="1052"/>
      <c r="AG41" s="1052"/>
      <c r="AH41" s="1052"/>
      <c r="AI41" s="1052"/>
      <c r="AJ41" s="1052"/>
    </row>
    <row r="42" spans="1:37" s="1051" customFormat="1" ht="13.5" thickBot="1">
      <c r="A42" s="1936"/>
      <c r="B42" s="1953" t="s">
        <v>2038</v>
      </c>
      <c r="C42" s="178">
        <f>ROUND(D5*C22*C23*C44*C28*F42,0)</f>
        <v>1410</v>
      </c>
      <c r="D42" s="1938">
        <f>'数据-汇总表'!G21</f>
        <v>52.93</v>
      </c>
      <c r="E42" s="178">
        <f t="shared" si="4"/>
        <v>7</v>
      </c>
      <c r="F42" s="719">
        <f>SUMIF(修正!A57:A68,G2,修正!G57:G68)</f>
        <v>0.15</v>
      </c>
      <c r="G42" s="178">
        <f>ROUND(IF(E2="工业",C42*$M$42,C42*$M$41),0)</f>
        <v>353</v>
      </c>
      <c r="H42" s="178">
        <f t="shared" si="5"/>
        <v>52.93</v>
      </c>
      <c r="I42" s="178">
        <f t="shared" si="6"/>
        <v>2</v>
      </c>
      <c r="J42" s="1954"/>
      <c r="L42" s="1955" t="s">
        <v>1990</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2118</v>
      </c>
      <c r="C44" s="332">
        <f>ROUND(POWER(1+E44,H44-G44)*(POWER(1+E44,G44)-1)/(POWER(1+E44,H44)-1),4)</f>
        <v>0.95730000000000004</v>
      </c>
      <c r="D44" s="162" t="s">
        <v>1996</v>
      </c>
      <c r="E44" s="1984">
        <f>G24</f>
        <v>5.5E-2</v>
      </c>
      <c r="F44" s="162" t="s">
        <v>2005</v>
      </c>
      <c r="G44" s="174">
        <f>项目基本情况!F15</f>
        <v>41.47</v>
      </c>
      <c r="H44" s="162">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2039</v>
      </c>
      <c r="B47" s="1959"/>
      <c r="C47" s="4"/>
      <c r="D47" s="4"/>
      <c r="E47" s="4"/>
      <c r="F47" s="3"/>
      <c r="G47" s="3"/>
      <c r="H47" s="3"/>
      <c r="I47" s="1674"/>
      <c r="J47" s="1674"/>
      <c r="K47" s="1674"/>
      <c r="L47" s="1674"/>
      <c r="M47" s="1674"/>
      <c r="AA47" s="1052"/>
      <c r="AB47" s="1052"/>
      <c r="AC47" s="1052"/>
      <c r="AD47" s="1052"/>
      <c r="AE47" s="1052"/>
      <c r="AF47" s="1052"/>
      <c r="AG47" s="1052"/>
      <c r="AH47" s="1052"/>
      <c r="AI47" s="1052"/>
      <c r="AJ47" s="1052"/>
      <c r="AK47" s="1052"/>
    </row>
    <row r="48" spans="1:37" s="1051" customFormat="1" ht="15">
      <c r="A48" s="1960" t="s">
        <v>2040</v>
      </c>
      <c r="B48" s="1961">
        <f>1+E50</f>
        <v>1</v>
      </c>
      <c r="C48" s="1719"/>
      <c r="D48" s="695"/>
      <c r="E48" s="696"/>
      <c r="F48" s="1962"/>
      <c r="G48" s="3"/>
      <c r="H48" s="4"/>
      <c r="I48" s="1674"/>
      <c r="J48" s="1674"/>
      <c r="K48" s="1674"/>
      <c r="L48" s="1674"/>
      <c r="M48" s="1674"/>
      <c r="AA48" s="1052"/>
      <c r="AB48" s="1052"/>
      <c r="AC48" s="1052"/>
      <c r="AD48" s="1052"/>
      <c r="AE48" s="1052"/>
      <c r="AF48" s="1052"/>
      <c r="AG48" s="1052"/>
      <c r="AH48" s="1052"/>
      <c r="AI48" s="1052"/>
      <c r="AJ48" s="1052"/>
      <c r="AK48" s="1052"/>
    </row>
    <row r="49" spans="1:37" s="1051" customFormat="1" ht="24.75">
      <c r="A49" s="1963" t="s">
        <v>2041</v>
      </c>
      <c r="B49" s="1255" t="s">
        <v>2042</v>
      </c>
      <c r="C49" s="1255" t="s">
        <v>2043</v>
      </c>
      <c r="D49" s="1255" t="s">
        <v>2044</v>
      </c>
      <c r="E49" s="697" t="s">
        <v>2045</v>
      </c>
      <c r="F49" s="1964" t="s">
        <v>2046</v>
      </c>
      <c r="G49" s="1255" t="s">
        <v>310</v>
      </c>
      <c r="H49" s="1965" t="s">
        <v>2047</v>
      </c>
      <c r="I49" s="1255" t="s">
        <v>2048</v>
      </c>
      <c r="J49" s="529" t="s">
        <v>1718</v>
      </c>
      <c r="K49" s="529" t="s">
        <v>1719</v>
      </c>
      <c r="L49" s="529" t="s">
        <v>1720</v>
      </c>
      <c r="M49" s="529" t="s">
        <v>1721</v>
      </c>
      <c r="N49" s="529" t="s">
        <v>1722</v>
      </c>
      <c r="AA49" s="1052"/>
      <c r="AB49" s="1052"/>
      <c r="AC49" s="1052"/>
      <c r="AD49" s="1052"/>
      <c r="AE49" s="1052"/>
      <c r="AF49" s="1052"/>
      <c r="AG49" s="1052"/>
      <c r="AH49" s="1052"/>
      <c r="AI49" s="1052"/>
      <c r="AJ49" s="1052"/>
      <c r="AK49" s="1052"/>
    </row>
    <row r="50" spans="1:37" s="1051" customFormat="1" ht="24.75">
      <c r="A50" s="1963" t="s">
        <v>2049</v>
      </c>
      <c r="B50" s="1966">
        <f>估价对象房地状况!C4</f>
        <v>0</v>
      </c>
      <c r="C50" s="1880"/>
      <c r="D50" s="997">
        <f t="shared" ref="D50:D58" si="7">SUMIF($J$49:$N$49,C50,J50:N50)</f>
        <v>0</v>
      </c>
      <c r="E50" s="698">
        <f>ROUND(SUM(D50:D58),4)</f>
        <v>0</v>
      </c>
      <c r="F50" s="1668" t="str">
        <f>IF(E2="商业",SUMIF(L1:L12,G2,N1:N12),"——")</f>
        <v>——</v>
      </c>
      <c r="G50" s="995" t="str">
        <f>H50</f>
        <v>——</v>
      </c>
      <c r="H50" s="998" t="str">
        <f t="shared" ref="H50:H58" si="8">IFERROR(ROUNDDOWN($F$50*I50/2,4),"——")</f>
        <v>——</v>
      </c>
      <c r="I50" s="3062">
        <v>0.3</v>
      </c>
      <c r="J50" s="996" t="e">
        <f t="shared" ref="J50:J58" si="9">K50+$G50</f>
        <v>#VALUE!</v>
      </c>
      <c r="K50" s="996" t="e">
        <f t="shared" ref="K50:K58" si="10">$L50+$G50</f>
        <v>#VALUE!</v>
      </c>
      <c r="L50" s="996">
        <v>0</v>
      </c>
      <c r="M50" s="996" t="e">
        <f t="shared" ref="M50:N58" si="11">L50-$G50</f>
        <v>#VALUE!</v>
      </c>
      <c r="N50" s="996" t="e">
        <f t="shared" si="11"/>
        <v>#VALUE!</v>
      </c>
      <c r="AA50" s="1052"/>
      <c r="AB50" s="1052"/>
      <c r="AC50" s="1052"/>
      <c r="AD50" s="1052"/>
      <c r="AE50" s="1052"/>
      <c r="AF50" s="1052"/>
      <c r="AG50" s="1052"/>
      <c r="AH50" s="1052"/>
      <c r="AI50" s="1052"/>
      <c r="AJ50" s="1052"/>
      <c r="AK50" s="1052"/>
    </row>
    <row r="51" spans="1:37" s="1051" customFormat="1" ht="14.25">
      <c r="A51" s="1963" t="s">
        <v>2050</v>
      </c>
      <c r="B51" s="1255">
        <f>估价对象房地状况!C18</f>
        <v>0</v>
      </c>
      <c r="C51" s="1880"/>
      <c r="D51" s="997">
        <f t="shared" si="7"/>
        <v>0</v>
      </c>
      <c r="E51" s="699"/>
      <c r="F51" s="1668"/>
      <c r="G51" s="995" t="str">
        <f t="shared" ref="G51:G58" si="12">H51</f>
        <v>——</v>
      </c>
      <c r="H51" s="998" t="str">
        <f t="shared" si="8"/>
        <v>——</v>
      </c>
      <c r="I51" s="3062">
        <v>0.22</v>
      </c>
      <c r="J51" s="996" t="e">
        <f t="shared" si="9"/>
        <v>#VALUE!</v>
      </c>
      <c r="K51" s="996" t="e">
        <f t="shared" si="10"/>
        <v>#VALUE!</v>
      </c>
      <c r="L51" s="996">
        <v>0</v>
      </c>
      <c r="M51" s="996" t="e">
        <f t="shared" si="11"/>
        <v>#VALUE!</v>
      </c>
      <c r="N51" s="996" t="e">
        <f t="shared" si="11"/>
        <v>#VALUE!</v>
      </c>
      <c r="AA51" s="1052"/>
      <c r="AB51" s="1052"/>
      <c r="AC51" s="1052"/>
      <c r="AD51" s="1052"/>
      <c r="AE51" s="1052"/>
      <c r="AF51" s="1052"/>
      <c r="AG51" s="1052"/>
      <c r="AH51" s="1052"/>
      <c r="AI51" s="1052"/>
      <c r="AJ51" s="1052"/>
      <c r="AK51" s="1052"/>
    </row>
    <row r="52" spans="1:37" s="1051" customFormat="1" ht="36">
      <c r="A52" s="3064" t="s">
        <v>3257</v>
      </c>
      <c r="B52" s="1255">
        <f>估价对象房地状况!C19</f>
        <v>0</v>
      </c>
      <c r="C52" s="1880"/>
      <c r="D52" s="997">
        <f t="shared" si="7"/>
        <v>0</v>
      </c>
      <c r="E52" s="699"/>
      <c r="F52" s="1668"/>
      <c r="G52" s="995" t="str">
        <f t="shared" si="12"/>
        <v>——</v>
      </c>
      <c r="H52" s="998" t="str">
        <f t="shared" si="8"/>
        <v>——</v>
      </c>
      <c r="I52" s="3062">
        <v>0.12</v>
      </c>
      <c r="J52" s="996" t="e">
        <f t="shared" si="9"/>
        <v>#VALUE!</v>
      </c>
      <c r="K52" s="996" t="e">
        <f t="shared" si="10"/>
        <v>#VALUE!</v>
      </c>
      <c r="L52" s="996">
        <v>0</v>
      </c>
      <c r="M52" s="996" t="e">
        <f t="shared" si="11"/>
        <v>#VALUE!</v>
      </c>
      <c r="N52" s="996" t="e">
        <f t="shared" si="11"/>
        <v>#VALUE!</v>
      </c>
      <c r="AA52" s="1052"/>
      <c r="AB52" s="1052"/>
      <c r="AC52" s="1052"/>
      <c r="AD52" s="1052"/>
      <c r="AE52" s="1052"/>
      <c r="AF52" s="1052"/>
      <c r="AG52" s="1052"/>
      <c r="AH52" s="1052"/>
      <c r="AI52" s="1052"/>
      <c r="AJ52" s="1052"/>
      <c r="AK52" s="1052"/>
    </row>
    <row r="53" spans="1:37" s="1051" customFormat="1" ht="36.75">
      <c r="A53" s="1963" t="s">
        <v>2051</v>
      </c>
      <c r="B53" s="1967" t="s">
        <v>2052</v>
      </c>
      <c r="C53" s="1880"/>
      <c r="D53" s="997">
        <f t="shared" si="7"/>
        <v>0</v>
      </c>
      <c r="E53" s="699"/>
      <c r="F53" s="1668"/>
      <c r="G53" s="995" t="str">
        <f t="shared" si="12"/>
        <v>——</v>
      </c>
      <c r="H53" s="998" t="str">
        <f t="shared" si="8"/>
        <v>——</v>
      </c>
      <c r="I53" s="3062">
        <v>0.05</v>
      </c>
      <c r="J53" s="996" t="e">
        <f t="shared" si="9"/>
        <v>#VALUE!</v>
      </c>
      <c r="K53" s="996" t="e">
        <f t="shared" si="10"/>
        <v>#VALUE!</v>
      </c>
      <c r="L53" s="996">
        <v>0</v>
      </c>
      <c r="M53" s="996" t="e">
        <f t="shared" si="11"/>
        <v>#VALUE!</v>
      </c>
      <c r="N53" s="996" t="e">
        <f t="shared" si="11"/>
        <v>#VALUE!</v>
      </c>
      <c r="AA53" s="1052"/>
      <c r="AB53" s="1052"/>
      <c r="AC53" s="1052"/>
      <c r="AD53" s="1052"/>
      <c r="AE53" s="1052"/>
      <c r="AF53" s="1052"/>
      <c r="AG53" s="1052"/>
      <c r="AH53" s="1052"/>
      <c r="AI53" s="1052"/>
      <c r="AJ53" s="1052"/>
      <c r="AK53" s="1052"/>
    </row>
    <row r="54" spans="1:37" s="1051" customFormat="1" ht="24">
      <c r="A54" s="1963" t="s">
        <v>2053</v>
      </c>
      <c r="B54" s="1255">
        <f>估价对象房地状况!C24</f>
        <v>0</v>
      </c>
      <c r="C54" s="1880"/>
      <c r="D54" s="997">
        <f t="shared" si="7"/>
        <v>0</v>
      </c>
      <c r="E54" s="699"/>
      <c r="F54" s="1668"/>
      <c r="G54" s="995" t="str">
        <f t="shared" si="12"/>
        <v>——</v>
      </c>
      <c r="H54" s="998" t="str">
        <f t="shared" si="8"/>
        <v>——</v>
      </c>
      <c r="I54" s="3062">
        <v>0.08</v>
      </c>
      <c r="J54" s="996" t="e">
        <f t="shared" si="9"/>
        <v>#VALUE!</v>
      </c>
      <c r="K54" s="996" t="e">
        <f t="shared" si="10"/>
        <v>#VALUE!</v>
      </c>
      <c r="L54" s="996">
        <v>0</v>
      </c>
      <c r="M54" s="996" t="e">
        <f t="shared" si="11"/>
        <v>#VALUE!</v>
      </c>
      <c r="N54" s="996" t="e">
        <f t="shared" si="11"/>
        <v>#VALUE!</v>
      </c>
      <c r="AA54" s="1052"/>
      <c r="AB54" s="1052"/>
      <c r="AC54" s="1052"/>
      <c r="AD54" s="1052"/>
      <c r="AE54" s="1052"/>
      <c r="AF54" s="1052"/>
      <c r="AG54" s="1052"/>
      <c r="AH54" s="1052"/>
      <c r="AI54" s="1052"/>
      <c r="AJ54" s="1052"/>
      <c r="AK54" s="1052"/>
    </row>
    <row r="55" spans="1:37" s="1051" customFormat="1" ht="24">
      <c r="A55" s="1963" t="s">
        <v>2054</v>
      </c>
      <c r="B55" s="1968" t="s">
        <v>2055</v>
      </c>
      <c r="C55" s="1880"/>
      <c r="D55" s="997">
        <f t="shared" si="7"/>
        <v>0</v>
      </c>
      <c r="E55" s="699"/>
      <c r="F55" s="1668"/>
      <c r="G55" s="995" t="str">
        <f t="shared" si="12"/>
        <v>——</v>
      </c>
      <c r="H55" s="998" t="str">
        <f t="shared" si="8"/>
        <v>——</v>
      </c>
      <c r="I55" s="3062">
        <v>0.05</v>
      </c>
      <c r="J55" s="996" t="e">
        <f t="shared" si="9"/>
        <v>#VALUE!</v>
      </c>
      <c r="K55" s="996" t="e">
        <f t="shared" si="10"/>
        <v>#VALUE!</v>
      </c>
      <c r="L55" s="996">
        <v>0</v>
      </c>
      <c r="M55" s="996" t="e">
        <f t="shared" si="11"/>
        <v>#VALUE!</v>
      </c>
      <c r="N55" s="996" t="e">
        <f t="shared" si="11"/>
        <v>#VALUE!</v>
      </c>
      <c r="AA55" s="1052"/>
      <c r="AB55" s="1052"/>
      <c r="AC55" s="1052"/>
      <c r="AD55" s="1052"/>
      <c r="AE55" s="1052"/>
      <c r="AF55" s="1052"/>
      <c r="AG55" s="1052"/>
      <c r="AH55" s="1052"/>
      <c r="AI55" s="1052"/>
      <c r="AJ55" s="1052"/>
      <c r="AK55" s="1052"/>
    </row>
    <row r="56" spans="1:37" s="1051" customFormat="1" ht="24">
      <c r="A56" s="1969" t="s">
        <v>2056</v>
      </c>
      <c r="B56" s="1233">
        <f>估价对象房地状况!C21</f>
        <v>0</v>
      </c>
      <c r="C56" s="1880"/>
      <c r="D56" s="997">
        <f t="shared" si="7"/>
        <v>0</v>
      </c>
      <c r="E56" s="699"/>
      <c r="F56" s="1668"/>
      <c r="G56" s="995" t="str">
        <f t="shared" si="12"/>
        <v>——</v>
      </c>
      <c r="H56" s="998" t="str">
        <f t="shared" si="8"/>
        <v>——</v>
      </c>
      <c r="I56" s="3062">
        <v>0.05</v>
      </c>
      <c r="J56" s="996" t="e">
        <f t="shared" si="9"/>
        <v>#VALUE!</v>
      </c>
      <c r="K56" s="996" t="e">
        <f t="shared" si="10"/>
        <v>#VALUE!</v>
      </c>
      <c r="L56" s="996">
        <v>0</v>
      </c>
      <c r="M56" s="996" t="e">
        <f t="shared" si="11"/>
        <v>#VALUE!</v>
      </c>
      <c r="N56" s="996" t="e">
        <f t="shared" si="11"/>
        <v>#VALUE!</v>
      </c>
      <c r="AA56" s="1052"/>
      <c r="AB56" s="1052"/>
      <c r="AC56" s="1052"/>
      <c r="AD56" s="1052"/>
      <c r="AE56" s="1052"/>
      <c r="AF56" s="1052"/>
      <c r="AG56" s="1052"/>
      <c r="AH56" s="1052"/>
      <c r="AI56" s="1052"/>
      <c r="AJ56" s="1052"/>
      <c r="AK56" s="1052"/>
    </row>
    <row r="57" spans="1:37" s="1051" customFormat="1" ht="24">
      <c r="A57" s="1969" t="s">
        <v>2057</v>
      </c>
      <c r="B57" s="1255">
        <f>估价对象房地状况!C22</f>
        <v>0</v>
      </c>
      <c r="C57" s="1880"/>
      <c r="D57" s="997">
        <f t="shared" si="7"/>
        <v>0</v>
      </c>
      <c r="E57" s="699"/>
      <c r="F57" s="1668"/>
      <c r="G57" s="995" t="str">
        <f t="shared" si="12"/>
        <v>——</v>
      </c>
      <c r="H57" s="998" t="str">
        <f t="shared" si="8"/>
        <v>——</v>
      </c>
      <c r="I57" s="3062">
        <v>0.08</v>
      </c>
      <c r="J57" s="996" t="e">
        <f t="shared" si="9"/>
        <v>#VALUE!</v>
      </c>
      <c r="K57" s="996" t="e">
        <f t="shared" si="10"/>
        <v>#VALUE!</v>
      </c>
      <c r="L57" s="996">
        <v>0</v>
      </c>
      <c r="M57" s="996" t="e">
        <f t="shared" si="11"/>
        <v>#VALUE!</v>
      </c>
      <c r="N57" s="996" t="e">
        <f t="shared" si="11"/>
        <v>#VALUE!</v>
      </c>
      <c r="AA57" s="1052"/>
      <c r="AB57" s="1052"/>
      <c r="AC57" s="1052"/>
      <c r="AD57" s="1052"/>
      <c r="AE57" s="1052"/>
      <c r="AF57" s="1052"/>
      <c r="AG57" s="1052"/>
      <c r="AH57" s="1052"/>
      <c r="AI57" s="1052"/>
      <c r="AJ57" s="1052"/>
      <c r="AK57" s="1052"/>
    </row>
    <row r="58" spans="1:37" s="1051" customFormat="1" ht="24.75" thickBot="1">
      <c r="A58" s="1970" t="s">
        <v>2058</v>
      </c>
      <c r="B58" s="1971">
        <f>估价对象房地状况!C20</f>
        <v>0</v>
      </c>
      <c r="C58" s="1880"/>
      <c r="D58" s="997">
        <f t="shared" si="7"/>
        <v>0</v>
      </c>
      <c r="E58" s="700"/>
      <c r="F58" s="1668"/>
      <c r="G58" s="995" t="str">
        <f t="shared" si="12"/>
        <v>——</v>
      </c>
      <c r="H58" s="998" t="str">
        <f t="shared" si="8"/>
        <v>——</v>
      </c>
      <c r="I58" s="3063">
        <v>0.05</v>
      </c>
      <c r="J58" s="996" t="e">
        <f t="shared" si="9"/>
        <v>#VALUE!</v>
      </c>
      <c r="K58" s="996" t="e">
        <f t="shared" si="10"/>
        <v>#VALUE!</v>
      </c>
      <c r="L58" s="996">
        <v>0</v>
      </c>
      <c r="M58" s="996" t="e">
        <f t="shared" si="11"/>
        <v>#VALUE!</v>
      </c>
      <c r="N58" s="996" t="e">
        <f t="shared" si="11"/>
        <v>#VALUE!</v>
      </c>
      <c r="AA58" s="1052"/>
      <c r="AB58" s="1052"/>
      <c r="AC58" s="1052"/>
      <c r="AD58" s="1052"/>
      <c r="AE58" s="1052"/>
      <c r="AF58" s="1052"/>
      <c r="AG58" s="1052"/>
      <c r="AH58" s="1052"/>
      <c r="AI58" s="1052"/>
      <c r="AJ58" s="1052"/>
      <c r="AK58" s="1052"/>
    </row>
    <row r="59" spans="1:37" s="1051" customFormat="1" ht="15">
      <c r="A59" s="1960" t="s">
        <v>2059</v>
      </c>
      <c r="B59" s="1961">
        <f>1+E61</f>
        <v>1.0621</v>
      </c>
      <c r="C59" s="695"/>
      <c r="D59" s="695"/>
      <c r="E59" s="696"/>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2041</v>
      </c>
      <c r="B60" s="1255"/>
      <c r="C60" s="1255" t="s">
        <v>2043</v>
      </c>
      <c r="D60" s="1255" t="s">
        <v>2044</v>
      </c>
      <c r="E60" s="697" t="s">
        <v>2045</v>
      </c>
      <c r="F60" s="1964" t="s">
        <v>2060</v>
      </c>
      <c r="G60" s="1255" t="s">
        <v>310</v>
      </c>
      <c r="H60" s="1965" t="s">
        <v>2047</v>
      </c>
      <c r="I60" s="1255" t="s">
        <v>2048</v>
      </c>
      <c r="J60" s="529" t="s">
        <v>1718</v>
      </c>
      <c r="K60" s="529" t="s">
        <v>1719</v>
      </c>
      <c r="L60" s="529" t="s">
        <v>1720</v>
      </c>
      <c r="M60" s="529" t="s">
        <v>1721</v>
      </c>
      <c r="N60" s="529" t="s">
        <v>1722</v>
      </c>
      <c r="AA60" s="1052"/>
      <c r="AB60" s="1052"/>
      <c r="AC60" s="1052"/>
      <c r="AD60" s="1052"/>
      <c r="AE60" s="1052"/>
      <c r="AF60" s="1052"/>
      <c r="AG60" s="1052"/>
      <c r="AH60" s="1052"/>
      <c r="AI60" s="1052"/>
      <c r="AJ60" s="1052"/>
      <c r="AK60" s="1052"/>
    </row>
    <row r="61" spans="1:37" s="1051" customFormat="1" ht="24">
      <c r="A61" s="1963" t="s">
        <v>2061</v>
      </c>
      <c r="B61" s="1966">
        <f>估价对象房地状况!C17</f>
        <v>0</v>
      </c>
      <c r="C61" s="1880" t="s">
        <v>4165</v>
      </c>
      <c r="D61" s="997">
        <f t="shared" ref="D61:D69" si="13">SUMIF($J$60:$N$60,C61,J61:N61)</f>
        <v>1.6199999999999999E-2</v>
      </c>
      <c r="E61" s="698">
        <f>ROUND(SUM(D61:D69),4)</f>
        <v>6.2100000000000002E-2</v>
      </c>
      <c r="F61" s="1668">
        <f>IF(E2="办公",SUMIF(L1:L12,G2,N1:N12),"——")</f>
        <v>0.13</v>
      </c>
      <c r="G61" s="995">
        <f>H61</f>
        <v>1.6199999999999999E-2</v>
      </c>
      <c r="H61" s="998">
        <f t="shared" ref="H61:H69" si="14">IFERROR(ROUNDDOWN($F$61*I61/2,4),"——")</f>
        <v>1.6199999999999999E-2</v>
      </c>
      <c r="I61" s="3062">
        <v>0.25</v>
      </c>
      <c r="J61" s="996">
        <f t="shared" ref="J61:J69" si="15">K61+$G61</f>
        <v>3.2399999999999998E-2</v>
      </c>
      <c r="K61" s="996">
        <f t="shared" ref="K61:K69" si="16">$L61+$G61</f>
        <v>1.6199999999999999E-2</v>
      </c>
      <c r="L61" s="996">
        <v>0</v>
      </c>
      <c r="M61" s="996">
        <f t="shared" ref="M61:N69" si="17">L61-$G61</f>
        <v>-1.6199999999999999E-2</v>
      </c>
      <c r="N61" s="996">
        <f t="shared" si="17"/>
        <v>-3.2399999999999998E-2</v>
      </c>
      <c r="AA61" s="1052"/>
      <c r="AB61" s="1052"/>
      <c r="AC61" s="1052"/>
      <c r="AD61" s="1052"/>
      <c r="AE61" s="1052"/>
      <c r="AF61" s="1052"/>
      <c r="AG61" s="1052"/>
      <c r="AH61" s="1052"/>
      <c r="AI61" s="1052"/>
      <c r="AJ61" s="1052"/>
      <c r="AK61" s="1052"/>
    </row>
    <row r="62" spans="1:37" s="1051" customFormat="1" ht="14.25">
      <c r="A62" s="1963" t="s">
        <v>2050</v>
      </c>
      <c r="B62" s="1255">
        <f>估价对象房地状况!C18</f>
        <v>0</v>
      </c>
      <c r="C62" s="1880" t="s">
        <v>4165</v>
      </c>
      <c r="D62" s="997">
        <f t="shared" si="13"/>
        <v>1.6899999999999998E-2</v>
      </c>
      <c r="E62" s="699"/>
      <c r="F62" s="1668"/>
      <c r="G62" s="995">
        <f t="shared" ref="G62:G69" si="18">H62</f>
        <v>1.6899999999999998E-2</v>
      </c>
      <c r="H62" s="998">
        <f t="shared" si="14"/>
        <v>1.6899999999999998E-2</v>
      </c>
      <c r="I62" s="3062">
        <v>0.26</v>
      </c>
      <c r="J62" s="996">
        <f t="shared" si="15"/>
        <v>3.3799999999999997E-2</v>
      </c>
      <c r="K62" s="996">
        <f t="shared" si="16"/>
        <v>1.6899999999999998E-2</v>
      </c>
      <c r="L62" s="996">
        <v>0</v>
      </c>
      <c r="M62" s="996">
        <f t="shared" si="17"/>
        <v>-1.6899999999999998E-2</v>
      </c>
      <c r="N62" s="996">
        <f t="shared" si="17"/>
        <v>-3.3799999999999997E-2</v>
      </c>
      <c r="AA62" s="1052"/>
      <c r="AB62" s="1052"/>
      <c r="AC62" s="1052"/>
      <c r="AD62" s="1052"/>
      <c r="AE62" s="1052"/>
      <c r="AF62" s="1052"/>
      <c r="AG62" s="1052"/>
      <c r="AH62" s="1052"/>
      <c r="AI62" s="1052"/>
      <c r="AJ62" s="1052"/>
      <c r="AK62" s="1052"/>
    </row>
    <row r="63" spans="1:37" s="1051" customFormat="1" ht="36">
      <c r="A63" s="3064" t="s">
        <v>3257</v>
      </c>
      <c r="B63" s="1255">
        <f>估价对象房地状况!C19</f>
        <v>0</v>
      </c>
      <c r="C63" s="1880" t="s">
        <v>4165</v>
      </c>
      <c r="D63" s="997">
        <f t="shared" si="13"/>
        <v>7.1000000000000004E-3</v>
      </c>
      <c r="E63" s="699"/>
      <c r="F63" s="1668"/>
      <c r="G63" s="995">
        <f t="shared" si="18"/>
        <v>7.1000000000000004E-3</v>
      </c>
      <c r="H63" s="998">
        <f t="shared" si="14"/>
        <v>7.1000000000000004E-3</v>
      </c>
      <c r="I63" s="3062">
        <v>0.11</v>
      </c>
      <c r="J63" s="996">
        <f t="shared" si="15"/>
        <v>1.4200000000000001E-2</v>
      </c>
      <c r="K63" s="996">
        <f t="shared" si="16"/>
        <v>7.1000000000000004E-3</v>
      </c>
      <c r="L63" s="996">
        <v>0</v>
      </c>
      <c r="M63" s="996">
        <f t="shared" si="17"/>
        <v>-7.1000000000000004E-3</v>
      </c>
      <c r="N63" s="996">
        <f t="shared" si="17"/>
        <v>-1.4200000000000001E-2</v>
      </c>
      <c r="AA63" s="1052"/>
      <c r="AB63" s="1052"/>
      <c r="AC63" s="1052"/>
      <c r="AD63" s="1052"/>
      <c r="AE63" s="1052"/>
      <c r="AF63" s="1052"/>
      <c r="AG63" s="1052"/>
      <c r="AH63" s="1052"/>
      <c r="AI63" s="1052"/>
      <c r="AJ63" s="1052"/>
      <c r="AK63" s="1052"/>
    </row>
    <row r="64" spans="1:37" s="1051" customFormat="1" ht="36.75">
      <c r="A64" s="1963" t="s">
        <v>2051</v>
      </c>
      <c r="B64" s="1967" t="s">
        <v>2052</v>
      </c>
      <c r="C64" s="1880" t="s">
        <v>4165</v>
      </c>
      <c r="D64" s="997">
        <f t="shared" si="13"/>
        <v>3.2000000000000002E-3</v>
      </c>
      <c r="E64" s="699"/>
      <c r="F64" s="1668"/>
      <c r="G64" s="995">
        <f t="shared" si="18"/>
        <v>3.2000000000000002E-3</v>
      </c>
      <c r="H64" s="998">
        <f t="shared" si="14"/>
        <v>3.2000000000000002E-3</v>
      </c>
      <c r="I64" s="3062">
        <v>0.05</v>
      </c>
      <c r="J64" s="996">
        <f t="shared" si="15"/>
        <v>6.4000000000000003E-3</v>
      </c>
      <c r="K64" s="996">
        <f t="shared" si="16"/>
        <v>3.2000000000000002E-3</v>
      </c>
      <c r="L64" s="996">
        <v>0</v>
      </c>
      <c r="M64" s="996">
        <f t="shared" si="17"/>
        <v>-3.2000000000000002E-3</v>
      </c>
      <c r="N64" s="996">
        <f t="shared" si="17"/>
        <v>-6.4000000000000003E-3</v>
      </c>
      <c r="AA64" s="1052"/>
      <c r="AB64" s="1052"/>
      <c r="AC64" s="1052"/>
      <c r="AD64" s="1052"/>
      <c r="AE64" s="1052"/>
      <c r="AF64" s="1052"/>
      <c r="AG64" s="1052"/>
      <c r="AH64" s="1052"/>
      <c r="AI64" s="1052"/>
      <c r="AJ64" s="1052"/>
      <c r="AK64" s="1052"/>
    </row>
    <row r="65" spans="1:37" s="1051" customFormat="1" ht="24">
      <c r="A65" s="1963" t="s">
        <v>2053</v>
      </c>
      <c r="B65" s="1255">
        <f>估价对象房地状况!C24</f>
        <v>0</v>
      </c>
      <c r="C65" s="1880" t="s">
        <v>4165</v>
      </c>
      <c r="D65" s="997">
        <f t="shared" si="13"/>
        <v>3.2000000000000002E-3</v>
      </c>
      <c r="E65" s="699"/>
      <c r="F65" s="1668"/>
      <c r="G65" s="995">
        <f t="shared" si="18"/>
        <v>3.2000000000000002E-3</v>
      </c>
      <c r="H65" s="998">
        <f t="shared" si="14"/>
        <v>3.2000000000000002E-3</v>
      </c>
      <c r="I65" s="3062">
        <v>0.05</v>
      </c>
      <c r="J65" s="996">
        <f t="shared" si="15"/>
        <v>6.4000000000000003E-3</v>
      </c>
      <c r="K65" s="996">
        <f t="shared" si="16"/>
        <v>3.2000000000000002E-3</v>
      </c>
      <c r="L65" s="996">
        <v>0</v>
      </c>
      <c r="M65" s="996">
        <f t="shared" si="17"/>
        <v>-3.2000000000000002E-3</v>
      </c>
      <c r="N65" s="996">
        <f t="shared" si="17"/>
        <v>-6.4000000000000003E-3</v>
      </c>
      <c r="AA65" s="1052"/>
      <c r="AB65" s="1052"/>
      <c r="AC65" s="1052"/>
      <c r="AD65" s="1052"/>
      <c r="AE65" s="1052"/>
      <c r="AF65" s="1052"/>
      <c r="AG65" s="1052"/>
      <c r="AH65" s="1052"/>
      <c r="AI65" s="1052"/>
      <c r="AJ65" s="1052"/>
      <c r="AK65" s="1052"/>
    </row>
    <row r="66" spans="1:37" s="1051" customFormat="1" ht="24">
      <c r="A66" s="1963" t="s">
        <v>2054</v>
      </c>
      <c r="B66" s="1968" t="s">
        <v>2055</v>
      </c>
      <c r="C66" s="1880" t="s">
        <v>4165</v>
      </c>
      <c r="D66" s="997">
        <f t="shared" si="13"/>
        <v>3.8999999999999998E-3</v>
      </c>
      <c r="E66" s="699"/>
      <c r="F66" s="1668"/>
      <c r="G66" s="995">
        <f t="shared" si="18"/>
        <v>3.8999999999999998E-3</v>
      </c>
      <c r="H66" s="998">
        <f t="shared" si="14"/>
        <v>3.8999999999999998E-3</v>
      </c>
      <c r="I66" s="3062">
        <v>0.06</v>
      </c>
      <c r="J66" s="996">
        <f t="shared" si="15"/>
        <v>7.7999999999999996E-3</v>
      </c>
      <c r="K66" s="996">
        <f t="shared" si="16"/>
        <v>3.8999999999999998E-3</v>
      </c>
      <c r="L66" s="996">
        <v>0</v>
      </c>
      <c r="M66" s="996">
        <f t="shared" si="17"/>
        <v>-3.8999999999999998E-3</v>
      </c>
      <c r="N66" s="996">
        <f t="shared" si="17"/>
        <v>-7.7999999999999996E-3</v>
      </c>
      <c r="AA66" s="1052"/>
      <c r="AB66" s="1052"/>
      <c r="AC66" s="1052"/>
      <c r="AD66" s="1052"/>
      <c r="AE66" s="1052"/>
      <c r="AF66" s="1052"/>
      <c r="AG66" s="1052"/>
      <c r="AH66" s="1052"/>
      <c r="AI66" s="1052"/>
      <c r="AJ66" s="1052"/>
      <c r="AK66" s="1052"/>
    </row>
    <row r="67" spans="1:37" s="1051" customFormat="1" ht="24">
      <c r="A67" s="1963" t="s">
        <v>2056</v>
      </c>
      <c r="B67" s="1233">
        <f>估价对象房地状况!C21</f>
        <v>0</v>
      </c>
      <c r="C67" s="1880" t="s">
        <v>4164</v>
      </c>
      <c r="D67" s="997">
        <f t="shared" si="13"/>
        <v>0</v>
      </c>
      <c r="E67" s="699"/>
      <c r="F67" s="1668"/>
      <c r="G67" s="995">
        <f t="shared" si="18"/>
        <v>3.8999999999999998E-3</v>
      </c>
      <c r="H67" s="998">
        <f t="shared" si="14"/>
        <v>3.8999999999999998E-3</v>
      </c>
      <c r="I67" s="3062">
        <v>0.06</v>
      </c>
      <c r="J67" s="996">
        <f t="shared" si="15"/>
        <v>7.7999999999999996E-3</v>
      </c>
      <c r="K67" s="996">
        <f t="shared" si="16"/>
        <v>3.8999999999999998E-3</v>
      </c>
      <c r="L67" s="996">
        <v>0</v>
      </c>
      <c r="M67" s="996">
        <f t="shared" si="17"/>
        <v>-3.8999999999999998E-3</v>
      </c>
      <c r="N67" s="996">
        <f t="shared" si="17"/>
        <v>-7.7999999999999996E-3</v>
      </c>
      <c r="AA67" s="1052"/>
      <c r="AB67" s="1052"/>
      <c r="AC67" s="1052"/>
      <c r="AD67" s="1052"/>
      <c r="AE67" s="1052"/>
      <c r="AF67" s="1052"/>
      <c r="AG67" s="1052"/>
      <c r="AH67" s="1052"/>
      <c r="AI67" s="1052"/>
      <c r="AJ67" s="1052"/>
      <c r="AK67" s="1052"/>
    </row>
    <row r="68" spans="1:37" s="1051" customFormat="1" ht="24">
      <c r="A68" s="1963" t="s">
        <v>2057</v>
      </c>
      <c r="B68" s="1233">
        <f>估价对象房地状况!C22</f>
        <v>0</v>
      </c>
      <c r="C68" s="1880" t="s">
        <v>4428</v>
      </c>
      <c r="D68" s="997">
        <f t="shared" si="13"/>
        <v>1.1599999999999999E-2</v>
      </c>
      <c r="E68" s="699"/>
      <c r="F68" s="1668"/>
      <c r="G68" s="995">
        <f t="shared" si="18"/>
        <v>5.7999999999999996E-3</v>
      </c>
      <c r="H68" s="998">
        <f t="shared" si="14"/>
        <v>5.7999999999999996E-3</v>
      </c>
      <c r="I68" s="3062">
        <v>0.09</v>
      </c>
      <c r="J68" s="996">
        <f t="shared" si="15"/>
        <v>1.1599999999999999E-2</v>
      </c>
      <c r="K68" s="996">
        <f t="shared" si="16"/>
        <v>5.7999999999999996E-3</v>
      </c>
      <c r="L68" s="996">
        <v>0</v>
      </c>
      <c r="M68" s="996">
        <f t="shared" si="17"/>
        <v>-5.7999999999999996E-3</v>
      </c>
      <c r="N68" s="996">
        <f t="shared" si="17"/>
        <v>-1.1599999999999999E-2</v>
      </c>
      <c r="AA68" s="1052"/>
      <c r="AB68" s="1052"/>
      <c r="AC68" s="1052"/>
      <c r="AD68" s="1052"/>
      <c r="AE68" s="1052"/>
      <c r="AF68" s="1052"/>
      <c r="AG68" s="1052"/>
      <c r="AH68" s="1052"/>
      <c r="AI68" s="1052"/>
      <c r="AJ68" s="1052"/>
      <c r="AK68" s="1052"/>
    </row>
    <row r="69" spans="1:37" s="1051" customFormat="1" ht="24.75" thickBot="1">
      <c r="A69" s="1970" t="s">
        <v>2058</v>
      </c>
      <c r="B69" s="1972">
        <f>估价对象房地状况!C20</f>
        <v>0</v>
      </c>
      <c r="C69" s="385" t="s">
        <v>4164</v>
      </c>
      <c r="D69" s="997">
        <f t="shared" si="13"/>
        <v>0</v>
      </c>
      <c r="E69" s="700"/>
      <c r="F69" s="1668"/>
      <c r="G69" s="995">
        <f t="shared" si="18"/>
        <v>4.4999999999999997E-3</v>
      </c>
      <c r="H69" s="998">
        <f t="shared" si="14"/>
        <v>4.4999999999999997E-3</v>
      </c>
      <c r="I69" s="3063">
        <v>7.0000000000000007E-2</v>
      </c>
      <c r="J69" s="996">
        <f t="shared" si="15"/>
        <v>8.9999999999999993E-3</v>
      </c>
      <c r="K69" s="996">
        <f t="shared" si="16"/>
        <v>4.4999999999999997E-3</v>
      </c>
      <c r="L69" s="996">
        <v>0</v>
      </c>
      <c r="M69" s="996">
        <f t="shared" si="17"/>
        <v>-4.4999999999999997E-3</v>
      </c>
      <c r="N69" s="996">
        <f t="shared" si="17"/>
        <v>-8.9999999999999993E-3</v>
      </c>
      <c r="AA69" s="1052"/>
      <c r="AB69" s="1052"/>
      <c r="AC69" s="1052"/>
      <c r="AD69" s="1052"/>
      <c r="AE69" s="1052"/>
      <c r="AF69" s="1052"/>
      <c r="AG69" s="1052"/>
      <c r="AH69" s="1052"/>
      <c r="AI69" s="1052"/>
      <c r="AJ69" s="1052"/>
      <c r="AK69" s="1052"/>
    </row>
    <row r="70" spans="1:37" s="1051" customFormat="1" ht="15">
      <c r="A70" s="1960" t="s">
        <v>2062</v>
      </c>
      <c r="B70" s="1961">
        <f>1+E72</f>
        <v>1</v>
      </c>
      <c r="C70" s="695"/>
      <c r="D70" s="695"/>
      <c r="E70" s="696"/>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2041</v>
      </c>
      <c r="B71" s="1255"/>
      <c r="C71" s="1255" t="s">
        <v>2043</v>
      </c>
      <c r="D71" s="1255" t="s">
        <v>2044</v>
      </c>
      <c r="E71" s="697" t="s">
        <v>2045</v>
      </c>
      <c r="F71" s="1964" t="s">
        <v>2060</v>
      </c>
      <c r="G71" s="1255" t="s">
        <v>310</v>
      </c>
      <c r="H71" s="1965" t="s">
        <v>2047</v>
      </c>
      <c r="I71" s="1255" t="s">
        <v>2048</v>
      </c>
      <c r="J71" s="529" t="s">
        <v>1718</v>
      </c>
      <c r="K71" s="529" t="s">
        <v>1719</v>
      </c>
      <c r="L71" s="529" t="s">
        <v>1720</v>
      </c>
      <c r="M71" s="529" t="s">
        <v>1721</v>
      </c>
      <c r="N71" s="529" t="s">
        <v>1722</v>
      </c>
      <c r="AA71" s="1052"/>
      <c r="AB71" s="1052"/>
      <c r="AC71" s="1052"/>
      <c r="AD71" s="1052"/>
      <c r="AE71" s="1052"/>
      <c r="AF71" s="1052"/>
      <c r="AG71" s="1052"/>
      <c r="AH71" s="1052"/>
      <c r="AI71" s="1052"/>
      <c r="AJ71" s="1052"/>
      <c r="AK71" s="1052"/>
    </row>
    <row r="72" spans="1:37" s="1051" customFormat="1" ht="24">
      <c r="A72" s="1963" t="s">
        <v>2063</v>
      </c>
      <c r="B72" s="1966">
        <f>估价对象房地状况!C15</f>
        <v>0</v>
      </c>
      <c r="C72" s="1880"/>
      <c r="D72" s="997">
        <f t="shared" ref="D72:D80" si="19">SUMIF($J$71:$N$71,C72,J72:N72)</f>
        <v>0</v>
      </c>
      <c r="E72" s="698">
        <f>ROUND(SUM(D72:D80),4)</f>
        <v>0</v>
      </c>
      <c r="F72" s="1668" t="str">
        <f>IF(E2="住宅",SUMIF(L1:L12,G2,N1:N12),"——")</f>
        <v>——</v>
      </c>
      <c r="G72" s="995"/>
      <c r="H72" s="998" t="str">
        <f t="shared" ref="H72:H80" si="20">IFERROR(ROUNDDOWN($F$72*I72/2,4),"——")</f>
        <v>——</v>
      </c>
      <c r="I72" s="3062">
        <v>0.2</v>
      </c>
      <c r="J72" s="996">
        <f t="shared" ref="J72:J80" si="21">K72+$G72</f>
        <v>0</v>
      </c>
      <c r="K72" s="996">
        <f t="shared" ref="K72:K80" si="22">$L72+$G72</f>
        <v>0</v>
      </c>
      <c r="L72" s="996">
        <v>0</v>
      </c>
      <c r="M72" s="996">
        <f t="shared" ref="M72:N80" si="23">L72-$G72</f>
        <v>0</v>
      </c>
      <c r="N72" s="996">
        <f t="shared" si="23"/>
        <v>0</v>
      </c>
      <c r="AA72" s="1052"/>
      <c r="AB72" s="1052"/>
      <c r="AC72" s="1052"/>
      <c r="AD72" s="1052"/>
      <c r="AE72" s="1052"/>
      <c r="AF72" s="1052"/>
      <c r="AG72" s="1052"/>
      <c r="AH72" s="1052"/>
      <c r="AI72" s="1052"/>
      <c r="AJ72" s="1052"/>
      <c r="AK72" s="1052"/>
    </row>
    <row r="73" spans="1:37" s="1051" customFormat="1" ht="14.25">
      <c r="A73" s="1963" t="s">
        <v>2050</v>
      </c>
      <c r="B73" s="1255">
        <f>估价对象房地状况!C18</f>
        <v>0</v>
      </c>
      <c r="C73" s="1880"/>
      <c r="D73" s="997">
        <f t="shared" si="19"/>
        <v>0</v>
      </c>
      <c r="E73" s="701"/>
      <c r="F73" s="1668"/>
      <c r="G73" s="995"/>
      <c r="H73" s="998" t="str">
        <f t="shared" si="20"/>
        <v>——</v>
      </c>
      <c r="I73" s="3062">
        <v>0.26</v>
      </c>
      <c r="J73" s="996">
        <f t="shared" si="21"/>
        <v>0</v>
      </c>
      <c r="K73" s="996">
        <f t="shared" si="22"/>
        <v>0</v>
      </c>
      <c r="L73" s="996">
        <v>0</v>
      </c>
      <c r="M73" s="996">
        <f t="shared" si="23"/>
        <v>0</v>
      </c>
      <c r="N73" s="996">
        <f t="shared" si="23"/>
        <v>0</v>
      </c>
      <c r="AA73" s="1052"/>
      <c r="AB73" s="1052"/>
      <c r="AC73" s="1052"/>
      <c r="AD73" s="1052"/>
      <c r="AE73" s="1052"/>
      <c r="AF73" s="1052"/>
      <c r="AG73" s="1052"/>
      <c r="AH73" s="1052"/>
      <c r="AI73" s="1052"/>
      <c r="AJ73" s="1052"/>
      <c r="AK73" s="1052"/>
    </row>
    <row r="74" spans="1:37" s="1837" customFormat="1" ht="36">
      <c r="A74" s="3064" t="s">
        <v>3257</v>
      </c>
      <c r="B74" s="1255">
        <f>估价对象房地状况!C19</f>
        <v>0</v>
      </c>
      <c r="C74" s="1880"/>
      <c r="D74" s="997">
        <f t="shared" si="19"/>
        <v>0</v>
      </c>
      <c r="E74" s="701"/>
      <c r="F74" s="1668"/>
      <c r="G74" s="995"/>
      <c r="H74" s="998" t="str">
        <f t="shared" si="20"/>
        <v>——</v>
      </c>
      <c r="I74" s="3062">
        <v>0.1</v>
      </c>
      <c r="J74" s="996">
        <f t="shared" si="21"/>
        <v>0</v>
      </c>
      <c r="K74" s="996">
        <f t="shared" si="22"/>
        <v>0</v>
      </c>
      <c r="L74" s="996">
        <v>0</v>
      </c>
      <c r="M74" s="996">
        <f t="shared" si="23"/>
        <v>0</v>
      </c>
      <c r="N74" s="996">
        <f t="shared" si="23"/>
        <v>0</v>
      </c>
      <c r="O74" s="1051"/>
      <c r="P74" s="1051"/>
      <c r="Q74" s="1051"/>
      <c r="AA74" s="1973"/>
      <c r="AB74" s="1052"/>
      <c r="AC74" s="1052"/>
      <c r="AD74" s="1052"/>
      <c r="AE74" s="1052"/>
      <c r="AF74" s="1052"/>
      <c r="AG74" s="1052"/>
      <c r="AH74" s="1973"/>
      <c r="AI74" s="1973"/>
      <c r="AJ74" s="1973"/>
      <c r="AK74" s="1973"/>
    </row>
    <row r="75" spans="1:37" ht="14.25">
      <c r="A75" s="1963" t="s">
        <v>2064</v>
      </c>
      <c r="B75" s="1255">
        <f>估价对象房地状况!C24</f>
        <v>0</v>
      </c>
      <c r="C75" s="1880"/>
      <c r="D75" s="997">
        <f t="shared" si="19"/>
        <v>0</v>
      </c>
      <c r="E75" s="701"/>
      <c r="F75" s="1668"/>
      <c r="G75" s="995"/>
      <c r="H75" s="998" t="str">
        <f t="shared" si="20"/>
        <v>——</v>
      </c>
      <c r="I75" s="3062">
        <v>0.05</v>
      </c>
      <c r="J75" s="996">
        <f t="shared" si="21"/>
        <v>0</v>
      </c>
      <c r="K75" s="996">
        <f t="shared" si="22"/>
        <v>0</v>
      </c>
      <c r="L75" s="996">
        <v>0</v>
      </c>
      <c r="M75" s="996">
        <f t="shared" si="23"/>
        <v>0</v>
      </c>
      <c r="N75" s="996">
        <f t="shared" si="23"/>
        <v>0</v>
      </c>
      <c r="O75" s="1051"/>
      <c r="P75" s="1051"/>
      <c r="Q75" s="1837"/>
      <c r="Z75" s="1838"/>
      <c r="AA75" s="1888"/>
      <c r="AG75" s="1053"/>
      <c r="AK75" s="1888"/>
    </row>
    <row r="76" spans="1:37" ht="24">
      <c r="A76" s="1963" t="s">
        <v>2056</v>
      </c>
      <c r="B76" s="1233">
        <f>估价对象房地状况!C21</f>
        <v>0</v>
      </c>
      <c r="C76" s="1880"/>
      <c r="D76" s="997">
        <f t="shared" si="19"/>
        <v>0</v>
      </c>
      <c r="E76" s="701"/>
      <c r="F76" s="1668"/>
      <c r="G76" s="995"/>
      <c r="H76" s="998" t="str">
        <f t="shared" si="20"/>
        <v>——</v>
      </c>
      <c r="I76" s="3062">
        <v>0.08</v>
      </c>
      <c r="J76" s="996">
        <f t="shared" si="21"/>
        <v>0</v>
      </c>
      <c r="K76" s="996">
        <f t="shared" si="22"/>
        <v>0</v>
      </c>
      <c r="L76" s="996">
        <v>0</v>
      </c>
      <c r="M76" s="996">
        <f t="shared" si="23"/>
        <v>0</v>
      </c>
      <c r="N76" s="996">
        <f t="shared" si="23"/>
        <v>0</v>
      </c>
      <c r="O76" s="1051"/>
      <c r="P76" s="1051"/>
      <c r="Z76" s="1838"/>
      <c r="AA76" s="1888"/>
      <c r="AG76" s="1053"/>
      <c r="AK76" s="1888"/>
    </row>
    <row r="77" spans="1:37" ht="24">
      <c r="A77" s="1963" t="s">
        <v>2057</v>
      </c>
      <c r="B77" s="1233">
        <f>估价对象房地状况!C22</f>
        <v>0</v>
      </c>
      <c r="C77" s="1880"/>
      <c r="D77" s="997">
        <f t="shared" si="19"/>
        <v>0</v>
      </c>
      <c r="E77" s="701"/>
      <c r="F77" s="1668"/>
      <c r="G77" s="995"/>
      <c r="H77" s="998" t="str">
        <f t="shared" si="20"/>
        <v>——</v>
      </c>
      <c r="I77" s="3062">
        <v>0.09</v>
      </c>
      <c r="J77" s="996">
        <f t="shared" si="21"/>
        <v>0</v>
      </c>
      <c r="K77" s="996">
        <f t="shared" si="22"/>
        <v>0</v>
      </c>
      <c r="L77" s="996">
        <v>0</v>
      </c>
      <c r="M77" s="996">
        <f t="shared" si="23"/>
        <v>0</v>
      </c>
      <c r="N77" s="996">
        <f t="shared" si="23"/>
        <v>0</v>
      </c>
      <c r="O77" s="1051"/>
      <c r="P77" s="1051"/>
      <c r="Z77" s="1838"/>
      <c r="AA77" s="1888"/>
      <c r="AG77" s="1053"/>
      <c r="AK77" s="1888"/>
    </row>
    <row r="78" spans="1:37" ht="24">
      <c r="A78" s="1963" t="s">
        <v>2054</v>
      </c>
      <c r="B78" s="1968" t="s">
        <v>2055</v>
      </c>
      <c r="C78" s="1880"/>
      <c r="D78" s="997">
        <f t="shared" si="19"/>
        <v>0</v>
      </c>
      <c r="E78" s="701"/>
      <c r="F78" s="1668"/>
      <c r="G78" s="995"/>
      <c r="H78" s="998" t="str">
        <f t="shared" si="20"/>
        <v>——</v>
      </c>
      <c r="I78" s="3062">
        <v>0.05</v>
      </c>
      <c r="J78" s="996">
        <f t="shared" si="21"/>
        <v>0</v>
      </c>
      <c r="K78" s="996">
        <f t="shared" si="22"/>
        <v>0</v>
      </c>
      <c r="L78" s="996">
        <v>0</v>
      </c>
      <c r="M78" s="996">
        <f t="shared" si="23"/>
        <v>0</v>
      </c>
      <c r="N78" s="996">
        <f t="shared" si="23"/>
        <v>0</v>
      </c>
      <c r="O78" s="1837"/>
      <c r="P78" s="1837"/>
      <c r="Z78" s="1838"/>
      <c r="AA78" s="1888"/>
      <c r="AG78" s="1053"/>
      <c r="AK78" s="1888"/>
    </row>
    <row r="79" spans="1:37" ht="24">
      <c r="A79" s="1963" t="s">
        <v>2058</v>
      </c>
      <c r="B79" s="1966">
        <f>估价对象房地状况!C20</f>
        <v>0</v>
      </c>
      <c r="C79" s="1880"/>
      <c r="D79" s="997">
        <f t="shared" si="19"/>
        <v>0</v>
      </c>
      <c r="E79" s="701"/>
      <c r="F79" s="1668"/>
      <c r="G79" s="995"/>
      <c r="H79" s="998" t="str">
        <f t="shared" si="20"/>
        <v>——</v>
      </c>
      <c r="I79" s="3062">
        <v>0.12</v>
      </c>
      <c r="J79" s="996">
        <f t="shared" si="21"/>
        <v>0</v>
      </c>
      <c r="K79" s="996">
        <f t="shared" si="22"/>
        <v>0</v>
      </c>
      <c r="L79" s="996">
        <v>0</v>
      </c>
      <c r="M79" s="996">
        <f t="shared" si="23"/>
        <v>0</v>
      </c>
      <c r="N79" s="996">
        <f t="shared" si="23"/>
        <v>0</v>
      </c>
      <c r="Z79" s="1838"/>
      <c r="AA79" s="1888"/>
      <c r="AG79" s="1053"/>
      <c r="AK79" s="1888"/>
    </row>
    <row r="80" spans="1:37" ht="24.75" thickBot="1">
      <c r="A80" s="1970" t="s">
        <v>2065</v>
      </c>
      <c r="B80" s="1974"/>
      <c r="C80" s="1880"/>
      <c r="D80" s="997">
        <f t="shared" si="19"/>
        <v>0</v>
      </c>
      <c r="E80" s="702"/>
      <c r="F80" s="1668"/>
      <c r="G80" s="995"/>
      <c r="H80" s="998" t="str">
        <f t="shared" si="20"/>
        <v>——</v>
      </c>
      <c r="I80" s="3063">
        <v>0.05</v>
      </c>
      <c r="J80" s="996">
        <f t="shared" si="21"/>
        <v>0</v>
      </c>
      <c r="K80" s="996">
        <f t="shared" si="22"/>
        <v>0</v>
      </c>
      <c r="L80" s="996">
        <v>0</v>
      </c>
      <c r="M80" s="996">
        <f t="shared" si="23"/>
        <v>0</v>
      </c>
      <c r="N80" s="996">
        <f t="shared" si="23"/>
        <v>0</v>
      </c>
      <c r="Z80" s="1838"/>
      <c r="AA80" s="1888"/>
      <c r="AG80" s="1053"/>
      <c r="AK80" s="1888"/>
    </row>
    <row r="81" spans="1:37" ht="15">
      <c r="A81" s="1960" t="s">
        <v>2066</v>
      </c>
      <c r="B81" s="1961">
        <f>1+E83</f>
        <v>1</v>
      </c>
      <c r="C81" s="695"/>
      <c r="D81" s="695"/>
      <c r="E81" s="696"/>
      <c r="F81" s="1962"/>
      <c r="G81" s="3"/>
      <c r="H81" s="3"/>
      <c r="I81" s="3"/>
      <c r="J81" s="4"/>
      <c r="K81" s="4"/>
      <c r="L81" s="4"/>
      <c r="M81" s="4"/>
      <c r="N81" s="4"/>
      <c r="Z81" s="1838"/>
      <c r="AA81" s="1888"/>
      <c r="AG81" s="1053"/>
      <c r="AK81" s="1888"/>
    </row>
    <row r="82" spans="1:37" ht="24.75">
      <c r="A82" s="1963" t="s">
        <v>2041</v>
      </c>
      <c r="B82" s="1255"/>
      <c r="C82" s="1255" t="s">
        <v>2043</v>
      </c>
      <c r="D82" s="1255" t="s">
        <v>2044</v>
      </c>
      <c r="E82" s="697" t="s">
        <v>2045</v>
      </c>
      <c r="F82" s="1964" t="s">
        <v>2060</v>
      </c>
      <c r="G82" s="1255" t="s">
        <v>310</v>
      </c>
      <c r="H82" s="1965" t="s">
        <v>2047</v>
      </c>
      <c r="I82" s="1255" t="s">
        <v>2048</v>
      </c>
      <c r="J82" s="529" t="s">
        <v>1718</v>
      </c>
      <c r="K82" s="529" t="s">
        <v>1719</v>
      </c>
      <c r="L82" s="529" t="s">
        <v>1720</v>
      </c>
      <c r="M82" s="529" t="s">
        <v>1721</v>
      </c>
      <c r="N82" s="529" t="s">
        <v>1722</v>
      </c>
      <c r="Z82" s="1838"/>
      <c r="AA82" s="1888"/>
      <c r="AG82" s="1053"/>
      <c r="AK82" s="1888"/>
    </row>
    <row r="83" spans="1:37" ht="24">
      <c r="A83" s="1963" t="s">
        <v>2067</v>
      </c>
      <c r="B83" s="1255">
        <f>估价对象房地状况!G15</f>
        <v>0</v>
      </c>
      <c r="C83" s="1880"/>
      <c r="D83" s="997">
        <f t="shared" ref="D83:D90" si="24">SUMIF($J$82:$N$82,C83,J83:N83)</f>
        <v>0</v>
      </c>
      <c r="E83" s="698">
        <f>ROUND(SUM(D83:D90),4)</f>
        <v>0</v>
      </c>
      <c r="F83" s="1668" t="str">
        <f>IF(E2="工业",SUMIF(L1:L12,G2,N1:N12),"——")</f>
        <v>——</v>
      </c>
      <c r="G83" s="995"/>
      <c r="H83" s="998" t="str">
        <f t="shared" ref="H83:H90" si="25">IFERROR(ROUNDDOWN($F$83*I83/2,4),"——")</f>
        <v>——</v>
      </c>
      <c r="I83" s="3062">
        <v>0.26</v>
      </c>
      <c r="J83" s="996">
        <f t="shared" ref="J83:J90" si="26">K83+$G83</f>
        <v>0</v>
      </c>
      <c r="K83" s="996">
        <f t="shared" ref="K83:K90" si="27">$L83+$G83</f>
        <v>0</v>
      </c>
      <c r="L83" s="996">
        <v>0</v>
      </c>
      <c r="M83" s="996">
        <f t="shared" ref="M83:N90" si="28">L83-$G83</f>
        <v>0</v>
      </c>
      <c r="N83" s="996">
        <f t="shared" si="28"/>
        <v>0</v>
      </c>
      <c r="Z83" s="1838"/>
      <c r="AA83" s="1888"/>
      <c r="AG83" s="1053"/>
      <c r="AK83" s="1888"/>
    </row>
    <row r="84" spans="1:37" ht="14.25">
      <c r="A84" s="1963" t="s">
        <v>2050</v>
      </c>
      <c r="B84" s="1255">
        <f>估价对象房地状况!G16</f>
        <v>0</v>
      </c>
      <c r="C84" s="1880"/>
      <c r="D84" s="997">
        <f t="shared" si="24"/>
        <v>0</v>
      </c>
      <c r="E84" s="701"/>
      <c r="F84" s="1668"/>
      <c r="G84" s="995"/>
      <c r="H84" s="998" t="str">
        <f t="shared" si="25"/>
        <v>——</v>
      </c>
      <c r="I84" s="3062">
        <v>0.3</v>
      </c>
      <c r="J84" s="996">
        <f t="shared" si="26"/>
        <v>0</v>
      </c>
      <c r="K84" s="996">
        <f t="shared" si="27"/>
        <v>0</v>
      </c>
      <c r="L84" s="996">
        <v>0</v>
      </c>
      <c r="M84" s="996">
        <f t="shared" si="28"/>
        <v>0</v>
      </c>
      <c r="N84" s="996">
        <f t="shared" si="28"/>
        <v>0</v>
      </c>
      <c r="Z84" s="1838"/>
      <c r="AA84" s="1888"/>
      <c r="AG84" s="1053"/>
      <c r="AK84" s="1888"/>
    </row>
    <row r="85" spans="1:37" ht="36">
      <c r="A85" s="3064" t="s">
        <v>3257</v>
      </c>
      <c r="B85" s="1255">
        <f>估价对象房地状况!G17</f>
        <v>0</v>
      </c>
      <c r="C85" s="1880"/>
      <c r="D85" s="997">
        <f t="shared" si="24"/>
        <v>0</v>
      </c>
      <c r="E85" s="701"/>
      <c r="F85" s="1668"/>
      <c r="G85" s="995"/>
      <c r="H85" s="998" t="str">
        <f t="shared" si="25"/>
        <v>——</v>
      </c>
      <c r="I85" s="3062">
        <v>0.1</v>
      </c>
      <c r="J85" s="996">
        <f t="shared" si="26"/>
        <v>0</v>
      </c>
      <c r="K85" s="996">
        <f t="shared" si="27"/>
        <v>0</v>
      </c>
      <c r="L85" s="996">
        <v>0</v>
      </c>
      <c r="M85" s="996">
        <f t="shared" si="28"/>
        <v>0</v>
      </c>
      <c r="N85" s="996">
        <f t="shared" si="28"/>
        <v>0</v>
      </c>
      <c r="Z85" s="1838"/>
      <c r="AA85" s="1888"/>
      <c r="AG85" s="1053"/>
      <c r="AK85" s="1888"/>
    </row>
    <row r="86" spans="1:37" ht="14.25">
      <c r="A86" s="1963" t="s">
        <v>2064</v>
      </c>
      <c r="B86" s="1255">
        <f>估价对象房地状况!G22</f>
        <v>0</v>
      </c>
      <c r="C86" s="1880"/>
      <c r="D86" s="997">
        <f t="shared" si="24"/>
        <v>0</v>
      </c>
      <c r="E86" s="701"/>
      <c r="F86" s="1668"/>
      <c r="G86" s="995"/>
      <c r="H86" s="998" t="str">
        <f t="shared" si="25"/>
        <v>——</v>
      </c>
      <c r="I86" s="3062">
        <v>0.05</v>
      </c>
      <c r="J86" s="996">
        <f t="shared" si="26"/>
        <v>0</v>
      </c>
      <c r="K86" s="996">
        <f t="shared" si="27"/>
        <v>0</v>
      </c>
      <c r="L86" s="996">
        <v>0</v>
      </c>
      <c r="M86" s="996">
        <f t="shared" si="28"/>
        <v>0</v>
      </c>
      <c r="N86" s="996">
        <f t="shared" si="28"/>
        <v>0</v>
      </c>
      <c r="Z86" s="1838"/>
      <c r="AA86" s="1888"/>
      <c r="AG86" s="1053"/>
      <c r="AK86" s="1888"/>
    </row>
    <row r="87" spans="1:37" ht="24">
      <c r="A87" s="1963" t="s">
        <v>2056</v>
      </c>
      <c r="B87" s="1233">
        <f>估价对象房地状况!G19</f>
        <v>0</v>
      </c>
      <c r="C87" s="1880"/>
      <c r="D87" s="997">
        <f t="shared" si="24"/>
        <v>0</v>
      </c>
      <c r="E87" s="701"/>
      <c r="F87" s="1668"/>
      <c r="G87" s="995"/>
      <c r="H87" s="998" t="str">
        <f t="shared" si="25"/>
        <v>——</v>
      </c>
      <c r="I87" s="3062">
        <v>0.06</v>
      </c>
      <c r="J87" s="996">
        <f t="shared" si="26"/>
        <v>0</v>
      </c>
      <c r="K87" s="996">
        <f t="shared" si="27"/>
        <v>0</v>
      </c>
      <c r="L87" s="996">
        <v>0</v>
      </c>
      <c r="M87" s="996">
        <f t="shared" si="28"/>
        <v>0</v>
      </c>
      <c r="N87" s="996">
        <f t="shared" si="28"/>
        <v>0</v>
      </c>
    </row>
    <row r="88" spans="1:37" ht="24">
      <c r="A88" s="1963" t="s">
        <v>2057</v>
      </c>
      <c r="B88" s="1233">
        <f>估价对象房地状况!G20</f>
        <v>0</v>
      </c>
      <c r="C88" s="1880"/>
      <c r="D88" s="997">
        <f t="shared" si="24"/>
        <v>0</v>
      </c>
      <c r="E88" s="701"/>
      <c r="F88" s="1668"/>
      <c r="G88" s="995"/>
      <c r="H88" s="998" t="str">
        <f t="shared" si="25"/>
        <v>——</v>
      </c>
      <c r="I88" s="3062">
        <v>0.12</v>
      </c>
      <c r="J88" s="996">
        <f t="shared" si="26"/>
        <v>0</v>
      </c>
      <c r="K88" s="996">
        <f t="shared" si="27"/>
        <v>0</v>
      </c>
      <c r="L88" s="996">
        <v>0</v>
      </c>
      <c r="M88" s="996">
        <f t="shared" si="28"/>
        <v>0</v>
      </c>
      <c r="N88" s="996">
        <f t="shared" si="28"/>
        <v>0</v>
      </c>
    </row>
    <row r="89" spans="1:37" ht="24">
      <c r="A89" s="1963" t="s">
        <v>2054</v>
      </c>
      <c r="B89" s="1968" t="s">
        <v>2068</v>
      </c>
      <c r="C89" s="1880"/>
      <c r="D89" s="997">
        <f t="shared" si="24"/>
        <v>0</v>
      </c>
      <c r="E89" s="701"/>
      <c r="F89" s="1668"/>
      <c r="G89" s="995"/>
      <c r="H89" s="998" t="str">
        <f t="shared" si="25"/>
        <v>——</v>
      </c>
      <c r="I89" s="3062">
        <v>0.06</v>
      </c>
      <c r="J89" s="996">
        <f t="shared" si="26"/>
        <v>0</v>
      </c>
      <c r="K89" s="996">
        <f t="shared" si="27"/>
        <v>0</v>
      </c>
      <c r="L89" s="996">
        <v>0</v>
      </c>
      <c r="M89" s="996">
        <f t="shared" si="28"/>
        <v>0</v>
      </c>
      <c r="N89" s="996">
        <f t="shared" si="28"/>
        <v>0</v>
      </c>
    </row>
    <row r="90" spans="1:37" ht="15" thickBot="1">
      <c r="A90" s="1970" t="s">
        <v>2069</v>
      </c>
      <c r="B90" s="1975">
        <f>估价对象房地状况!G18</f>
        <v>0</v>
      </c>
      <c r="C90" s="1880"/>
      <c r="D90" s="997">
        <f t="shared" si="24"/>
        <v>0</v>
      </c>
      <c r="E90" s="702"/>
      <c r="F90" s="1668"/>
      <c r="G90" s="995"/>
      <c r="H90" s="998" t="str">
        <f t="shared" si="25"/>
        <v>——</v>
      </c>
      <c r="I90" s="3063">
        <v>0.05</v>
      </c>
      <c r="J90" s="996">
        <f t="shared" si="26"/>
        <v>0</v>
      </c>
      <c r="K90" s="996">
        <f t="shared" si="27"/>
        <v>0</v>
      </c>
      <c r="L90" s="996">
        <v>0</v>
      </c>
      <c r="M90" s="996">
        <f t="shared" si="28"/>
        <v>0</v>
      </c>
      <c r="N90" s="996">
        <f t="shared" si="28"/>
        <v>0</v>
      </c>
    </row>
    <row r="91" spans="1:37" ht="15">
      <c r="A91" s="3072" t="s">
        <v>2601</v>
      </c>
      <c r="B91" s="3073">
        <f>1+E93</f>
        <v>1</v>
      </c>
      <c r="C91" s="3066"/>
      <c r="D91" s="3067"/>
      <c r="E91" s="1668"/>
      <c r="F91" s="1668"/>
      <c r="G91" s="3068"/>
      <c r="H91" s="3069"/>
      <c r="I91" s="3070"/>
      <c r="J91" s="3071"/>
      <c r="K91" s="3071"/>
      <c r="L91" s="3071"/>
      <c r="M91" s="3071"/>
      <c r="N91" s="3071"/>
    </row>
    <row r="92" spans="1:37" ht="24.75">
      <c r="A92" s="3074" t="s">
        <v>2041</v>
      </c>
      <c r="B92" s="2303"/>
      <c r="C92" s="2303" t="s">
        <v>2043</v>
      </c>
      <c r="D92" s="2303" t="s">
        <v>2044</v>
      </c>
      <c r="E92" s="3046" t="s">
        <v>2045</v>
      </c>
      <c r="F92" s="3076" t="s">
        <v>3271</v>
      </c>
      <c r="G92" s="2303" t="s">
        <v>1986</v>
      </c>
      <c r="H92" s="3083" t="s">
        <v>3275</v>
      </c>
      <c r="I92" s="2303" t="s">
        <v>2048</v>
      </c>
      <c r="J92" s="2143" t="s">
        <v>1718</v>
      </c>
      <c r="K92" s="2143" t="s">
        <v>1719</v>
      </c>
      <c r="L92" s="2143" t="s">
        <v>1720</v>
      </c>
      <c r="M92" s="2143" t="s">
        <v>1721</v>
      </c>
      <c r="N92" s="2143" t="s">
        <v>1722</v>
      </c>
    </row>
    <row r="93" spans="1:37" ht="24">
      <c r="A93" s="3064" t="s">
        <v>3260</v>
      </c>
      <c r="B93" s="1216"/>
      <c r="C93" s="1880"/>
      <c r="D93" s="2303">
        <f>SUMIF($J$92:$N$92,C93,J93:N93)</f>
        <v>0</v>
      </c>
      <c r="E93" s="3077">
        <f>ROUND(SUM(D93:D101),4)</f>
        <v>0</v>
      </c>
      <c r="F93" s="1668" t="str">
        <f>IF(E2="公共服务",SUMIF(L1:L12,G2,N1:N12),"——")</f>
        <v>——</v>
      </c>
      <c r="G93" s="3068"/>
      <c r="H93" s="3113" t="str">
        <f>IFERROR(ROUNDDOWN($F$93*I93/2,4),"——")</f>
        <v>——</v>
      </c>
      <c r="I93" s="3062">
        <v>0.25</v>
      </c>
      <c r="J93" s="1905">
        <f t="shared" ref="J93:J101" si="29">K93+$G93</f>
        <v>0</v>
      </c>
      <c r="K93" s="1905">
        <f t="shared" ref="K93:K101" si="30">$L93+$G93</f>
        <v>0</v>
      </c>
      <c r="L93" s="1905">
        <v>0</v>
      </c>
      <c r="M93" s="1905">
        <f t="shared" ref="M93:N101" si="31">L93-$G93</f>
        <v>0</v>
      </c>
      <c r="N93" s="1905">
        <f t="shared" si="31"/>
        <v>0</v>
      </c>
    </row>
    <row r="94" spans="1:37" ht="14.25">
      <c r="A94" s="3074" t="s">
        <v>2050</v>
      </c>
      <c r="B94" s="3065">
        <f>估价对象房地状况!C18</f>
        <v>0</v>
      </c>
      <c r="C94" s="1880"/>
      <c r="D94" s="2303">
        <f t="shared" ref="D94:D101" si="32">SUMIF($J$60:$N$60,C94,J94:N94)</f>
        <v>0</v>
      </c>
      <c r="E94" s="3078"/>
      <c r="F94" s="1668"/>
      <c r="G94" s="3068"/>
      <c r="H94" s="3113" t="str">
        <f>IFERROR(ROUNDDOWN($F$93*I94/2,4),"——")</f>
        <v>——</v>
      </c>
      <c r="I94" s="3062">
        <v>0.26</v>
      </c>
      <c r="J94" s="1905">
        <f t="shared" si="29"/>
        <v>0</v>
      </c>
      <c r="K94" s="1905">
        <f t="shared" si="30"/>
        <v>0</v>
      </c>
      <c r="L94" s="1905">
        <v>0</v>
      </c>
      <c r="M94" s="1905">
        <f t="shared" si="31"/>
        <v>0</v>
      </c>
      <c r="N94" s="1905">
        <f t="shared" si="31"/>
        <v>0</v>
      </c>
    </row>
    <row r="95" spans="1:37" ht="36">
      <c r="A95" s="3064" t="s">
        <v>3257</v>
      </c>
      <c r="B95" s="3065">
        <f>估价对象房地状况!C19</f>
        <v>0</v>
      </c>
      <c r="C95" s="1880"/>
      <c r="D95" s="2303">
        <f t="shared" si="32"/>
        <v>0</v>
      </c>
      <c r="E95" s="3078"/>
      <c r="F95" s="1668"/>
      <c r="G95" s="3068"/>
      <c r="H95" s="3113" t="str">
        <f t="shared" ref="H95:H101" si="33">IFERROR(ROUNDDOWN($F$93*I95/2,4),"——")</f>
        <v>——</v>
      </c>
      <c r="I95" s="3062">
        <v>0.11</v>
      </c>
      <c r="J95" s="1905">
        <f t="shared" si="29"/>
        <v>0</v>
      </c>
      <c r="K95" s="1905">
        <f t="shared" si="30"/>
        <v>0</v>
      </c>
      <c r="L95" s="1905">
        <v>0</v>
      </c>
      <c r="M95" s="1905">
        <f t="shared" si="31"/>
        <v>0</v>
      </c>
      <c r="N95" s="1905">
        <f t="shared" si="31"/>
        <v>0</v>
      </c>
    </row>
    <row r="96" spans="1:37" ht="36.75">
      <c r="A96" s="3074" t="s">
        <v>2051</v>
      </c>
      <c r="B96" s="3080" t="s">
        <v>3273</v>
      </c>
      <c r="C96" s="1880"/>
      <c r="D96" s="2303">
        <f t="shared" si="32"/>
        <v>0</v>
      </c>
      <c r="E96" s="3078"/>
      <c r="F96" s="1668"/>
      <c r="G96" s="3068"/>
      <c r="H96" s="3113" t="str">
        <f t="shared" si="33"/>
        <v>——</v>
      </c>
      <c r="I96" s="3062">
        <v>0.05</v>
      </c>
      <c r="J96" s="1905">
        <f t="shared" si="29"/>
        <v>0</v>
      </c>
      <c r="K96" s="1905">
        <f t="shared" si="30"/>
        <v>0</v>
      </c>
      <c r="L96" s="1905">
        <v>0</v>
      </c>
      <c r="M96" s="1905">
        <f t="shared" si="31"/>
        <v>0</v>
      </c>
      <c r="N96" s="1905">
        <f t="shared" si="31"/>
        <v>0</v>
      </c>
    </row>
    <row r="97" spans="1:14" ht="24">
      <c r="A97" s="3074" t="s">
        <v>2053</v>
      </c>
      <c r="B97" s="3065">
        <f>估价对象房地状况!C24</f>
        <v>0</v>
      </c>
      <c r="C97" s="1880"/>
      <c r="D97" s="2303">
        <f t="shared" si="32"/>
        <v>0</v>
      </c>
      <c r="E97" s="3078"/>
      <c r="F97" s="1668"/>
      <c r="G97" s="3068"/>
      <c r="H97" s="3113" t="str">
        <f t="shared" si="33"/>
        <v>——</v>
      </c>
      <c r="I97" s="3062">
        <v>0.05</v>
      </c>
      <c r="J97" s="1905">
        <f t="shared" si="29"/>
        <v>0</v>
      </c>
      <c r="K97" s="1905">
        <f t="shared" si="30"/>
        <v>0</v>
      </c>
      <c r="L97" s="1905">
        <v>0</v>
      </c>
      <c r="M97" s="1905">
        <f t="shared" si="31"/>
        <v>0</v>
      </c>
      <c r="N97" s="1905">
        <f t="shared" si="31"/>
        <v>0</v>
      </c>
    </row>
    <row r="98" spans="1:14" ht="24">
      <c r="A98" s="3074" t="s">
        <v>2054</v>
      </c>
      <c r="B98" s="3081" t="s">
        <v>3274</v>
      </c>
      <c r="C98" s="1880"/>
      <c r="D98" s="2303">
        <f t="shared" si="32"/>
        <v>0</v>
      </c>
      <c r="E98" s="3078"/>
      <c r="F98" s="1668"/>
      <c r="G98" s="3068"/>
      <c r="H98" s="3113" t="str">
        <f t="shared" si="33"/>
        <v>——</v>
      </c>
      <c r="I98" s="3062">
        <v>0.06</v>
      </c>
      <c r="J98" s="1905">
        <f t="shared" si="29"/>
        <v>0</v>
      </c>
      <c r="K98" s="1905">
        <f t="shared" si="30"/>
        <v>0</v>
      </c>
      <c r="L98" s="1905">
        <v>0</v>
      </c>
      <c r="M98" s="1905">
        <f t="shared" si="31"/>
        <v>0</v>
      </c>
      <c r="N98" s="1905">
        <f t="shared" si="31"/>
        <v>0</v>
      </c>
    </row>
    <row r="99" spans="1:14" ht="24">
      <c r="A99" s="3074" t="s">
        <v>2056</v>
      </c>
      <c r="B99" s="3065">
        <f>估价对象房地状况!C21</f>
        <v>0</v>
      </c>
      <c r="C99" s="1880"/>
      <c r="D99" s="2303">
        <f t="shared" si="32"/>
        <v>0</v>
      </c>
      <c r="E99" s="3078"/>
      <c r="F99" s="1668"/>
      <c r="G99" s="3068"/>
      <c r="H99" s="3113" t="str">
        <f t="shared" si="33"/>
        <v>——</v>
      </c>
      <c r="I99" s="3062">
        <v>0.06</v>
      </c>
      <c r="J99" s="1905">
        <f t="shared" si="29"/>
        <v>0</v>
      </c>
      <c r="K99" s="1905">
        <f t="shared" si="30"/>
        <v>0</v>
      </c>
      <c r="L99" s="1905">
        <v>0</v>
      </c>
      <c r="M99" s="1905">
        <f t="shared" si="31"/>
        <v>0</v>
      </c>
      <c r="N99" s="1905">
        <f t="shared" si="31"/>
        <v>0</v>
      </c>
    </row>
    <row r="100" spans="1:14" ht="24">
      <c r="A100" s="3074" t="s">
        <v>2057</v>
      </c>
      <c r="B100" s="3065">
        <f>估价对象房地状况!C22</f>
        <v>0</v>
      </c>
      <c r="C100" s="1880"/>
      <c r="D100" s="2303">
        <f t="shared" si="32"/>
        <v>0</v>
      </c>
      <c r="E100" s="3078"/>
      <c r="F100" s="1668"/>
      <c r="G100" s="3068"/>
      <c r="H100" s="3113" t="str">
        <f t="shared" si="33"/>
        <v>——</v>
      </c>
      <c r="I100" s="3062">
        <v>0.09</v>
      </c>
      <c r="J100" s="1905">
        <f t="shared" si="29"/>
        <v>0</v>
      </c>
      <c r="K100" s="1905">
        <f t="shared" si="30"/>
        <v>0</v>
      </c>
      <c r="L100" s="1905">
        <v>0</v>
      </c>
      <c r="M100" s="1905">
        <f t="shared" si="31"/>
        <v>0</v>
      </c>
      <c r="N100" s="1905">
        <f t="shared" si="31"/>
        <v>0</v>
      </c>
    </row>
    <row r="101" spans="1:14" ht="24.75" thickBot="1">
      <c r="A101" s="3075" t="s">
        <v>2058</v>
      </c>
      <c r="B101" s="3082">
        <f>估价对象房地状况!C20</f>
        <v>0</v>
      </c>
      <c r="C101" s="1880"/>
      <c r="D101" s="2303">
        <f t="shared" si="32"/>
        <v>0</v>
      </c>
      <c r="E101" s="3079"/>
      <c r="F101" s="1668"/>
      <c r="G101" s="3068"/>
      <c r="H101" s="3113" t="str">
        <f t="shared" si="33"/>
        <v>——</v>
      </c>
      <c r="I101" s="3063">
        <v>7.0000000000000007E-2</v>
      </c>
      <c r="J101" s="1905">
        <f t="shared" si="29"/>
        <v>0</v>
      </c>
      <c r="K101" s="1905">
        <f t="shared" si="30"/>
        <v>0</v>
      </c>
      <c r="L101" s="1905">
        <v>0</v>
      </c>
      <c r="M101" s="1905">
        <f t="shared" si="31"/>
        <v>0</v>
      </c>
      <c r="N101" s="1905">
        <f t="shared" si="31"/>
        <v>0</v>
      </c>
    </row>
    <row r="103" spans="1:14">
      <c r="A103" s="3401" t="s">
        <v>3282</v>
      </c>
      <c r="B103" s="3401"/>
      <c r="C103" s="3401"/>
      <c r="D103" s="3401"/>
      <c r="E103" s="3401"/>
      <c r="F103" s="3401"/>
      <c r="G103" s="3401"/>
      <c r="H103" s="3401"/>
      <c r="I103" s="3401"/>
      <c r="J103" s="3401"/>
      <c r="K103" s="1660"/>
      <c r="L103" s="1660"/>
      <c r="M103" s="1660"/>
      <c r="N103" s="1660"/>
    </row>
    <row r="104" spans="1:14">
      <c r="A104" s="3402" t="s">
        <v>3283</v>
      </c>
      <c r="B104" s="3402" t="s">
        <v>3284</v>
      </c>
      <c r="C104" s="3084" t="s">
        <v>3285</v>
      </c>
      <c r="D104" s="3085"/>
      <c r="E104" s="3085"/>
      <c r="F104" s="3085"/>
      <c r="G104" s="3085"/>
      <c r="H104" s="3085"/>
      <c r="I104" s="3085"/>
      <c r="J104" s="3086"/>
      <c r="K104" s="3087"/>
      <c r="L104" s="3087"/>
      <c r="M104" s="3087"/>
      <c r="N104" s="3087"/>
    </row>
    <row r="105" spans="1:14">
      <c r="A105" s="3402"/>
      <c r="B105" s="3402"/>
      <c r="C105" s="3088" t="s">
        <v>1958</v>
      </c>
      <c r="D105" s="3088" t="s">
        <v>1959</v>
      </c>
      <c r="E105" s="3088" t="s">
        <v>1960</v>
      </c>
      <c r="F105" s="3088" t="s">
        <v>1961</v>
      </c>
      <c r="G105" s="3088" t="s">
        <v>1962</v>
      </c>
      <c r="H105" s="3088" t="s">
        <v>1963</v>
      </c>
      <c r="I105" s="3088" t="s">
        <v>1964</v>
      </c>
      <c r="J105" s="3088" t="s">
        <v>1965</v>
      </c>
      <c r="K105" s="3088" t="s">
        <v>1966</v>
      </c>
      <c r="L105" s="3088" t="s">
        <v>1967</v>
      </c>
      <c r="M105" s="3088" t="s">
        <v>1968</v>
      </c>
      <c r="N105" s="3088" t="s">
        <v>1969</v>
      </c>
    </row>
    <row r="106" spans="1:14">
      <c r="A106" s="3388" t="s">
        <v>3298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8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8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8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8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89"/>
      <c r="B111" s="3088" t="s">
        <v>3256</v>
      </c>
      <c r="C111" s="3089">
        <f>$I$3</f>
        <v>0</v>
      </c>
      <c r="D111" s="3089">
        <f t="shared" ref="D111:M111" si="34">$I$3</f>
        <v>0</v>
      </c>
      <c r="E111" s="3089">
        <f t="shared" si="34"/>
        <v>0</v>
      </c>
      <c r="F111" s="3089">
        <f t="shared" si="34"/>
        <v>0</v>
      </c>
      <c r="G111" s="3089">
        <f t="shared" si="34"/>
        <v>0</v>
      </c>
      <c r="H111" s="3089">
        <f t="shared" si="34"/>
        <v>0</v>
      </c>
      <c r="I111" s="3089">
        <f t="shared" si="34"/>
        <v>0</v>
      </c>
      <c r="J111" s="3089">
        <f t="shared" si="34"/>
        <v>0</v>
      </c>
      <c r="K111" s="3089">
        <f t="shared" si="34"/>
        <v>0</v>
      </c>
      <c r="L111" s="3089">
        <f t="shared" si="34"/>
        <v>0</v>
      </c>
      <c r="M111" s="3089">
        <f t="shared" si="34"/>
        <v>0</v>
      </c>
      <c r="N111" s="3089">
        <f>$I$3</f>
        <v>0</v>
      </c>
    </row>
    <row r="112" spans="1:14">
      <c r="A112" s="3390"/>
      <c r="B112" s="3088">
        <v>6</v>
      </c>
      <c r="C112" s="3083">
        <f>(-0.5556*(C111^2)-0.2719*C111+8944)*(10^(-4))</f>
        <v>0.89440000000000008</v>
      </c>
      <c r="D112" s="3083">
        <f>(-0.5556*(D111^2)-0.2719*D111+8944)*(10^(-4))</f>
        <v>0.89440000000000008</v>
      </c>
      <c r="E112" s="3083">
        <f>(-0.7912*(E111^2)-11.3794*E111+8482)*(10^(-4))</f>
        <v>0.84820000000000007</v>
      </c>
      <c r="F112" s="3083">
        <f t="shared" ref="F112:I112" si="35">(-0.7912*(F111^2)-11.3794*F111+8482)*(10^(-4))</f>
        <v>0.84820000000000007</v>
      </c>
      <c r="G112" s="3083">
        <f t="shared" si="35"/>
        <v>0.84820000000000007</v>
      </c>
      <c r="H112" s="3083">
        <f t="shared" si="35"/>
        <v>0.84820000000000007</v>
      </c>
      <c r="I112" s="3083">
        <f t="shared" si="35"/>
        <v>0.84820000000000007</v>
      </c>
      <c r="J112" s="3083">
        <f>(-0.989*(J111^2)-63.78*J111+7771)*(10^(-4))</f>
        <v>0.77710000000000001</v>
      </c>
      <c r="K112" s="3083">
        <f t="shared" ref="K112:N112" si="36">(-0.989*(K111^2)-63.78*K111+7771)*(10^(-4))</f>
        <v>0.77710000000000001</v>
      </c>
      <c r="L112" s="3083">
        <f t="shared" si="36"/>
        <v>0.77710000000000001</v>
      </c>
      <c r="M112" s="3083">
        <f t="shared" si="36"/>
        <v>0.77710000000000001</v>
      </c>
      <c r="N112" s="3083">
        <f t="shared" si="36"/>
        <v>0.77710000000000001</v>
      </c>
    </row>
    <row r="113" spans="1:14">
      <c r="A113" s="3391" t="s">
        <v>3299</v>
      </c>
      <c r="B113" s="3391"/>
      <c r="C113" s="3391"/>
      <c r="D113" s="3391"/>
      <c r="E113" s="3391"/>
      <c r="F113" s="3391"/>
      <c r="G113" s="3391"/>
      <c r="H113" s="3391"/>
      <c r="I113" s="3391"/>
      <c r="J113" s="3391"/>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3300</v>
      </c>
      <c r="B116" s="3108">
        <f>G3</f>
        <v>6.2</v>
      </c>
      <c r="C116" s="3093" t="s">
        <v>3301</v>
      </c>
      <c r="D116" s="3094">
        <f>SUMPRODUCT((A118:A122=F116)*(B117:M117=H116)*B118:M122)</f>
        <v>0.85350000000000004</v>
      </c>
      <c r="E116" s="161" t="s">
        <v>1933</v>
      </c>
      <c r="F116" s="3095" t="str">
        <f>E2</f>
        <v>办公</v>
      </c>
      <c r="G116" s="161" t="s">
        <v>1934</v>
      </c>
      <c r="H116" s="3095" t="str">
        <f>G2</f>
        <v>七级</v>
      </c>
      <c r="I116" s="161"/>
      <c r="J116" s="3096"/>
      <c r="K116" s="3096"/>
      <c r="L116" s="3096"/>
      <c r="M116" s="3096"/>
      <c r="N116" s="3091"/>
    </row>
    <row r="117" spans="1:14">
      <c r="A117" s="3097"/>
      <c r="B117" s="3098" t="s">
        <v>3304</v>
      </c>
      <c r="C117" s="3098" t="s">
        <v>3305</v>
      </c>
      <c r="D117" s="3098" t="s">
        <v>3306</v>
      </c>
      <c r="E117" s="3099" t="s">
        <v>3307</v>
      </c>
      <c r="F117" s="3099" t="s">
        <v>3308</v>
      </c>
      <c r="G117" s="3099" t="s">
        <v>3309</v>
      </c>
      <c r="H117" s="3100" t="s">
        <v>3310</v>
      </c>
      <c r="I117" s="3100" t="s">
        <v>3311</v>
      </c>
      <c r="J117" s="3101" t="s">
        <v>3312</v>
      </c>
      <c r="K117" s="3101" t="s">
        <v>3313</v>
      </c>
      <c r="L117" s="3101" t="s">
        <v>3314</v>
      </c>
      <c r="M117" s="3102" t="s">
        <v>3315</v>
      </c>
      <c r="N117" s="3091"/>
    </row>
    <row r="118" spans="1:14">
      <c r="A118" s="3051" t="s">
        <v>1987</v>
      </c>
      <c r="B118" s="3083">
        <f>ROUND(0.9968-0.011*B116,4)</f>
        <v>0.92859999999999998</v>
      </c>
      <c r="C118" s="3083">
        <f>B118</f>
        <v>0.92859999999999998</v>
      </c>
      <c r="D118" s="3083">
        <f>ROUND(0.949-0.014*B116,4)</f>
        <v>0.86219999999999997</v>
      </c>
      <c r="E118" s="3083">
        <f>D118</f>
        <v>0.86219999999999997</v>
      </c>
      <c r="F118" s="3083">
        <f>E118</f>
        <v>0.86219999999999997</v>
      </c>
      <c r="G118" s="3083">
        <f>F118</f>
        <v>0.86219999999999997</v>
      </c>
      <c r="H118" s="3083">
        <f>G118</f>
        <v>0.86219999999999997</v>
      </c>
      <c r="I118" s="3083">
        <f>ROUND(0.8486-0.018*B116,4)</f>
        <v>0.73699999999999999</v>
      </c>
      <c r="J118" s="3083">
        <f t="shared" ref="J118:M122" si="37">I118</f>
        <v>0.73699999999999999</v>
      </c>
      <c r="K118" s="3083">
        <f t="shared" si="37"/>
        <v>0.73699999999999999</v>
      </c>
      <c r="L118" s="3083">
        <f t="shared" si="37"/>
        <v>0.73699999999999999</v>
      </c>
      <c r="M118" s="3103">
        <f t="shared" si="37"/>
        <v>0.73699999999999999</v>
      </c>
      <c r="N118" s="3091"/>
    </row>
    <row r="119" spans="1:14">
      <c r="A119" s="3051" t="s">
        <v>1988</v>
      </c>
      <c r="B119" s="3083">
        <f>ROUND(0.993-0.0112*B116,4)</f>
        <v>0.92359999999999998</v>
      </c>
      <c r="C119" s="3083">
        <f>B119</f>
        <v>0.92359999999999998</v>
      </c>
      <c r="D119" s="3083">
        <f>ROUND(0.9415-0.0142*B116,4)</f>
        <v>0.85350000000000004</v>
      </c>
      <c r="E119" s="3083">
        <f t="shared" ref="E119:H120" si="38">D119</f>
        <v>0.85350000000000004</v>
      </c>
      <c r="F119" s="3083">
        <f t="shared" si="38"/>
        <v>0.85350000000000004</v>
      </c>
      <c r="G119" s="3083">
        <f t="shared" si="38"/>
        <v>0.85350000000000004</v>
      </c>
      <c r="H119" s="3083">
        <f t="shared" si="38"/>
        <v>0.85350000000000004</v>
      </c>
      <c r="I119" s="3083">
        <f>ROUND(0.838-0.0182*B116,4)</f>
        <v>0.72519999999999996</v>
      </c>
      <c r="J119" s="3083">
        <f t="shared" si="37"/>
        <v>0.72519999999999996</v>
      </c>
      <c r="K119" s="3083">
        <f t="shared" si="37"/>
        <v>0.72519999999999996</v>
      </c>
      <c r="L119" s="3083">
        <f t="shared" si="37"/>
        <v>0.72519999999999996</v>
      </c>
      <c r="M119" s="3103">
        <f t="shared" si="37"/>
        <v>0.72519999999999996</v>
      </c>
      <c r="N119" s="3091"/>
    </row>
    <row r="120" spans="1:14">
      <c r="A120" s="3051" t="s">
        <v>1989</v>
      </c>
      <c r="B120" s="3083">
        <f>ROUND(0.9448-0.0115*B116,4)</f>
        <v>0.87350000000000005</v>
      </c>
      <c r="C120" s="3083">
        <f>B120</f>
        <v>0.87350000000000005</v>
      </c>
      <c r="D120" s="3083">
        <f>ROUND(0.937-0.0145*B116,4)</f>
        <v>0.84709999999999996</v>
      </c>
      <c r="E120" s="3083">
        <f t="shared" si="38"/>
        <v>0.84709999999999996</v>
      </c>
      <c r="F120" s="3083">
        <f t="shared" si="38"/>
        <v>0.84709999999999996</v>
      </c>
      <c r="G120" s="3083">
        <f t="shared" si="38"/>
        <v>0.84709999999999996</v>
      </c>
      <c r="H120" s="3083">
        <f t="shared" si="38"/>
        <v>0.84709999999999996</v>
      </c>
      <c r="I120" s="3083">
        <f>ROUND(0.7965-0.0185*B116,4)</f>
        <v>0.68179999999999996</v>
      </c>
      <c r="J120" s="3083">
        <f t="shared" si="37"/>
        <v>0.68179999999999996</v>
      </c>
      <c r="K120" s="3083">
        <f t="shared" si="37"/>
        <v>0.68179999999999996</v>
      </c>
      <c r="L120" s="3083">
        <f t="shared" si="37"/>
        <v>0.68179999999999996</v>
      </c>
      <c r="M120" s="3103">
        <f t="shared" si="37"/>
        <v>0.68179999999999996</v>
      </c>
      <c r="N120" s="3091"/>
    </row>
    <row r="121" spans="1:14" ht="13.5" thickBot="1">
      <c r="A121" s="3104" t="s">
        <v>1990</v>
      </c>
      <c r="B121" s="3105">
        <f>ROUND(0.7836-0.012*B116,4)</f>
        <v>0.70920000000000005</v>
      </c>
      <c r="C121" s="3105">
        <f>B121</f>
        <v>0.70920000000000005</v>
      </c>
      <c r="D121" s="3105">
        <f>ROUND(0.753-0.015*B116,4)</f>
        <v>0.66</v>
      </c>
      <c r="E121" s="3105">
        <f>D121</f>
        <v>0.66</v>
      </c>
      <c r="F121" s="3105">
        <f>E121</f>
        <v>0.66</v>
      </c>
      <c r="G121" s="3105">
        <f>ROUND(0.6612-0.018*B116,4)</f>
        <v>0.54959999999999998</v>
      </c>
      <c r="H121" s="3105">
        <f>G121</f>
        <v>0.54959999999999998</v>
      </c>
      <c r="I121" s="3105">
        <f>ROUND(0.5905-0.019*B116,4)</f>
        <v>0.47270000000000001</v>
      </c>
      <c r="J121" s="3105">
        <f t="shared" si="37"/>
        <v>0.47270000000000001</v>
      </c>
      <c r="K121" s="3105">
        <f t="shared" si="37"/>
        <v>0.47270000000000001</v>
      </c>
      <c r="L121" s="3105">
        <f t="shared" si="37"/>
        <v>0.47270000000000001</v>
      </c>
      <c r="M121" s="3106">
        <f t="shared" si="37"/>
        <v>0.47270000000000001</v>
      </c>
      <c r="N121" s="3091"/>
    </row>
    <row r="122" spans="1:14">
      <c r="A122" s="3107" t="s">
        <v>2601</v>
      </c>
      <c r="B122" s="3083">
        <f>ROUND(0.9404-0.0106*B116,4)</f>
        <v>0.87470000000000003</v>
      </c>
      <c r="C122" s="3083">
        <f>B122</f>
        <v>0.87470000000000003</v>
      </c>
      <c r="D122" s="3083">
        <f>ROUND(0.8955-0.0135*B116,4)</f>
        <v>0.81179999999999997</v>
      </c>
      <c r="E122" s="3083">
        <f t="shared" ref="E122:H122" si="39">D122</f>
        <v>0.81179999999999997</v>
      </c>
      <c r="F122" s="3083">
        <f t="shared" si="39"/>
        <v>0.81179999999999997</v>
      </c>
      <c r="G122" s="3083">
        <f t="shared" si="39"/>
        <v>0.81179999999999997</v>
      </c>
      <c r="H122" s="3083">
        <f t="shared" si="39"/>
        <v>0.81179999999999997</v>
      </c>
      <c r="I122" s="3083">
        <f>ROUND(0.7632-0.0166*B116,4)</f>
        <v>0.6603</v>
      </c>
      <c r="J122" s="3083">
        <f t="shared" si="37"/>
        <v>0.6603</v>
      </c>
      <c r="K122" s="3083">
        <f t="shared" si="37"/>
        <v>0.6603</v>
      </c>
      <c r="L122" s="3083">
        <f t="shared" si="37"/>
        <v>0.6603</v>
      </c>
      <c r="M122" s="3103">
        <f t="shared" si="37"/>
        <v>0.6603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6" type="noConversion"/>
  <conditionalFormatting sqref="F50">
    <cfRule type="cellIs" dxfId="71" priority="6" stopIfTrue="1" operator="notEqual">
      <formula>"——"</formula>
    </cfRule>
  </conditionalFormatting>
  <conditionalFormatting sqref="F61">
    <cfRule type="cellIs" dxfId="70" priority="5" stopIfTrue="1" operator="notEqual">
      <formula>"——"</formula>
    </cfRule>
  </conditionalFormatting>
  <conditionalFormatting sqref="F72">
    <cfRule type="cellIs" dxfId="69" priority="4" stopIfTrue="1" operator="notEqual">
      <formula>"——"</formula>
    </cfRule>
  </conditionalFormatting>
  <conditionalFormatting sqref="F83">
    <cfRule type="cellIs" dxfId="68" priority="3" stopIfTrue="1" operator="notEqual">
      <formula>"——"</formula>
    </cfRule>
  </conditionalFormatting>
  <conditionalFormatting sqref="H50:H58 H61:H69 H72:H80 H83:H91">
    <cfRule type="cellIs" dxfId="67" priority="2" operator="notEqual">
      <formula>"——"</formula>
    </cfRule>
  </conditionalFormatting>
  <conditionalFormatting sqref="H93:H101">
    <cfRule type="cellIs" dxfId="66" priority="1" operator="notEqual">
      <formula>"——"</formula>
    </cfRule>
  </conditionalFormatting>
  <dataValidations count="12">
    <dataValidation type="list" allowBlank="1" showInputMessage="1" showErrorMessage="1" sqref="J23" xr:uid="{00000000-0002-0000-2D00-000000000000}">
      <formula1>"不用分区数据,中心城区,中心城区以外"</formula1>
    </dataValidation>
    <dataValidation type="list" allowBlank="1" showInputMessage="1" showErrorMessage="1" sqref="H20:O20" xr:uid="{00000000-0002-0000-2D00-000001000000}">
      <formula1>七通一平</formula1>
    </dataValidation>
    <dataValidation type="list" allowBlank="1" showInputMessage="1" showErrorMessage="1" sqref="H23" xr:uid="{00000000-0002-0000-2D00-000002000000}">
      <formula1>"地价指数,季度增幅（自定义）,按公示增长率计算"</formula1>
    </dataValidation>
    <dataValidation type="list" allowBlank="1" showInputMessage="1" showErrorMessage="1" sqref="C61:C69 C72:C80 C50:C58 C83:C91 C93:C101" xr:uid="{00000000-0002-0000-2D00-000003000000}">
      <formula1>五等判定</formula1>
    </dataValidation>
    <dataValidation type="list" allowBlank="1" showInputMessage="1" showErrorMessage="1" sqref="E3" xr:uid="{00000000-0002-0000-2D00-000004000000}">
      <formula1>二级分类</formula1>
    </dataValidation>
    <dataValidation type="list" allowBlank="1" showInputMessage="1" showErrorMessage="1" sqref="C8" xr:uid="{00000000-0002-0000-2D00-000005000000}">
      <formula1>商业街名称</formula1>
    </dataValidation>
    <dataValidation type="list" allowBlank="1" showInputMessage="1" showErrorMessage="1" sqref="F3" xr:uid="{00000000-0002-0000-2D00-000006000000}">
      <formula1>"宗地容积率,估价对象容积率,自定义容积率"</formula1>
    </dataValidation>
    <dataValidation type="list" allowBlank="1" showInputMessage="1" showErrorMessage="1" sqref="E2" xr:uid="{00000000-0002-0000-2D00-000007000000}">
      <formula1>"商业,办公,住宅,工业,公共服务"</formula1>
    </dataValidation>
    <dataValidation type="list" allowBlank="1" showInputMessage="1" showErrorMessage="1" sqref="F21" xr:uid="{00000000-0002-0000-2D00-000008000000}">
      <formula1>"与级别开发程度一致,与级别开发程度不一致"</formula1>
    </dataValidation>
    <dataValidation type="list" allowBlank="1" showInputMessage="1" showErrorMessage="1" sqref="B25" xr:uid="{00000000-0002-0000-2D00-000009000000}">
      <formula1>"容积率修正,楼层修正"</formula1>
    </dataValidation>
    <dataValidation type="list" allowBlank="1" showInputMessage="1" showErrorMessage="1" sqref="C15:D15" xr:uid="{00000000-0002-0000-2D00-00000A000000}">
      <formula1>"有,无"</formula1>
    </dataValidation>
    <dataValidation type="list" allowBlank="1" showInputMessage="1" showErrorMessage="1" sqref="E15" xr:uid="{00000000-0002-0000-2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1828</v>
      </c>
      <c r="B1" s="1135" t="s">
        <v>3321</v>
      </c>
      <c r="C1" s="1136" t="s">
        <v>1659</v>
      </c>
      <c r="D1" s="1137"/>
      <c r="E1" s="3125"/>
      <c r="F1" s="1728"/>
      <c r="G1" s="1139" t="s">
        <v>1764</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1" customFormat="1" ht="28.5" customHeight="1" thickTop="1">
      <c r="A2" s="1133" t="s">
        <v>1459</v>
      </c>
      <c r="B2" s="1080" t="b">
        <f>IF(E1="项目模式",IF(C2="——",IF(B37="元/平方米",ROUND(C39*D3/10000,0),ROUND(F3*C39/10000,0)),IF(B37="元/平方米",ROUND(C39*D3/10000,0),ROUND(F3*C39/10000,0))-D2),IF(E1="单套模式",IF(C2="——",IF(B37="元/平方米",ROUND(C39*D3/10000,0),ROUND(F3*C39/10000,0)),IF(B37="元/平方米",ROUND(C39*D3/10000,0),ROUND(F3*C39/10000,0))-D2)))</f>
        <v>0</v>
      </c>
      <c r="C2" s="1730"/>
      <c r="D2" s="850" t="e">
        <f ca="1">IF(E1="项目模式",SUMIF(INDIRECT("'"&amp;F2&amp;"'"&amp;"!A:A"),"承租人权益价值",INDIRECT("'"&amp;F2&amp;"'"&amp;"!c:c")),SUMIF(INDIRECT("'"&amp;F2&amp;"'"&amp;"!A:A"),"承租人权益价值（单套）",INDIRECT("'"&amp;F2&amp;"'"&amp;"!c:c")))</f>
        <v>#REF!</v>
      </c>
      <c r="E2" s="1731" t="s">
        <v>1460</v>
      </c>
      <c r="F2" s="1732"/>
      <c r="G2" s="851"/>
      <c r="H2" s="851"/>
      <c r="I2" s="851"/>
      <c r="J2" s="851"/>
      <c r="K2" s="853"/>
      <c r="L2" s="2497"/>
      <c r="M2" s="2498"/>
      <c r="N2" s="2498"/>
      <c r="O2" s="2498"/>
      <c r="P2" s="1081"/>
      <c r="Q2" s="340"/>
      <c r="R2" s="340"/>
      <c r="S2" s="340"/>
      <c r="T2" s="340"/>
      <c r="U2" s="340"/>
      <c r="V2" s="340"/>
      <c r="W2" s="340"/>
      <c r="X2" s="340"/>
      <c r="Y2" s="340"/>
      <c r="Z2" s="340"/>
      <c r="AA2" s="340"/>
      <c r="AB2" s="340"/>
      <c r="AC2" s="661"/>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1"/>
      <c r="Q3" s="340"/>
      <c r="R3" s="340"/>
      <c r="S3" s="340"/>
      <c r="T3" s="340"/>
      <c r="U3" s="340"/>
      <c r="V3" s="340"/>
      <c r="W3" s="340"/>
      <c r="X3" s="340"/>
      <c r="Y3" s="340"/>
      <c r="Z3" s="340"/>
      <c r="AA3" s="340"/>
      <c r="AB3" s="674"/>
      <c r="AC3" s="661"/>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55" t="s">
        <v>1772</v>
      </c>
      <c r="Q4" s="3456"/>
      <c r="R4" s="3461" t="s">
        <v>1768</v>
      </c>
      <c r="S4" s="3462"/>
      <c r="T4" s="3461" t="s">
        <v>1769</v>
      </c>
      <c r="U4" s="3462"/>
      <c r="V4" s="3437" t="s">
        <v>1770</v>
      </c>
      <c r="W4" s="3437"/>
      <c r="X4" s="1258"/>
      <c r="Y4" s="3461" t="s">
        <v>1772</v>
      </c>
      <c r="Z4" s="3462"/>
      <c r="AA4" s="3448" t="s">
        <v>1768</v>
      </c>
      <c r="AB4" s="3449" t="s">
        <v>1769</v>
      </c>
      <c r="AC4" s="3448" t="s">
        <v>1770</v>
      </c>
    </row>
    <row r="5" spans="1:29" ht="15">
      <c r="A5" s="347"/>
      <c r="B5" s="348"/>
      <c r="C5" s="3469" t="s">
        <v>1670</v>
      </c>
      <c r="D5" s="3470"/>
      <c r="E5" s="3476" t="s">
        <v>1671</v>
      </c>
      <c r="F5" s="3477"/>
      <c r="G5" s="3469" t="s">
        <v>1672</v>
      </c>
      <c r="H5" s="3470"/>
      <c r="I5" s="3469" t="s">
        <v>1673</v>
      </c>
      <c r="J5" s="3470"/>
      <c r="K5" s="536"/>
      <c r="L5" s="2480"/>
      <c r="M5" s="2481"/>
      <c r="N5" s="2481"/>
      <c r="O5" s="2481"/>
      <c r="P5" s="3457"/>
      <c r="Q5" s="3458"/>
      <c r="R5" s="3463"/>
      <c r="S5" s="3464"/>
      <c r="T5" s="3463"/>
      <c r="U5" s="3464"/>
      <c r="V5" s="3437"/>
      <c r="W5" s="3437"/>
      <c r="X5" s="1258"/>
      <c r="Y5" s="3463"/>
      <c r="Z5" s="3464"/>
      <c r="AA5" s="3449"/>
      <c r="AB5" s="3449"/>
      <c r="AC5" s="3449"/>
    </row>
    <row r="6" spans="1:29" ht="15.75" thickBot="1">
      <c r="A6" s="349"/>
      <c r="B6" s="350"/>
      <c r="C6" s="3467" t="s">
        <v>1674</v>
      </c>
      <c r="D6" s="3468"/>
      <c r="E6" s="3474" t="s">
        <v>1674</v>
      </c>
      <c r="F6" s="3475"/>
      <c r="G6" s="3467" t="s">
        <v>1674</v>
      </c>
      <c r="H6" s="3468"/>
      <c r="I6" s="3467" t="s">
        <v>1674</v>
      </c>
      <c r="J6" s="3468"/>
      <c r="K6" s="536" t="s">
        <v>1675</v>
      </c>
      <c r="L6" s="2480"/>
      <c r="M6" s="2481"/>
      <c r="N6" s="2481"/>
      <c r="O6" s="2481"/>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SUMIF(48:48,YEAR(E7)&amp;"-"&amp;MONTH(E7),49:49)</f>
        <v>0</v>
      </c>
      <c r="G7" s="355"/>
      <c r="H7" s="354">
        <f>SUMIF(48:48,YEAR(G7)&amp;"-"&amp;MONTH(G7),49:49)</f>
        <v>0</v>
      </c>
      <c r="I7" s="355"/>
      <c r="J7" s="354">
        <f>SUMIF(48:48,YEAR(I7)&amp;"-"&amp;MONTH(I7),49:49)</f>
        <v>0</v>
      </c>
      <c r="K7" s="38"/>
      <c r="L7" s="2482"/>
      <c r="M7" s="2433"/>
      <c r="N7" s="2433"/>
      <c r="O7" s="2433"/>
      <c r="P7" s="3471" t="s">
        <v>1677</v>
      </c>
      <c r="Q7" s="3473"/>
      <c r="R7" s="662" t="s">
        <v>14</v>
      </c>
      <c r="S7" s="663">
        <f t="shared" ref="S7:S14" si="0">F7</f>
        <v>0</v>
      </c>
      <c r="T7" s="662" t="s">
        <v>14</v>
      </c>
      <c r="U7" s="663">
        <f t="shared" ref="U7:U14" si="1">H7</f>
        <v>0</v>
      </c>
      <c r="V7" s="662" t="s">
        <v>14</v>
      </c>
      <c r="W7" s="663">
        <f t="shared" ref="W7:W14" si="2">J7</f>
        <v>0</v>
      </c>
      <c r="X7" s="664"/>
      <c r="Y7" s="3471" t="s">
        <v>1677</v>
      </c>
      <c r="Z7" s="3472"/>
      <c r="AA7" s="50" t="e">
        <f>D7/F7</f>
        <v>#DIV/0!</v>
      </c>
      <c r="AB7" s="50" t="e">
        <f>D7/H7</f>
        <v>#DIV/0!</v>
      </c>
      <c r="AC7" s="50" t="e">
        <f>D7/J7</f>
        <v>#DIV/0!</v>
      </c>
    </row>
    <row r="8" spans="1:29" s="102"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82"/>
      <c r="M8" s="2433"/>
      <c r="N8" s="2433"/>
      <c r="O8" s="2433"/>
      <c r="P8" s="3471" t="s">
        <v>1680</v>
      </c>
      <c r="Q8" s="3472"/>
      <c r="R8" s="662" t="s">
        <v>14</v>
      </c>
      <c r="S8" s="663">
        <f t="shared" si="0"/>
        <v>100</v>
      </c>
      <c r="T8" s="662" t="s">
        <v>14</v>
      </c>
      <c r="U8" s="663">
        <f t="shared" si="1"/>
        <v>100</v>
      </c>
      <c r="V8" s="662" t="s">
        <v>14</v>
      </c>
      <c r="W8" s="663">
        <f t="shared" si="2"/>
        <v>100</v>
      </c>
      <c r="X8" s="664"/>
      <c r="Y8" s="3471" t="s">
        <v>1680</v>
      </c>
      <c r="Z8" s="3472"/>
      <c r="AA8" s="50">
        <f t="shared" ref="AA8:AA36" si="3">D8/F8</f>
        <v>1</v>
      </c>
      <c r="AB8" s="50">
        <f t="shared" ref="AB8:AB36" si="4">D8/H8</f>
        <v>1</v>
      </c>
      <c r="AC8" s="50">
        <f t="shared" ref="AC8:AC36" si="5">D8/J8</f>
        <v>1</v>
      </c>
    </row>
    <row r="9" spans="1:29" s="102" customFormat="1">
      <c r="A9" s="57" t="s">
        <v>1681</v>
      </c>
      <c r="B9" s="562" t="s">
        <v>1682</v>
      </c>
      <c r="C9" s="359"/>
      <c r="D9" s="59">
        <v>100</v>
      </c>
      <c r="E9" s="361"/>
      <c r="F9" s="59">
        <f>SUMIF(53:53,E9,54:54)-SUMIF(53:53,C9,54:54)+100</f>
        <v>100</v>
      </c>
      <c r="G9" s="360"/>
      <c r="H9" s="59">
        <f>SUMIF(53:53,G9,54:54)-SUMIF(53:53,C9,54:54)+100</f>
        <v>100</v>
      </c>
      <c r="I9" s="360"/>
      <c r="J9" s="59">
        <f>SUMIF(53:53,I9,54:54)-SUMIF(53:53,C9,54:54)+100</f>
        <v>100</v>
      </c>
      <c r="K9" s="38"/>
      <c r="L9" s="2482"/>
      <c r="M9" s="2433"/>
      <c r="N9" s="2433"/>
      <c r="O9" s="2433"/>
      <c r="P9" s="3436" t="s">
        <v>1683</v>
      </c>
      <c r="Q9" s="529" t="str">
        <f t="shared" ref="Q9:Q14" si="6">B9</f>
        <v>用途</v>
      </c>
      <c r="R9" s="662" t="s">
        <v>14</v>
      </c>
      <c r="S9" s="663">
        <f t="shared" si="0"/>
        <v>100</v>
      </c>
      <c r="T9" s="662" t="s">
        <v>14</v>
      </c>
      <c r="U9" s="663">
        <f t="shared" si="1"/>
        <v>100</v>
      </c>
      <c r="V9" s="662" t="s">
        <v>14</v>
      </c>
      <c r="W9" s="663">
        <f t="shared" si="2"/>
        <v>100</v>
      </c>
      <c r="X9" s="664"/>
      <c r="Y9" s="3292" t="s">
        <v>1684</v>
      </c>
      <c r="Z9" s="50" t="str">
        <f t="shared" ref="Z9:Z14" si="7">Q9</f>
        <v>用途</v>
      </c>
      <c r="AA9" s="50">
        <f t="shared" si="3"/>
        <v>1</v>
      </c>
      <c r="AB9" s="50">
        <f t="shared" si="4"/>
        <v>1</v>
      </c>
      <c r="AC9" s="50">
        <f t="shared" si="5"/>
        <v>1</v>
      </c>
    </row>
    <row r="10" spans="1:29" s="365" customFormat="1" ht="27">
      <c r="A10" s="563"/>
      <c r="B10" s="564" t="s">
        <v>1685</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36"/>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36"/>
      <c r="Q11" s="529">
        <f t="shared" si="6"/>
        <v>111</v>
      </c>
      <c r="R11" s="662" t="s">
        <v>14</v>
      </c>
      <c r="S11" s="663">
        <f t="shared" si="0"/>
        <v>100</v>
      </c>
      <c r="T11" s="662" t="s">
        <v>14</v>
      </c>
      <c r="U11" s="663">
        <f t="shared" si="1"/>
        <v>100</v>
      </c>
      <c r="V11" s="662" t="s">
        <v>14</v>
      </c>
      <c r="W11" s="663">
        <f t="shared" si="2"/>
        <v>100</v>
      </c>
      <c r="X11" s="664"/>
      <c r="Y11" s="3292"/>
      <c r="Z11" s="50">
        <f t="shared" si="7"/>
        <v>111</v>
      </c>
      <c r="AA11" s="50">
        <f t="shared" si="3"/>
        <v>1</v>
      </c>
      <c r="AB11" s="50">
        <f t="shared" si="4"/>
        <v>1</v>
      </c>
      <c r="AC11" s="50">
        <f t="shared" si="5"/>
        <v>1</v>
      </c>
    </row>
    <row r="12" spans="1:29" s="102"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3"/>
      <c r="N12" s="2433"/>
      <c r="O12" s="2433"/>
      <c r="P12" s="3436"/>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36"/>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
      <c r="A14" s="344" t="s">
        <v>1687</v>
      </c>
      <c r="B14" s="552" t="s">
        <v>1830</v>
      </c>
      <c r="C14" s="1812">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38" t="s">
        <v>1688</v>
      </c>
      <c r="Q14" s="1256" t="str">
        <f t="shared" si="6"/>
        <v>交通便捷度</v>
      </c>
      <c r="R14" s="665" t="s">
        <v>14</v>
      </c>
      <c r="S14" s="666">
        <f t="shared" si="0"/>
        <v>100</v>
      </c>
      <c r="T14" s="665" t="s">
        <v>14</v>
      </c>
      <c r="U14" s="666">
        <f t="shared" si="1"/>
        <v>100</v>
      </c>
      <c r="V14" s="665" t="s">
        <v>14</v>
      </c>
      <c r="W14" s="666">
        <f t="shared" si="2"/>
        <v>100</v>
      </c>
      <c r="X14" s="1258"/>
      <c r="Y14" s="3438" t="s">
        <v>1688</v>
      </c>
      <c r="Z14" s="1257" t="str">
        <f t="shared" si="7"/>
        <v>交通便捷度</v>
      </c>
      <c r="AA14" s="1257">
        <f t="shared" si="3"/>
        <v>1</v>
      </c>
      <c r="AB14" s="1257">
        <f t="shared" si="4"/>
        <v>1</v>
      </c>
      <c r="AC14" s="1257">
        <f t="shared" si="5"/>
        <v>1</v>
      </c>
    </row>
    <row r="15" spans="1:29" ht="15">
      <c r="A15" s="347"/>
      <c r="B15" s="569"/>
      <c r="C15" s="385"/>
      <c r="D15" s="386"/>
      <c r="E15" s="385"/>
      <c r="F15" s="387"/>
      <c r="G15" s="385"/>
      <c r="H15" s="388"/>
      <c r="I15" s="385"/>
      <c r="J15" s="386"/>
      <c r="K15" s="540"/>
      <c r="L15" s="2486"/>
      <c r="M15" s="2481"/>
      <c r="N15" s="2481"/>
      <c r="O15" s="2481"/>
      <c r="P15" s="3439"/>
      <c r="Q15" s="1256"/>
      <c r="R15" s="665"/>
      <c r="S15" s="666"/>
      <c r="T15" s="665"/>
      <c r="U15" s="666"/>
      <c r="V15" s="665"/>
      <c r="W15" s="666"/>
      <c r="X15" s="1258"/>
      <c r="Y15" s="3439"/>
      <c r="Z15" s="1257"/>
      <c r="AA15" s="1257">
        <v>1</v>
      </c>
      <c r="AB15" s="1257">
        <v>1</v>
      </c>
      <c r="AC15" s="1257">
        <v>1</v>
      </c>
    </row>
    <row r="16" spans="1:29" ht="15">
      <c r="A16" s="347"/>
      <c r="B16" s="554" t="s">
        <v>1809</v>
      </c>
      <c r="C16" s="1747">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39"/>
      <c r="Q16" s="1256" t="str">
        <f>B16</f>
        <v>公共配套设施</v>
      </c>
      <c r="R16" s="665" t="s">
        <v>14</v>
      </c>
      <c r="S16" s="666">
        <f>F16</f>
        <v>100</v>
      </c>
      <c r="T16" s="665" t="s">
        <v>14</v>
      </c>
      <c r="U16" s="666">
        <f>H16</f>
        <v>100</v>
      </c>
      <c r="V16" s="665" t="s">
        <v>14</v>
      </c>
      <c r="W16" s="666">
        <f>J16</f>
        <v>100</v>
      </c>
      <c r="X16" s="1258"/>
      <c r="Y16" s="3439"/>
      <c r="Z16" s="1257" t="str">
        <f>Q16</f>
        <v>公共配套设施</v>
      </c>
      <c r="AA16" s="1257">
        <f t="shared" si="3"/>
        <v>1</v>
      </c>
      <c r="AB16" s="1257">
        <f t="shared" si="4"/>
        <v>1</v>
      </c>
      <c r="AC16" s="1257">
        <f t="shared" si="5"/>
        <v>1</v>
      </c>
    </row>
    <row r="17" spans="1:29" ht="15">
      <c r="A17" s="347"/>
      <c r="B17" s="400"/>
      <c r="C17" s="1748"/>
      <c r="D17" s="386"/>
      <c r="E17" s="385"/>
      <c r="F17" s="387"/>
      <c r="G17" s="385"/>
      <c r="H17" s="386"/>
      <c r="I17" s="385"/>
      <c r="J17" s="386"/>
      <c r="K17" s="540"/>
      <c r="L17" s="2486"/>
      <c r="M17" s="2481"/>
      <c r="N17" s="2481"/>
      <c r="O17" s="2481"/>
      <c r="P17" s="3439"/>
      <c r="Q17" s="1256"/>
      <c r="R17" s="665"/>
      <c r="S17" s="666"/>
      <c r="T17" s="665"/>
      <c r="U17" s="666"/>
      <c r="V17" s="665"/>
      <c r="W17" s="666"/>
      <c r="X17" s="1258"/>
      <c r="Y17" s="3439"/>
      <c r="Z17" s="1257"/>
      <c r="AA17" s="1257">
        <v>1</v>
      </c>
      <c r="AB17" s="1257">
        <v>1</v>
      </c>
      <c r="AC17" s="1257">
        <v>1</v>
      </c>
    </row>
    <row r="18" spans="1:29" ht="15">
      <c r="A18" s="347"/>
      <c r="B18" s="555" t="s">
        <v>1810</v>
      </c>
      <c r="C18" s="1747">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39"/>
      <c r="Q18" s="1256" t="str">
        <f>B18</f>
        <v>基础设施水平</v>
      </c>
      <c r="R18" s="665" t="s">
        <v>14</v>
      </c>
      <c r="S18" s="666">
        <f>F18</f>
        <v>100</v>
      </c>
      <c r="T18" s="665" t="s">
        <v>14</v>
      </c>
      <c r="U18" s="666">
        <f>H18</f>
        <v>100</v>
      </c>
      <c r="V18" s="665" t="s">
        <v>14</v>
      </c>
      <c r="W18" s="666">
        <f>J18</f>
        <v>100</v>
      </c>
      <c r="X18" s="1258"/>
      <c r="Y18" s="3439"/>
      <c r="Z18" s="1257" t="str">
        <f>Q18</f>
        <v>基础设施水平</v>
      </c>
      <c r="AA18" s="1257">
        <f t="shared" ref="AA18" si="8">D18/F18</f>
        <v>1</v>
      </c>
      <c r="AB18" s="1257">
        <f t="shared" ref="AB18" si="9">D18/H18</f>
        <v>1</v>
      </c>
      <c r="AC18" s="1257">
        <f t="shared" ref="AC18" si="10">D18/J18</f>
        <v>1</v>
      </c>
    </row>
    <row r="19" spans="1:29" ht="15">
      <c r="A19" s="347"/>
      <c r="B19" s="555"/>
      <c r="C19" s="1748"/>
      <c r="D19" s="388"/>
      <c r="E19" s="1748"/>
      <c r="F19" s="391"/>
      <c r="G19" s="1748"/>
      <c r="H19" s="386"/>
      <c r="I19" s="385"/>
      <c r="J19" s="386"/>
      <c r="K19" s="1059"/>
      <c r="L19" s="2486"/>
      <c r="M19" s="2481"/>
      <c r="N19" s="2481"/>
      <c r="O19" s="2481"/>
      <c r="P19" s="3439"/>
      <c r="Q19" s="1256"/>
      <c r="R19" s="665"/>
      <c r="S19" s="666"/>
      <c r="T19" s="665"/>
      <c r="U19" s="666"/>
      <c r="V19" s="665"/>
      <c r="W19" s="666"/>
      <c r="X19" s="1258"/>
      <c r="Y19" s="3439"/>
      <c r="Z19" s="1257"/>
      <c r="AA19" s="1257">
        <v>1</v>
      </c>
      <c r="AB19" s="1257">
        <v>1</v>
      </c>
      <c r="AC19" s="1257">
        <v>1</v>
      </c>
    </row>
    <row r="20" spans="1:29" ht="15">
      <c r="A20" s="347"/>
      <c r="B20" s="554" t="s">
        <v>1831</v>
      </c>
      <c r="C20" s="1747">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39"/>
      <c r="Q20" s="1256" t="str">
        <f>B20</f>
        <v>自然及人文环境</v>
      </c>
      <c r="R20" s="665" t="s">
        <v>14</v>
      </c>
      <c r="S20" s="666">
        <f>F20</f>
        <v>100</v>
      </c>
      <c r="T20" s="665" t="s">
        <v>14</v>
      </c>
      <c r="U20" s="666">
        <f>H20</f>
        <v>100</v>
      </c>
      <c r="V20" s="665" t="s">
        <v>14</v>
      </c>
      <c r="W20" s="666">
        <f>J20</f>
        <v>100</v>
      </c>
      <c r="X20" s="1258"/>
      <c r="Y20" s="3439"/>
      <c r="Z20" s="1257" t="str">
        <f>Q20</f>
        <v>自然及人文环境</v>
      </c>
      <c r="AA20" s="1257">
        <f t="shared" si="3"/>
        <v>1</v>
      </c>
      <c r="AB20" s="1257">
        <f t="shared" si="4"/>
        <v>1</v>
      </c>
      <c r="AC20" s="1257">
        <f t="shared" si="5"/>
        <v>1</v>
      </c>
    </row>
    <row r="21" spans="1:29" ht="15">
      <c r="A21" s="347"/>
      <c r="B21" s="400"/>
      <c r="C21" s="385"/>
      <c r="D21" s="386"/>
      <c r="E21" s="385"/>
      <c r="F21" s="387"/>
      <c r="G21" s="385"/>
      <c r="H21" s="386"/>
      <c r="I21" s="385"/>
      <c r="J21" s="386"/>
      <c r="K21" s="540"/>
      <c r="L21" s="2486"/>
      <c r="M21" s="2481"/>
      <c r="N21" s="2481"/>
      <c r="O21" s="2481"/>
      <c r="P21" s="3439"/>
      <c r="Q21" s="1256"/>
      <c r="R21" s="665"/>
      <c r="S21" s="666"/>
      <c r="T21" s="665"/>
      <c r="U21" s="666"/>
      <c r="V21" s="665"/>
      <c r="W21" s="666"/>
      <c r="X21" s="1258"/>
      <c r="Y21" s="3439"/>
      <c r="Z21" s="1257"/>
      <c r="AA21" s="1257">
        <v>1</v>
      </c>
      <c r="AB21" s="1257">
        <v>1</v>
      </c>
      <c r="AC21" s="1257">
        <v>1</v>
      </c>
    </row>
    <row r="22" spans="1:29" ht="15">
      <c r="A22" s="347"/>
      <c r="B22" s="554" t="s">
        <v>1832</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39"/>
      <c r="Q22" s="1256" t="str">
        <f>B22</f>
        <v>楼层</v>
      </c>
      <c r="R22" s="665" t="s">
        <v>14</v>
      </c>
      <c r="S22" s="666">
        <f>F22</f>
        <v>100</v>
      </c>
      <c r="T22" s="665" t="s">
        <v>14</v>
      </c>
      <c r="U22" s="666">
        <f>H22</f>
        <v>100</v>
      </c>
      <c r="V22" s="665" t="s">
        <v>14</v>
      </c>
      <c r="W22" s="666">
        <f>J22</f>
        <v>100</v>
      </c>
      <c r="X22" s="1258"/>
      <c r="Y22" s="3439"/>
      <c r="Z22" s="1257" t="str">
        <f>Q22</f>
        <v>楼层</v>
      </c>
      <c r="AA22" s="1257">
        <f t="shared" si="3"/>
        <v>1</v>
      </c>
      <c r="AB22" s="1257">
        <f t="shared" si="4"/>
        <v>1</v>
      </c>
      <c r="AC22" s="1257">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39"/>
      <c r="Q23" s="1256">
        <f>B23</f>
        <v>111</v>
      </c>
      <c r="R23" s="665" t="s">
        <v>14</v>
      </c>
      <c r="S23" s="666">
        <f>F23</f>
        <v>100</v>
      </c>
      <c r="T23" s="665" t="s">
        <v>14</v>
      </c>
      <c r="U23" s="666">
        <f>H23</f>
        <v>100</v>
      </c>
      <c r="V23" s="665" t="s">
        <v>14</v>
      </c>
      <c r="W23" s="666">
        <f>J23</f>
        <v>100</v>
      </c>
      <c r="X23" s="1258"/>
      <c r="Y23" s="3439"/>
      <c r="Z23" s="1257">
        <f>Q23</f>
        <v>111</v>
      </c>
      <c r="AA23" s="1257">
        <f t="shared" si="3"/>
        <v>1</v>
      </c>
      <c r="AB23" s="1257">
        <f t="shared" si="4"/>
        <v>1</v>
      </c>
      <c r="AC23" s="1257">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39"/>
      <c r="Q24" s="1256">
        <f t="shared" ref="Q24:Q36" si="11">B24</f>
        <v>111</v>
      </c>
      <c r="R24" s="665" t="s">
        <v>14</v>
      </c>
      <c r="S24" s="666">
        <f>F24</f>
        <v>100</v>
      </c>
      <c r="T24" s="665" t="s">
        <v>14</v>
      </c>
      <c r="U24" s="666">
        <f>H24</f>
        <v>100</v>
      </c>
      <c r="V24" s="665" t="s">
        <v>14</v>
      </c>
      <c r="W24" s="666">
        <f>J24</f>
        <v>100</v>
      </c>
      <c r="X24" s="1258"/>
      <c r="Y24" s="3439"/>
      <c r="Z24" s="1257">
        <f>Q24</f>
        <v>111</v>
      </c>
      <c r="AA24" s="1257">
        <f t="shared" si="3"/>
        <v>1</v>
      </c>
      <c r="AB24" s="1257">
        <f t="shared" si="4"/>
        <v>1</v>
      </c>
      <c r="AC24" s="1257">
        <f t="shared" si="5"/>
        <v>1</v>
      </c>
    </row>
    <row r="25" spans="1:29" s="102"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3"/>
      <c r="N25" s="2433"/>
      <c r="O25" s="2433"/>
      <c r="P25" s="3439"/>
      <c r="Q25" s="529">
        <f t="shared" si="11"/>
        <v>111</v>
      </c>
      <c r="R25" s="662" t="s">
        <v>14</v>
      </c>
      <c r="S25" s="663">
        <f>F25</f>
        <v>100</v>
      </c>
      <c r="T25" s="662" t="s">
        <v>14</v>
      </c>
      <c r="U25" s="663">
        <f>H25</f>
        <v>100</v>
      </c>
      <c r="V25" s="662" t="s">
        <v>14</v>
      </c>
      <c r="W25" s="663">
        <f>J25</f>
        <v>100</v>
      </c>
      <c r="X25" s="664"/>
      <c r="Y25" s="3439"/>
      <c r="Z25" s="50">
        <f>Q25</f>
        <v>111</v>
      </c>
      <c r="AA25" s="1257">
        <f>D25/F25</f>
        <v>1</v>
      </c>
      <c r="AB25" s="1257">
        <f>D25/H25</f>
        <v>1</v>
      </c>
      <c r="AC25" s="1257">
        <f>D25/J25</f>
        <v>1</v>
      </c>
    </row>
    <row r="26" spans="1:29" ht="28.5">
      <c r="A26" s="572" t="s">
        <v>1691</v>
      </c>
      <c r="B26" s="59" t="s">
        <v>1833</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6" t="s">
        <v>1693</v>
      </c>
      <c r="Q26" s="1256" t="str">
        <f t="shared" si="11"/>
        <v>配套类型</v>
      </c>
      <c r="R26" s="665" t="s">
        <v>14</v>
      </c>
      <c r="S26" s="666">
        <f t="shared" ref="S26:S36" si="12">F26</f>
        <v>0</v>
      </c>
      <c r="T26" s="665" t="s">
        <v>14</v>
      </c>
      <c r="U26" s="666">
        <f t="shared" ref="U26:U36" si="13">H26</f>
        <v>0</v>
      </c>
      <c r="V26" s="665" t="s">
        <v>14</v>
      </c>
      <c r="W26" s="666">
        <f t="shared" ref="W26:W36" si="14">J26</f>
        <v>0</v>
      </c>
      <c r="X26" s="1258"/>
      <c r="Y26" s="3443" t="s">
        <v>1693</v>
      </c>
      <c r="Z26" s="1257" t="str">
        <f t="shared" ref="Z26:Z36" si="15">Q26</f>
        <v>配套类型</v>
      </c>
      <c r="AA26" s="1257" t="e">
        <f t="shared" si="3"/>
        <v>#DIV/0!</v>
      </c>
      <c r="AB26" s="1257" t="e">
        <f t="shared" si="4"/>
        <v>#DIV/0!</v>
      </c>
      <c r="AC26" s="1257" t="e">
        <f t="shared" si="5"/>
        <v>#DIV/0!</v>
      </c>
    </row>
    <row r="27" spans="1:29" s="407" customFormat="1" ht="15">
      <c r="A27" s="573"/>
      <c r="B27" s="118" t="s">
        <v>1834</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43"/>
      <c r="Q27" s="530" t="str">
        <f t="shared" si="11"/>
        <v>项目停车位配比</v>
      </c>
      <c r="R27" s="667" t="s">
        <v>14</v>
      </c>
      <c r="S27" s="668">
        <f t="shared" si="12"/>
        <v>100</v>
      </c>
      <c r="T27" s="667" t="s">
        <v>14</v>
      </c>
      <c r="U27" s="668">
        <f t="shared" si="13"/>
        <v>100</v>
      </c>
      <c r="V27" s="667" t="s">
        <v>14</v>
      </c>
      <c r="W27" s="668">
        <f t="shared" si="14"/>
        <v>100</v>
      </c>
      <c r="X27" s="669"/>
      <c r="Y27" s="3443"/>
      <c r="Z27" s="670" t="str">
        <f t="shared" si="15"/>
        <v>项目停车位配比</v>
      </c>
      <c r="AA27" s="1257">
        <f t="shared" si="3"/>
        <v>1</v>
      </c>
      <c r="AB27" s="1257">
        <f t="shared" si="4"/>
        <v>1</v>
      </c>
      <c r="AC27" s="1257">
        <f t="shared" si="5"/>
        <v>1</v>
      </c>
    </row>
    <row r="28" spans="1:29" ht="15">
      <c r="A28" s="575"/>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43"/>
      <c r="Q28" s="1256" t="str">
        <f t="shared" si="11"/>
        <v>公共部分装修</v>
      </c>
      <c r="R28" s="665" t="s">
        <v>14</v>
      </c>
      <c r="S28" s="666">
        <f t="shared" si="12"/>
        <v>100</v>
      </c>
      <c r="T28" s="665" t="s">
        <v>14</v>
      </c>
      <c r="U28" s="666">
        <f t="shared" si="13"/>
        <v>100</v>
      </c>
      <c r="V28" s="665" t="s">
        <v>14</v>
      </c>
      <c r="W28" s="666">
        <f t="shared" si="14"/>
        <v>100</v>
      </c>
      <c r="X28" s="1258"/>
      <c r="Y28" s="3443"/>
      <c r="Z28" s="1257" t="str">
        <f t="shared" si="15"/>
        <v>公共部分装修</v>
      </c>
      <c r="AA28" s="1257">
        <f t="shared" si="3"/>
        <v>1</v>
      </c>
      <c r="AB28" s="1257">
        <f t="shared" si="4"/>
        <v>1</v>
      </c>
      <c r="AC28" s="1257">
        <f t="shared" si="5"/>
        <v>1</v>
      </c>
    </row>
    <row r="29" spans="1:29" ht="15">
      <c r="A29" s="575"/>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43"/>
      <c r="Q29" s="1256" t="str">
        <f t="shared" si="11"/>
        <v>成新率</v>
      </c>
      <c r="R29" s="665" t="s">
        <v>14</v>
      </c>
      <c r="S29" s="666" t="e">
        <f t="shared" si="12"/>
        <v>#N/A</v>
      </c>
      <c r="T29" s="665" t="s">
        <v>14</v>
      </c>
      <c r="U29" s="666" t="e">
        <f t="shared" si="13"/>
        <v>#N/A</v>
      </c>
      <c r="V29" s="665" t="s">
        <v>14</v>
      </c>
      <c r="W29" s="666" t="e">
        <f t="shared" si="14"/>
        <v>#N/A</v>
      </c>
      <c r="X29" s="1258"/>
      <c r="Y29" s="3443"/>
      <c r="Z29" s="1257" t="str">
        <f t="shared" si="15"/>
        <v>成新率</v>
      </c>
      <c r="AA29" s="1257" t="e">
        <f t="shared" si="3"/>
        <v>#N/A</v>
      </c>
      <c r="AB29" s="1257" t="e">
        <f t="shared" si="4"/>
        <v>#N/A</v>
      </c>
      <c r="AC29" s="1257" t="e">
        <f t="shared" si="5"/>
        <v>#N/A</v>
      </c>
    </row>
    <row r="30" spans="1:29" ht="15">
      <c r="A30" s="575"/>
      <c r="B30" s="118" t="s">
        <v>1837</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43"/>
      <c r="Q30" s="1256" t="str">
        <f t="shared" si="11"/>
        <v>物业等级</v>
      </c>
      <c r="R30" s="665" t="s">
        <v>14</v>
      </c>
      <c r="S30" s="666">
        <f t="shared" si="12"/>
        <v>100</v>
      </c>
      <c r="T30" s="665" t="s">
        <v>14</v>
      </c>
      <c r="U30" s="666">
        <f t="shared" si="13"/>
        <v>100</v>
      </c>
      <c r="V30" s="665" t="s">
        <v>14</v>
      </c>
      <c r="W30" s="666">
        <f t="shared" si="14"/>
        <v>100</v>
      </c>
      <c r="X30" s="1258"/>
      <c r="Y30" s="3443"/>
      <c r="Z30" s="1257" t="str">
        <f t="shared" si="15"/>
        <v>物业等级</v>
      </c>
      <c r="AA30" s="1257">
        <f t="shared" si="3"/>
        <v>1</v>
      </c>
      <c r="AB30" s="1257">
        <f t="shared" si="4"/>
        <v>1</v>
      </c>
      <c r="AC30" s="1257">
        <f t="shared" si="5"/>
        <v>1</v>
      </c>
    </row>
    <row r="31" spans="1:29" s="102" customFormat="1" ht="15">
      <c r="A31" s="577"/>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3"/>
      <c r="N31" s="2433"/>
      <c r="O31" s="2433"/>
      <c r="P31" s="3443"/>
      <c r="Q31" s="529" t="str">
        <f t="shared" si="11"/>
        <v>停车位面积</v>
      </c>
      <c r="R31" s="662" t="s">
        <v>14</v>
      </c>
      <c r="S31" s="663" t="e">
        <f t="shared" si="12"/>
        <v>#N/A</v>
      </c>
      <c r="T31" s="662" t="s">
        <v>14</v>
      </c>
      <c r="U31" s="663" t="e">
        <f t="shared" si="13"/>
        <v>#N/A</v>
      </c>
      <c r="V31" s="662" t="s">
        <v>14</v>
      </c>
      <c r="W31" s="663" t="e">
        <f t="shared" si="14"/>
        <v>#N/A</v>
      </c>
      <c r="X31" s="664"/>
      <c r="Y31" s="3443"/>
      <c r="Z31" s="50" t="str">
        <f t="shared" si="15"/>
        <v>停车位面积</v>
      </c>
      <c r="AA31" s="50" t="e">
        <f t="shared" si="3"/>
        <v>#N/A</v>
      </c>
      <c r="AB31" s="50" t="e">
        <f t="shared" si="4"/>
        <v>#N/A</v>
      </c>
      <c r="AC31" s="50" t="e">
        <f t="shared" si="5"/>
        <v>#N/A</v>
      </c>
    </row>
    <row r="32" spans="1:29" ht="15">
      <c r="A32" s="575"/>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43" t="s">
        <v>1693</v>
      </c>
      <c r="Q32" s="1256" t="str">
        <f t="shared" si="11"/>
        <v>车位类型</v>
      </c>
      <c r="R32" s="665" t="s">
        <v>14</v>
      </c>
      <c r="S32" s="666">
        <f t="shared" si="12"/>
        <v>100</v>
      </c>
      <c r="T32" s="665" t="s">
        <v>14</v>
      </c>
      <c r="U32" s="666">
        <f t="shared" si="13"/>
        <v>100</v>
      </c>
      <c r="V32" s="665" t="s">
        <v>14</v>
      </c>
      <c r="W32" s="666">
        <f t="shared" si="14"/>
        <v>100</v>
      </c>
      <c r="X32" s="1258"/>
      <c r="Y32" s="3443" t="s">
        <v>1693</v>
      </c>
      <c r="Z32" s="1257" t="str">
        <f t="shared" si="15"/>
        <v>车位类型</v>
      </c>
      <c r="AA32" s="1257">
        <f t="shared" si="3"/>
        <v>1</v>
      </c>
      <c r="AB32" s="1257">
        <f t="shared" si="4"/>
        <v>1</v>
      </c>
      <c r="AC32" s="1257">
        <f t="shared" si="5"/>
        <v>1</v>
      </c>
    </row>
    <row r="33" spans="1:29" ht="15">
      <c r="A33" s="575"/>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43"/>
      <c r="Q33" s="1256" t="str">
        <f t="shared" si="11"/>
        <v>是否直接入户</v>
      </c>
      <c r="R33" s="665" t="s">
        <v>14</v>
      </c>
      <c r="S33" s="666">
        <f t="shared" si="12"/>
        <v>100</v>
      </c>
      <c r="T33" s="665" t="s">
        <v>14</v>
      </c>
      <c r="U33" s="666">
        <f t="shared" si="13"/>
        <v>100</v>
      </c>
      <c r="V33" s="665" t="s">
        <v>14</v>
      </c>
      <c r="W33" s="666">
        <f t="shared" si="14"/>
        <v>100</v>
      </c>
      <c r="X33" s="1258"/>
      <c r="Y33" s="3443"/>
      <c r="Z33" s="1257" t="str">
        <f t="shared" si="15"/>
        <v>是否直接入户</v>
      </c>
      <c r="AA33" s="1257">
        <f t="shared" si="3"/>
        <v>1</v>
      </c>
      <c r="AB33" s="1257">
        <f t="shared" si="4"/>
        <v>1</v>
      </c>
      <c r="AC33" s="1257">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43"/>
      <c r="Q34" s="1256">
        <f t="shared" si="11"/>
        <v>111</v>
      </c>
      <c r="R34" s="665" t="s">
        <v>14</v>
      </c>
      <c r="S34" s="666">
        <f t="shared" si="12"/>
        <v>100</v>
      </c>
      <c r="T34" s="665" t="s">
        <v>14</v>
      </c>
      <c r="U34" s="666">
        <f t="shared" si="13"/>
        <v>100</v>
      </c>
      <c r="V34" s="665" t="s">
        <v>14</v>
      </c>
      <c r="W34" s="666">
        <f t="shared" si="14"/>
        <v>100</v>
      </c>
      <c r="X34" s="1258"/>
      <c r="Y34" s="3443"/>
      <c r="Z34" s="1257">
        <f t="shared" si="15"/>
        <v>111</v>
      </c>
      <c r="AA34" s="1257">
        <f t="shared" si="3"/>
        <v>1</v>
      </c>
      <c r="AB34" s="1257">
        <f t="shared" si="4"/>
        <v>1</v>
      </c>
      <c r="AC34" s="1257">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43"/>
      <c r="Q35" s="530">
        <f t="shared" si="11"/>
        <v>111</v>
      </c>
      <c r="R35" s="667" t="s">
        <v>14</v>
      </c>
      <c r="S35" s="668">
        <f t="shared" si="12"/>
        <v>100</v>
      </c>
      <c r="T35" s="667" t="s">
        <v>14</v>
      </c>
      <c r="U35" s="668">
        <f t="shared" si="13"/>
        <v>100</v>
      </c>
      <c r="V35" s="667" t="s">
        <v>14</v>
      </c>
      <c r="W35" s="668">
        <f t="shared" si="14"/>
        <v>100</v>
      </c>
      <c r="X35" s="669"/>
      <c r="Y35" s="3443"/>
      <c r="Z35" s="670">
        <f t="shared" si="15"/>
        <v>111</v>
      </c>
      <c r="AA35" s="1257">
        <f t="shared" si="3"/>
        <v>1</v>
      </c>
      <c r="AB35" s="1257">
        <f t="shared" si="4"/>
        <v>1</v>
      </c>
      <c r="AC35" s="1257">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43"/>
      <c r="Q36" s="1256">
        <f t="shared" si="11"/>
        <v>111</v>
      </c>
      <c r="R36" s="665" t="s">
        <v>14</v>
      </c>
      <c r="S36" s="666">
        <f t="shared" si="12"/>
        <v>100</v>
      </c>
      <c r="T36" s="665" t="s">
        <v>14</v>
      </c>
      <c r="U36" s="666">
        <f t="shared" si="13"/>
        <v>100</v>
      </c>
      <c r="V36" s="665" t="s">
        <v>14</v>
      </c>
      <c r="W36" s="666">
        <f t="shared" si="14"/>
        <v>100</v>
      </c>
      <c r="X36" s="1258"/>
      <c r="Y36" s="3443"/>
      <c r="Z36" s="1257">
        <f t="shared" si="15"/>
        <v>111</v>
      </c>
      <c r="AA36" s="1257">
        <f t="shared" si="3"/>
        <v>1</v>
      </c>
      <c r="AB36" s="1257">
        <f t="shared" si="4"/>
        <v>1</v>
      </c>
      <c r="AC36" s="1257">
        <f t="shared" si="5"/>
        <v>1</v>
      </c>
    </row>
    <row r="37" spans="1:29" ht="15">
      <c r="A37" s="415" t="s">
        <v>1841</v>
      </c>
      <c r="B37" s="1814" t="s">
        <v>3342</v>
      </c>
      <c r="C37" s="1076" t="s">
        <v>0</v>
      </c>
      <c r="D37" s="417"/>
      <c r="E37" s="418"/>
      <c r="F37" s="419"/>
      <c r="G37" s="420"/>
      <c r="H37" s="421"/>
      <c r="I37" s="418"/>
      <c r="J37" s="421"/>
      <c r="K37" s="543"/>
      <c r="L37" s="2488"/>
      <c r="M37" s="2481"/>
      <c r="N37" s="2481"/>
      <c r="O37" s="2481"/>
      <c r="P37" s="3436" t="str">
        <f>A37</f>
        <v>成交单价</v>
      </c>
      <c r="Q37" s="3436"/>
      <c r="R37" s="3437">
        <f>E37</f>
        <v>0</v>
      </c>
      <c r="S37" s="3437"/>
      <c r="T37" s="3437">
        <f>G37</f>
        <v>0</v>
      </c>
      <c r="U37" s="3437"/>
      <c r="V37" s="3437">
        <f>I37</f>
        <v>0</v>
      </c>
      <c r="W37" s="3437"/>
      <c r="X37" s="384"/>
      <c r="Y37" s="671"/>
      <c r="Z37" s="384"/>
      <c r="AA37" s="384"/>
      <c r="AB37" s="384"/>
      <c r="AC37" s="384"/>
    </row>
    <row r="38" spans="1:29" ht="15.75" thickBot="1">
      <c r="A38" s="422" t="s">
        <v>1842</v>
      </c>
      <c r="B38" s="423" t="str">
        <f>B37</f>
        <v>元/平方米</v>
      </c>
      <c r="C38" s="1077" t="e">
        <f>R39</f>
        <v>#DIV/0!</v>
      </c>
      <c r="D38" s="2134" t="s">
        <v>2134</v>
      </c>
      <c r="E38" s="1078" t="e">
        <f>R38</f>
        <v>#DIV/0!</v>
      </c>
      <c r="F38" s="2135"/>
      <c r="G38" s="1077" t="e">
        <f>T38</f>
        <v>#DIV/0!</v>
      </c>
      <c r="H38" s="2135"/>
      <c r="I38" s="1078" t="e">
        <f>V38</f>
        <v>#DIV/0!</v>
      </c>
      <c r="J38" s="2135"/>
      <c r="K38" s="2137">
        <f>F38+H38+J38</f>
        <v>0</v>
      </c>
      <c r="L38" s="2488"/>
      <c r="M38" s="2481"/>
      <c r="N38" s="2481"/>
      <c r="O38" s="2481"/>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4"/>
      <c r="Y38" s="384"/>
      <c r="Z38" s="384"/>
      <c r="AA38" s="384"/>
      <c r="AB38" s="384"/>
      <c r="AC38" s="384"/>
    </row>
    <row r="39" spans="1:29" ht="15.75" thickBot="1">
      <c r="A39" s="426" t="s">
        <v>1843</v>
      </c>
      <c r="B39" s="427"/>
      <c r="C39" s="350" t="e">
        <f>R39</f>
        <v>#DIV/0!</v>
      </c>
      <c r="D39" s="350"/>
      <c r="E39" s="350"/>
      <c r="F39" s="350"/>
      <c r="G39" s="350"/>
      <c r="H39" s="350"/>
      <c r="I39" s="350"/>
      <c r="J39" s="350"/>
      <c r="K39" s="544"/>
      <c r="L39" s="2488"/>
      <c r="M39" s="2481"/>
      <c r="N39" s="2481"/>
      <c r="O39" s="2481"/>
      <c r="P39" s="3433" t="str">
        <f>A39</f>
        <v>估价对象XX用房的比较价值（楼面单价，元/平方米）</v>
      </c>
      <c r="Q39" s="3434"/>
      <c r="R39" s="3502" t="e">
        <f>IF(F1="售价",ROUND(IF(D38="简单平均",AVERAGE(R38:W38),R38*F38+T38*H38+V38*J38),0),ROUND(IF(D38="简单平均",AVERAGE(R38:V38),R38*F38+T38*H38+V38*J38),1))</f>
        <v>#DIV/0!</v>
      </c>
      <c r="S39" s="3502"/>
      <c r="T39" s="3502"/>
      <c r="U39" s="3502"/>
      <c r="V39" s="3502"/>
      <c r="W39" s="350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2" t="s">
        <v>1847</v>
      </c>
      <c r="B47" s="857"/>
      <c r="C47" s="882"/>
      <c r="D47" s="882"/>
      <c r="E47" s="882"/>
      <c r="F47" s="1083"/>
      <c r="G47" s="1083"/>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1" customFormat="1" ht="15">
      <c r="A48" s="439" t="s">
        <v>1848</v>
      </c>
      <c r="B48" s="440"/>
      <c r="C48" s="1098" t="str">
        <f>YEAR(C7)&amp;"-"&amp;MONTH(C7)</f>
        <v>2024-7</v>
      </c>
      <c r="D48" s="1099">
        <f>EDATE(C48,-1)</f>
        <v>45444</v>
      </c>
      <c r="E48" s="1099">
        <f t="shared" ref="E48:O48" si="16">EDATE(D48,-1)</f>
        <v>45413</v>
      </c>
      <c r="F48" s="1099">
        <f t="shared" si="16"/>
        <v>45383</v>
      </c>
      <c r="G48" s="1099">
        <f t="shared" si="16"/>
        <v>45352</v>
      </c>
      <c r="H48" s="1099">
        <f t="shared" si="16"/>
        <v>45323</v>
      </c>
      <c r="I48" s="1099">
        <f t="shared" si="16"/>
        <v>45292</v>
      </c>
      <c r="J48" s="1099">
        <f t="shared" si="16"/>
        <v>45261</v>
      </c>
      <c r="K48" s="1099">
        <f t="shared" si="16"/>
        <v>45231</v>
      </c>
      <c r="L48" s="1099">
        <f t="shared" si="16"/>
        <v>45200</v>
      </c>
      <c r="M48" s="1099">
        <f t="shared" si="16"/>
        <v>45170</v>
      </c>
      <c r="N48" s="1099">
        <f t="shared" si="16"/>
        <v>45139</v>
      </c>
      <c r="O48" s="1099">
        <f t="shared" si="16"/>
        <v>45108</v>
      </c>
      <c r="P48" s="2521"/>
      <c r="Q48" s="2504"/>
      <c r="R48" s="2504"/>
      <c r="S48" s="2504"/>
      <c r="T48" s="2504"/>
      <c r="U48" s="2504"/>
      <c r="V48" s="2504"/>
      <c r="W48" s="2504"/>
      <c r="X48" s="2504"/>
      <c r="Y48" s="2504"/>
      <c r="Z48" s="2504"/>
      <c r="AA48" s="2504"/>
      <c r="AB48" s="2504"/>
      <c r="AC48" s="2504"/>
    </row>
    <row r="49" spans="1:29" s="102" customFormat="1" ht="15">
      <c r="A49" s="442"/>
      <c r="B49" s="443"/>
      <c r="C49" s="1092">
        <v>100</v>
      </c>
      <c r="D49" s="445"/>
      <c r="E49" s="445"/>
      <c r="F49" s="445"/>
      <c r="G49" s="445"/>
      <c r="H49" s="445"/>
      <c r="I49" s="445"/>
      <c r="J49" s="445"/>
      <c r="K49" s="445"/>
      <c r="L49" s="445"/>
      <c r="M49" s="446"/>
      <c r="N49" s="445"/>
      <c r="O49" s="446"/>
      <c r="P49" s="2522"/>
      <c r="Q49" s="2433"/>
      <c r="R49" s="2433"/>
      <c r="S49" s="2433"/>
      <c r="T49" s="2433"/>
      <c r="U49" s="2433"/>
      <c r="V49" s="2433"/>
      <c r="W49" s="2433"/>
      <c r="X49" s="2433"/>
      <c r="Y49" s="2433"/>
      <c r="Z49" s="2433"/>
      <c r="AA49" s="2433"/>
      <c r="AB49" s="2433"/>
      <c r="AC49" s="2433"/>
    </row>
    <row r="50" spans="1:29" s="102" customFormat="1" ht="15.75" thickBot="1">
      <c r="A50" s="448" t="s">
        <v>1713</v>
      </c>
      <c r="B50" s="449"/>
      <c r="C50" s="450"/>
      <c r="D50" s="451"/>
      <c r="E50" s="451"/>
      <c r="F50" s="451"/>
      <c r="G50" s="451"/>
      <c r="H50" s="451"/>
      <c r="I50" s="451"/>
      <c r="J50" s="451"/>
      <c r="K50" s="451"/>
      <c r="L50" s="451"/>
      <c r="M50" s="452"/>
      <c r="N50" s="451"/>
      <c r="O50" s="452"/>
      <c r="P50" s="2522"/>
      <c r="Q50" s="2502"/>
      <c r="R50" s="2433"/>
      <c r="S50" s="2433"/>
      <c r="T50" s="2433"/>
      <c r="U50" s="2433"/>
      <c r="V50" s="2433"/>
      <c r="W50" s="2433"/>
      <c r="X50" s="2433"/>
      <c r="Y50" s="2433"/>
      <c r="Z50" s="2433"/>
      <c r="AA50" s="2433"/>
      <c r="AB50" s="2433"/>
      <c r="AC50" s="2433"/>
    </row>
    <row r="51" spans="1:29" s="102" customFormat="1" ht="15">
      <c r="A51" s="454" t="s">
        <v>1678</v>
      </c>
      <c r="B51" s="443"/>
      <c r="C51" s="455" t="s">
        <v>1773</v>
      </c>
      <c r="D51" s="31"/>
      <c r="E51" s="31"/>
      <c r="F51" s="31"/>
      <c r="G51" s="31"/>
      <c r="H51" s="31"/>
      <c r="I51" s="31"/>
      <c r="J51" s="31"/>
      <c r="K51" s="31"/>
      <c r="L51" s="456"/>
      <c r="M51" s="457"/>
      <c r="N51" s="2514"/>
      <c r="O51" s="2514"/>
      <c r="P51" s="2523"/>
      <c r="Q51" s="2502"/>
      <c r="R51" s="2433"/>
      <c r="S51" s="2433"/>
      <c r="T51" s="2433"/>
      <c r="U51" s="2433"/>
      <c r="V51" s="2433"/>
      <c r="W51" s="2433"/>
      <c r="X51" s="2433"/>
      <c r="Y51" s="2433"/>
      <c r="Z51" s="2433"/>
      <c r="AA51" s="2433"/>
      <c r="AB51" s="2433"/>
      <c r="AC51" s="2433"/>
    </row>
    <row r="52" spans="1:29" s="102" customFormat="1" ht="15.75" thickBot="1">
      <c r="A52" s="454"/>
      <c r="B52" s="443"/>
      <c r="C52" s="561">
        <v>100</v>
      </c>
      <c r="D52" s="445"/>
      <c r="E52" s="445"/>
      <c r="F52" s="445"/>
      <c r="G52" s="445"/>
      <c r="H52" s="445"/>
      <c r="I52" s="445"/>
      <c r="J52" s="445"/>
      <c r="K52" s="445"/>
      <c r="L52" s="445"/>
      <c r="M52" s="447"/>
      <c r="N52" s="2514"/>
      <c r="O52" s="2514"/>
      <c r="P52" s="2522"/>
      <c r="Q52" s="2502"/>
      <c r="R52" s="2433"/>
      <c r="S52" s="2433"/>
      <c r="T52" s="2433"/>
      <c r="U52" s="2433"/>
      <c r="V52" s="2433"/>
      <c r="W52" s="2433"/>
      <c r="X52" s="2433"/>
      <c r="Y52" s="2433"/>
      <c r="Z52" s="2433"/>
      <c r="AA52" s="2433"/>
      <c r="AB52" s="2433"/>
      <c r="AC52" s="2433"/>
    </row>
    <row r="53" spans="1:29">
      <c r="A53" s="378" t="s">
        <v>1716</v>
      </c>
      <c r="B53" s="459" t="s">
        <v>1682</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1685</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1724</v>
      </c>
      <c r="C65" s="508" t="s">
        <v>1718</v>
      </c>
      <c r="D65" s="508" t="s">
        <v>1719</v>
      </c>
      <c r="E65" s="508" t="s">
        <v>1720</v>
      </c>
      <c r="F65" s="508" t="s">
        <v>1721</v>
      </c>
      <c r="G65" s="508" t="s">
        <v>1722</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1810</v>
      </c>
      <c r="C67" s="579" t="s">
        <v>1796</v>
      </c>
      <c r="D67" s="579" t="s">
        <v>1797</v>
      </c>
      <c r="E67" s="579" t="s">
        <v>1798</v>
      </c>
      <c r="F67" s="579" t="s">
        <v>1799</v>
      </c>
      <c r="G67" s="579" t="s">
        <v>1800</v>
      </c>
      <c r="H67" s="469"/>
      <c r="I67" s="469"/>
      <c r="J67" s="469"/>
      <c r="K67" s="469"/>
      <c r="L67" s="469"/>
      <c r="M67" s="1058"/>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1730</v>
      </c>
      <c r="C69" s="508" t="s">
        <v>1718</v>
      </c>
      <c r="D69" s="508" t="s">
        <v>1719</v>
      </c>
      <c r="E69" s="508" t="s">
        <v>1720</v>
      </c>
      <c r="F69" s="508" t="s">
        <v>1721</v>
      </c>
      <c r="G69" s="508" t="s">
        <v>1722</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1849</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2" customFormat="1" ht="15.75" thickTop="1">
      <c r="A73" s="369"/>
      <c r="B73" s="468">
        <f>B23</f>
        <v>111</v>
      </c>
      <c r="C73" s="479"/>
      <c r="D73" s="479"/>
      <c r="E73" s="479"/>
      <c r="F73" s="479"/>
      <c r="G73" s="484"/>
      <c r="H73" s="484"/>
      <c r="I73" s="484"/>
      <c r="J73" s="484"/>
      <c r="K73" s="484"/>
      <c r="L73" s="509"/>
      <c r="M73" s="510"/>
      <c r="N73" s="2514"/>
      <c r="O73" s="2514"/>
      <c r="P73" s="2524"/>
      <c r="Q73" s="2502"/>
      <c r="R73" s="2433"/>
      <c r="S73" s="2433"/>
      <c r="T73" s="2433"/>
      <c r="U73" s="2433"/>
      <c r="V73" s="2433"/>
      <c r="W73" s="2433"/>
      <c r="X73" s="2433"/>
      <c r="Y73" s="2433"/>
      <c r="Z73" s="2433"/>
      <c r="AA73" s="2433"/>
      <c r="AB73" s="2433"/>
      <c r="AC73" s="2433"/>
    </row>
    <row r="74" spans="1:29" s="102" customFormat="1" ht="15.75" thickBot="1">
      <c r="A74" s="369"/>
      <c r="B74" s="473"/>
      <c r="C74" s="490"/>
      <c r="D74" s="466"/>
      <c r="E74" s="466"/>
      <c r="F74" s="466"/>
      <c r="G74" s="466"/>
      <c r="H74" s="466"/>
      <c r="I74" s="466"/>
      <c r="J74" s="466"/>
      <c r="K74" s="466"/>
      <c r="L74" s="466"/>
      <c r="M74" s="467"/>
      <c r="N74" s="2516"/>
      <c r="O74" s="2516"/>
      <c r="P74" s="2524"/>
      <c r="Q74" s="2502"/>
      <c r="R74" s="2433"/>
      <c r="S74" s="2433"/>
      <c r="T74" s="2433"/>
      <c r="U74" s="2433"/>
      <c r="V74" s="2433"/>
      <c r="W74" s="2433"/>
      <c r="X74" s="2433"/>
      <c r="Y74" s="2433"/>
      <c r="Z74" s="2433"/>
      <c r="AA74" s="2433"/>
      <c r="AB74" s="2433"/>
      <c r="AC74" s="2433"/>
    </row>
    <row r="75" spans="1:29" s="102" customFormat="1" ht="15.75" thickTop="1">
      <c r="A75" s="369"/>
      <c r="B75" s="468">
        <f>B24</f>
        <v>111</v>
      </c>
      <c r="C75" s="479"/>
      <c r="D75" s="479"/>
      <c r="E75" s="479"/>
      <c r="F75" s="479"/>
      <c r="G75" s="484"/>
      <c r="H75" s="484"/>
      <c r="I75" s="484"/>
      <c r="J75" s="484"/>
      <c r="K75" s="484"/>
      <c r="L75" s="484"/>
      <c r="M75" s="510"/>
      <c r="N75" s="2514"/>
      <c r="O75" s="2514"/>
      <c r="P75" s="2524"/>
      <c r="Q75" s="2502"/>
      <c r="R75" s="2433"/>
      <c r="S75" s="2433"/>
      <c r="T75" s="2433"/>
      <c r="U75" s="2433"/>
      <c r="V75" s="2433"/>
      <c r="W75" s="2433"/>
      <c r="X75" s="2433"/>
      <c r="Y75" s="2433"/>
      <c r="Z75" s="2433"/>
      <c r="AA75" s="2433"/>
      <c r="AB75" s="2433"/>
      <c r="AC75" s="2433"/>
    </row>
    <row r="76" spans="1:29" s="102" customFormat="1" ht="15.75" thickBot="1">
      <c r="A76" s="369"/>
      <c r="B76" s="473"/>
      <c r="C76" s="490"/>
      <c r="D76" s="466"/>
      <c r="E76" s="466"/>
      <c r="F76" s="466"/>
      <c r="G76" s="466"/>
      <c r="H76" s="466"/>
      <c r="I76" s="466"/>
      <c r="J76" s="466"/>
      <c r="K76" s="466"/>
      <c r="L76" s="466"/>
      <c r="M76" s="467"/>
      <c r="N76" s="2516"/>
      <c r="O76" s="2516"/>
      <c r="P76" s="2524"/>
      <c r="Q76" s="2502"/>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1691</v>
      </c>
      <c r="B79" s="459" t="s">
        <v>1850</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1851</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1737</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1853</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1855</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1856</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5" priority="13" stopIfTrue="1">
      <formula>$F$42="超过30%"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F7:F36 H7:H36 J7:J36">
    <cfRule type="cellIs" dxfId="62" priority="1" operator="notEqual">
      <formula>100</formula>
    </cfRule>
  </conditionalFormatting>
  <conditionalFormatting sqref="F38">
    <cfRule type="expression" dxfId="61" priority="4">
      <formula>$D$38="简单平均"</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H38">
    <cfRule type="expression" dxfId="56" priority="3">
      <formula>$D$38="简单平均"</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J38">
    <cfRule type="expression" dxfId="52" priority="2">
      <formula>$D$38="简单平均"</formula>
    </cfRule>
  </conditionalFormatting>
  <dataValidations count="20">
    <dataValidation type="list" allowBlank="1" showInputMessage="1" showErrorMessage="1" sqref="D1" xr:uid="{00000000-0002-0000-2E00-000000000000}">
      <formula1>项目类型</formula1>
    </dataValidation>
    <dataValidation type="list" allowBlank="1" showInputMessage="1" showErrorMessage="1" sqref="G17 C17 E17 I17" xr:uid="{00000000-0002-0000-2E00-000001000000}">
      <formula1>公共配套设施</formula1>
    </dataValidation>
    <dataValidation type="list" allowBlank="1" showInputMessage="1" showErrorMessage="1" sqref="G15 E15 C15 I15" xr:uid="{00000000-0002-0000-2E00-000002000000}">
      <formula1>交通便捷度</formula1>
    </dataValidation>
    <dataValidation type="list" allowBlank="1" showInputMessage="1" showErrorMessage="1" sqref="C8 E8 G8 I8" xr:uid="{00000000-0002-0000-2E00-000003000000}">
      <formula1>车位交易情况</formula1>
    </dataValidation>
    <dataValidation type="list" allowBlank="1" showInputMessage="1" showErrorMessage="1" sqref="E9 G9 I9" xr:uid="{00000000-0002-0000-2E00-000004000000}">
      <formula1>车位用途</formula1>
    </dataValidation>
    <dataValidation type="list" allowBlank="1" showInputMessage="1" showErrorMessage="1" sqref="C22 E22 G22 I22" xr:uid="{00000000-0002-0000-2E00-000005000000}">
      <formula1>车位楼层</formula1>
    </dataValidation>
    <dataValidation type="list" allowBlank="1" showInputMessage="1" showErrorMessage="1" sqref="C30 E30 G30 I30" xr:uid="{00000000-0002-0000-2E00-000006000000}">
      <formula1>车位物业等级</formula1>
    </dataValidation>
    <dataValidation type="list" allowBlank="1" showInputMessage="1" showErrorMessage="1" sqref="C32 E32 G32 I32" xr:uid="{00000000-0002-0000-2E00-000007000000}">
      <formula1>车位类型</formula1>
    </dataValidation>
    <dataValidation type="list" allowBlank="1" showInputMessage="1" showErrorMessage="1" sqref="C33 E33 G33 I33" xr:uid="{00000000-0002-0000-2E00-000008000000}">
      <formula1>是否直接入户</formula1>
    </dataValidation>
    <dataValidation type="list" allowBlank="1" showInputMessage="1" showErrorMessage="1" sqref="B1" xr:uid="{00000000-0002-0000-2E00-000009000000}">
      <formula1>地类判定</formula1>
    </dataValidation>
    <dataValidation type="list" allowBlank="1" showInputMessage="1" showErrorMessage="1" sqref="I26 E26 G26" xr:uid="{00000000-0002-0000-2E00-00000A000000}">
      <formula1>车位配套类型</formula1>
    </dataValidation>
    <dataValidation type="list" allowBlank="1" showInputMessage="1" showErrorMessage="1" sqref="C28 E28 G28 I28" xr:uid="{00000000-0002-0000-2E00-00000B000000}">
      <formula1>车位公共部分装修</formula1>
    </dataValidation>
    <dataValidation type="list" allowBlank="1" showInputMessage="1" showErrorMessage="1" sqref="B37" xr:uid="{00000000-0002-0000-2E00-00000C000000}">
      <formula1>"元/平方米,元/车位"</formula1>
    </dataValidation>
    <dataValidation type="list" allowBlank="1" showInputMessage="1" showErrorMessage="1" sqref="C21 E21 G21 I21" xr:uid="{00000000-0002-0000-2E00-00000D000000}">
      <formula1>环境</formula1>
    </dataValidation>
    <dataValidation type="list" allowBlank="1" showInputMessage="1" showErrorMessage="1" sqref="C19 E19 G19 I19" xr:uid="{00000000-0002-0000-2E00-00000E000000}">
      <formula1>基础设施水平</formula1>
    </dataValidation>
    <dataValidation type="list" allowBlank="1" showInputMessage="1" showErrorMessage="1" sqref="F1" xr:uid="{00000000-0002-0000-2E00-00000F000000}">
      <formula1>"售价,租金"</formula1>
    </dataValidation>
    <dataValidation type="list" allowBlank="1" showInputMessage="1" showErrorMessage="1" sqref="C2" xr:uid="{00000000-0002-0000-2E00-000010000000}">
      <formula1>"需扣减承租人权益,——"</formula1>
    </dataValidation>
    <dataValidation type="list" allowBlank="1" showInputMessage="1" showErrorMessage="1" sqref="F2" xr:uid="{00000000-0002-0000-2E00-000011000000}">
      <formula1>估价方法</formula1>
    </dataValidation>
    <dataValidation type="list" allowBlank="1" showInputMessage="1" showErrorMessage="1" sqref="D38" xr:uid="{00000000-0002-0000-2E00-000012000000}">
      <formula1>"简单平均,加权平均"</formula1>
    </dataValidation>
    <dataValidation type="list" allowBlank="1" showInputMessage="1" showErrorMessage="1" sqref="E1" xr:uid="{00000000-0002-0000-2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AK83"/>
  <sheetViews>
    <sheetView view="pageBreakPreview" zoomScale="70" zoomScaleNormal="70" zoomScaleSheetLayoutView="70" workbookViewId="0">
      <selection activeCell="N71" sqref="N7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5" customWidth="1"/>
    <col min="12" max="12" width="16.375" style="249" customWidth="1"/>
    <col min="13" max="13" width="13" style="249"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9"/>
  </cols>
  <sheetData>
    <row r="1" spans="1:37" s="284" customFormat="1" ht="21">
      <c r="A1" s="1276" t="s">
        <v>874</v>
      </c>
      <c r="B1" s="661"/>
      <c r="C1" s="1280" t="s">
        <v>4422</v>
      </c>
      <c r="D1" s="1264" t="s">
        <v>43</v>
      </c>
      <c r="E1" s="1265" t="s">
        <v>675</v>
      </c>
      <c r="F1" s="994">
        <f ca="1">J53</f>
        <v>41.47</v>
      </c>
      <c r="G1" s="1279">
        <f>MATCH(C1,'数据-取费表'!A6:A16,0)+5</f>
        <v>8</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6" t="s">
        <v>875</v>
      </c>
      <c r="B2" s="3117">
        <f ca="1">ROUND(D2/10000,4)</f>
        <v>7.5708000000000002</v>
      </c>
      <c r="C2" s="1282" t="s">
        <v>876</v>
      </c>
      <c r="D2" s="1368">
        <f ca="1">C40+J29+L46</f>
        <v>75708</v>
      </c>
      <c r="E2" s="1288" t="s">
        <v>877</v>
      </c>
      <c r="F2" s="1289"/>
      <c r="G2" s="2472"/>
      <c r="H2" s="2462"/>
      <c r="I2" s="2462"/>
      <c r="J2" s="2462"/>
      <c r="K2" s="2463"/>
      <c r="L2" s="2462"/>
      <c r="M2" s="2462"/>
    </row>
    <row r="3" spans="1:37" ht="18" customHeight="1" thickBot="1">
      <c r="A3" s="1290" t="s">
        <v>878</v>
      </c>
      <c r="B3" s="1291">
        <f ca="1">IF(ISERROR(D2/F43),0,ROUND(D2/F43,0))</f>
        <v>1430</v>
      </c>
      <c r="C3" s="1282" t="s">
        <v>879</v>
      </c>
      <c r="D3" s="1282"/>
      <c r="E3" s="1288"/>
      <c r="F3" s="1289"/>
      <c r="G3" s="2472"/>
      <c r="H3" s="647" t="s">
        <v>873</v>
      </c>
      <c r="I3" s="1283"/>
      <c r="J3" s="1283"/>
      <c r="K3" s="1284"/>
      <c r="L3" s="1283"/>
      <c r="M3" s="1283"/>
    </row>
    <row r="4" spans="1:37" ht="18" customHeight="1">
      <c r="A4" s="286" t="s">
        <v>880</v>
      </c>
      <c r="B4" s="287" t="s">
        <v>881</v>
      </c>
      <c r="C4" s="287" t="s">
        <v>882</v>
      </c>
      <c r="D4" s="287" t="s">
        <v>883</v>
      </c>
      <c r="E4" s="288" t="s">
        <v>884</v>
      </c>
      <c r="F4" s="289"/>
      <c r="G4" s="1285"/>
      <c r="H4" s="286" t="s">
        <v>880</v>
      </c>
      <c r="I4" s="287" t="s">
        <v>881</v>
      </c>
      <c r="J4" s="287" t="s">
        <v>882</v>
      </c>
      <c r="K4" s="287" t="s">
        <v>883</v>
      </c>
      <c r="L4" s="288" t="s">
        <v>884</v>
      </c>
      <c r="M4" s="289"/>
    </row>
    <row r="5" spans="1:37" ht="18" customHeight="1">
      <c r="A5" s="290">
        <v>1</v>
      </c>
      <c r="B5" s="291" t="s">
        <v>885</v>
      </c>
      <c r="C5" s="1002">
        <f ca="1">C6+C10+C12</f>
        <v>5400</v>
      </c>
      <c r="D5" s="1266" t="s">
        <v>886</v>
      </c>
      <c r="E5" s="1003"/>
      <c r="F5" s="1004"/>
      <c r="G5" s="1285"/>
      <c r="H5" s="290">
        <v>1</v>
      </c>
      <c r="I5" s="291" t="s">
        <v>885</v>
      </c>
      <c r="J5" s="1002">
        <f ca="1">J6+J10+J12</f>
        <v>0</v>
      </c>
      <c r="K5" s="1266" t="s">
        <v>886</v>
      </c>
      <c r="L5" s="1003"/>
      <c r="M5" s="1004"/>
    </row>
    <row r="6" spans="1:37" ht="18" customHeight="1">
      <c r="A6" s="1001" t="s">
        <v>398</v>
      </c>
      <c r="B6" s="3409" t="s">
        <v>691</v>
      </c>
      <c r="C6" s="1006">
        <f ca="1">ROUND(F6*F8*F7*(1-F9),0)</f>
        <v>5400</v>
      </c>
      <c r="D6" s="146" t="s">
        <v>2102</v>
      </c>
      <c r="E6" s="293" t="s">
        <v>693</v>
      </c>
      <c r="F6" s="294">
        <f ca="1">INDIRECT("'数据-取费表'!u"&amp;$G$1)</f>
        <v>500</v>
      </c>
      <c r="G6" s="1285"/>
      <c r="H6" s="1001" t="s">
        <v>398</v>
      </c>
      <c r="I6" s="3409" t="s">
        <v>691</v>
      </c>
      <c r="J6" s="292">
        <f ca="1">ROUND(M6*M8*M7*(1-M9),0)</f>
        <v>0</v>
      </c>
      <c r="K6" s="1277" t="s">
        <v>2103</v>
      </c>
      <c r="L6" s="293" t="s">
        <v>693</v>
      </c>
      <c r="M6" s="294">
        <f ca="1">INDIRECT("'数据-取费表'!z"&amp;$G$1)</f>
        <v>0</v>
      </c>
    </row>
    <row r="7" spans="1:37" ht="18" customHeight="1">
      <c r="A7" s="1005"/>
      <c r="B7" s="3410"/>
      <c r="C7" s="1007"/>
      <c r="D7" s="298"/>
      <c r="E7" s="1008" t="s">
        <v>694</v>
      </c>
      <c r="F7" s="294">
        <f ca="1">IF(INDIRECT("'数据-取费表'!ah"&amp;$G$1)="",INDIRECT("'数据-取费表'!k"&amp;$G$1),INDIRECT("'数据-取费表'!ah"&amp;$G$1))</f>
        <v>1</v>
      </c>
      <c r="G7" s="1285"/>
      <c r="H7" s="295"/>
      <c r="I7" s="3410"/>
      <c r="J7" s="297"/>
      <c r="K7" s="298"/>
      <c r="L7" s="293" t="s">
        <v>694</v>
      </c>
      <c r="M7" s="294">
        <f ca="1">F7</f>
        <v>1</v>
      </c>
    </row>
    <row r="8" spans="1:37" ht="18" customHeight="1">
      <c r="A8" s="295"/>
      <c r="B8" s="3410"/>
      <c r="C8" s="297"/>
      <c r="D8" s="298"/>
      <c r="E8" s="293" t="s">
        <v>695</v>
      </c>
      <c r="F8" s="294">
        <f ca="1">INDIRECT("'数据-取费表'!ai"&amp;$G$1)</f>
        <v>12</v>
      </c>
      <c r="G8" s="1285"/>
      <c r="H8" s="295"/>
      <c r="I8" s="3410"/>
      <c r="J8" s="297"/>
      <c r="K8" s="298"/>
      <c r="L8" s="293" t="s">
        <v>695</v>
      </c>
      <c r="M8" s="294">
        <f ca="1">INDIRECT("'数据-取费表'!ai"&amp;$G$1)</f>
        <v>12</v>
      </c>
    </row>
    <row r="9" spans="1:37" ht="18" customHeight="1">
      <c r="A9" s="295"/>
      <c r="B9" s="3411"/>
      <c r="C9" s="297"/>
      <c r="D9" s="298"/>
      <c r="E9" s="293" t="s">
        <v>696</v>
      </c>
      <c r="F9" s="303">
        <f ca="1">INDIRECT("'数据-取费表'!w"&amp;$G$1)</f>
        <v>0.1</v>
      </c>
      <c r="G9" s="1285"/>
      <c r="H9" s="295"/>
      <c r="I9" s="3411"/>
      <c r="J9" s="297"/>
      <c r="K9" s="298"/>
      <c r="L9" s="304" t="s">
        <v>696</v>
      </c>
      <c r="M9" s="305">
        <f ca="1">INDIRECT("'数据-取费表'!ab"&amp;$G$1)</f>
        <v>0</v>
      </c>
    </row>
    <row r="10" spans="1:37" ht="18" customHeight="1">
      <c r="A10" s="1001" t="s">
        <v>402</v>
      </c>
      <c r="B10" s="1267" t="s">
        <v>697</v>
      </c>
      <c r="C10" s="307">
        <f ca="1">ROUND(IF(F10="押一",C6/12*F11,IF(F10="押二",C6/12*2*F11,IF(F10="押三",C6/12*3*F11,C11*F11))),0)</f>
        <v>0</v>
      </c>
      <c r="D10" s="149" t="s">
        <v>2112</v>
      </c>
      <c r="E10" s="304" t="s">
        <v>698</v>
      </c>
      <c r="F10" s="1048"/>
      <c r="G10" s="1285"/>
      <c r="H10" s="1001" t="s">
        <v>402</v>
      </c>
      <c r="I10" s="1267" t="s">
        <v>697</v>
      </c>
      <c r="J10" s="292">
        <f ca="1">ROUND(IF(M10="押一",J6/12*M11,IF(M10="押二",J6/12*2*M11,IF(M10="押三",J6/12*3*M11,J11*M11))),0)</f>
        <v>0</v>
      </c>
      <c r="K10" s="1278" t="s">
        <v>2114</v>
      </c>
      <c r="L10" s="304" t="s">
        <v>698</v>
      </c>
      <c r="M10" s="1048"/>
    </row>
    <row r="11" spans="1:37" ht="18" customHeight="1">
      <c r="A11" s="299"/>
      <c r="B11" s="1268" t="s">
        <v>887</v>
      </c>
      <c r="C11" s="901"/>
      <c r="D11" s="298"/>
      <c r="E11" s="304" t="s">
        <v>699</v>
      </c>
      <c r="F11" s="305">
        <f ca="1">'数据-取费表'!B39</f>
        <v>1.4999999999999999E-2</v>
      </c>
      <c r="G11" s="1285"/>
      <c r="H11" s="1009"/>
      <c r="I11" s="1268" t="s">
        <v>888</v>
      </c>
      <c r="J11" s="901"/>
      <c r="K11" s="644"/>
      <c r="L11" s="304" t="s">
        <v>699</v>
      </c>
      <c r="M11" s="805">
        <f ca="1">'数据-取费表'!B39</f>
        <v>1.4999999999999999E-2</v>
      </c>
    </row>
    <row r="12" spans="1:37" ht="18" customHeight="1" thickBot="1">
      <c r="A12" s="1015" t="s">
        <v>437</v>
      </c>
      <c r="B12" s="1270" t="s">
        <v>700</v>
      </c>
      <c r="C12" s="1016"/>
      <c r="D12" s="1017"/>
      <c r="E12" s="1022"/>
      <c r="F12" s="1018"/>
      <c r="G12" s="1285"/>
      <c r="H12" s="1015" t="s">
        <v>437</v>
      </c>
      <c r="I12" s="1270" t="s">
        <v>700</v>
      </c>
      <c r="J12" s="1016"/>
      <c r="K12" s="1030"/>
      <c r="L12" s="1022"/>
      <c r="M12" s="1031"/>
    </row>
    <row r="13" spans="1:37" ht="18" customHeight="1" thickTop="1">
      <c r="A13" s="1011">
        <v>2</v>
      </c>
      <c r="B13" s="1012" t="s">
        <v>701</v>
      </c>
      <c r="C13" s="301">
        <f ca="1">ROUND(C29*F13,0)</f>
        <v>332436</v>
      </c>
      <c r="D13" s="1013" t="s">
        <v>702</v>
      </c>
      <c r="E13" s="1013" t="s">
        <v>703</v>
      </c>
      <c r="F13" s="1014">
        <f ca="1">INDIRECT("'数据-取费表'!y"&amp;$G$1)</f>
        <v>0.98</v>
      </c>
      <c r="G13" s="1285"/>
      <c r="H13" s="1011">
        <v>2</v>
      </c>
      <c r="I13" s="1012" t="s">
        <v>701</v>
      </c>
      <c r="J13" s="1000">
        <f ca="1">ROUND(J14*J15,0)</f>
        <v>0</v>
      </c>
      <c r="K13" s="1019" t="s">
        <v>702</v>
      </c>
      <c r="L13" s="1292"/>
      <c r="M13" s="1293"/>
    </row>
    <row r="14" spans="1:37" ht="18" customHeight="1">
      <c r="A14" s="924" t="s">
        <v>397</v>
      </c>
      <c r="B14" s="293" t="s">
        <v>704</v>
      </c>
      <c r="C14" s="309">
        <f ca="1">ROUND(INDIRECT("'数据-取费表'!l"&amp;$G$1)*F43+'数据-取费表'!L14*INDIRECT("'数据-取费表'!S"&amp;$G$1),0)</f>
        <v>238185</v>
      </c>
      <c r="D14" s="1250" t="s">
        <v>705</v>
      </c>
      <c r="E14" s="1248"/>
      <c r="F14" s="310"/>
      <c r="G14" s="1285"/>
      <c r="H14" s="924" t="s">
        <v>398</v>
      </c>
      <c r="I14" s="293" t="s">
        <v>706</v>
      </c>
      <c r="J14" s="21">
        <f ca="1">C29</f>
        <v>339220</v>
      </c>
      <c r="K14" s="12"/>
      <c r="L14" s="755"/>
      <c r="M14" s="756"/>
    </row>
    <row r="15" spans="1:37" s="1297" customFormat="1" ht="18" customHeight="1" thickBot="1">
      <c r="A15" s="924" t="s">
        <v>399</v>
      </c>
      <c r="B15" s="293" t="s">
        <v>707</v>
      </c>
      <c r="C15" s="21">
        <f ca="1">ROUND(C14*F15,0)</f>
        <v>23819</v>
      </c>
      <c r="D15" s="311" t="s">
        <v>708</v>
      </c>
      <c r="E15" s="311" t="s">
        <v>709</v>
      </c>
      <c r="F15" s="312">
        <f>'数据-取费表'!B33</f>
        <v>0.1</v>
      </c>
      <c r="G15" s="1296"/>
      <c r="H15" s="1021" t="s">
        <v>402</v>
      </c>
      <c r="I15" s="1022" t="s">
        <v>703</v>
      </c>
      <c r="J15" s="1031">
        <f ca="1">INDIRECT("'数据-取费表'!ad"&amp;$G$1)</f>
        <v>0</v>
      </c>
      <c r="K15" s="1032"/>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4" t="s">
        <v>677</v>
      </c>
      <c r="B16" s="293" t="s">
        <v>710</v>
      </c>
      <c r="C16" s="21">
        <f ca="1">ROUND(INDIRECT("'数据-取费表'!l"&amp;$G$1)*F43*F16,0)</f>
        <v>0</v>
      </c>
      <c r="D16" s="293" t="s">
        <v>708</v>
      </c>
      <c r="E16" s="293" t="s">
        <v>709</v>
      </c>
      <c r="F16" s="313">
        <f ca="1">IF(INDIRECT("'数据-取费表'!c"&amp;$G$1)="住宅",'数据-取费表'!B34,0)</f>
        <v>0</v>
      </c>
      <c r="G16" s="1285"/>
      <c r="H16" s="1011" t="s">
        <v>393</v>
      </c>
      <c r="I16" s="1012" t="s">
        <v>711</v>
      </c>
      <c r="J16" s="301">
        <f ca="1">ROUND(J17+J22+J23+J24,0)</f>
        <v>688</v>
      </c>
      <c r="K16" s="1019" t="s">
        <v>712</v>
      </c>
      <c r="L16" s="1020"/>
      <c r="M16" s="1004"/>
    </row>
    <row r="17" spans="1:37" s="1297" customFormat="1" ht="18" customHeight="1">
      <c r="A17" s="924" t="s">
        <v>678</v>
      </c>
      <c r="B17" s="293" t="s">
        <v>713</v>
      </c>
      <c r="C17" s="21">
        <f ca="1">ROUND(F17*(F43+INDIRECT("'数据-取费表'!S"&amp;$G$1)),0)</f>
        <v>10586</v>
      </c>
      <c r="D17" s="293" t="s">
        <v>714</v>
      </c>
      <c r="E17" s="293" t="s">
        <v>715</v>
      </c>
      <c r="F17" s="23">
        <f>'数据-取费表'!B35</f>
        <v>200</v>
      </c>
      <c r="G17" s="1296"/>
      <c r="H17" s="924" t="s">
        <v>398</v>
      </c>
      <c r="I17" s="293" t="s">
        <v>716</v>
      </c>
      <c r="J17" s="2133">
        <f ca="1">ROUND(IF(AND(项目基本情况!B11="自然人",项目基本情况!B10="北京市"),J6*M17/(1+'数据-取费表'!C42),J18+J19+J20),0)</f>
        <v>10</v>
      </c>
      <c r="K17" s="1250" t="s">
        <v>717</v>
      </c>
      <c r="L17" s="1249" t="s">
        <v>718</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4" t="s">
        <v>679</v>
      </c>
      <c r="B18" s="293" t="s">
        <v>719</v>
      </c>
      <c r="C18" s="21">
        <f ca="1">ROUND(C14*F18,0)</f>
        <v>5955</v>
      </c>
      <c r="D18" s="293" t="s">
        <v>708</v>
      </c>
      <c r="E18" s="293" t="s">
        <v>709</v>
      </c>
      <c r="F18" s="313">
        <f>'数据-取费表'!B36</f>
        <v>2.5000000000000001E-2</v>
      </c>
      <c r="G18" s="1296"/>
      <c r="H18" s="924" t="s">
        <v>397</v>
      </c>
      <c r="I18" s="293" t="s">
        <v>720</v>
      </c>
      <c r="J18" s="21">
        <f ca="1">ROUND(J6*M18/(1+'数据-取费表'!C42),0)</f>
        <v>0</v>
      </c>
      <c r="K18" s="1249" t="s">
        <v>721</v>
      </c>
      <c r="L18" s="293" t="s">
        <v>709</v>
      </c>
      <c r="M18" s="313">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4" t="s">
        <v>398</v>
      </c>
      <c r="B19" s="293" t="s">
        <v>722</v>
      </c>
      <c r="C19" s="21">
        <f ca="1">SUM(C14:C18)</f>
        <v>278545</v>
      </c>
      <c r="D19" s="122" t="s">
        <v>723</v>
      </c>
      <c r="E19" s="1262"/>
      <c r="F19" s="23"/>
      <c r="G19" s="1285"/>
      <c r="H19" s="924" t="s">
        <v>399</v>
      </c>
      <c r="I19" s="293" t="s">
        <v>724</v>
      </c>
      <c r="J19" s="21">
        <f ca="1">IF(K19="按租金收入计税",ROUND(J6*M19/(1+'数据-取费表'!C42),0),ROUND(C29*M19*0.7,0))</f>
        <v>0</v>
      </c>
      <c r="K19" s="1271" t="s">
        <v>3324</v>
      </c>
      <c r="L19" s="293" t="s">
        <v>709</v>
      </c>
      <c r="M19" s="313">
        <f>IF(K19="按租金收入计税",'数据-取费表'!B51,'数据-取费表'!B50)</f>
        <v>0.12</v>
      </c>
    </row>
    <row r="20" spans="1:37" s="1297" customFormat="1" ht="18" customHeight="1">
      <c r="A20" s="924" t="s">
        <v>402</v>
      </c>
      <c r="B20" s="293" t="s">
        <v>725</v>
      </c>
      <c r="C20" s="21">
        <f ca="1">ROUND(C19*F20,0)</f>
        <v>6964</v>
      </c>
      <c r="D20" s="314" t="s">
        <v>726</v>
      </c>
      <c r="E20" s="293" t="s">
        <v>709</v>
      </c>
      <c r="F20" s="313">
        <f>'数据-取费表'!B37</f>
        <v>2.5000000000000001E-2</v>
      </c>
      <c r="G20" s="1296"/>
      <c r="H20" s="924" t="s">
        <v>677</v>
      </c>
      <c r="I20" s="146" t="s">
        <v>727</v>
      </c>
      <c r="J20" s="22">
        <f ca="1">ROUND(M20*M21,0)</f>
        <v>10</v>
      </c>
      <c r="K20" s="315" t="s">
        <v>728</v>
      </c>
      <c r="L20" s="293" t="s">
        <v>729</v>
      </c>
      <c r="M20" s="316">
        <f>'数据-取费表'!B52</f>
        <v>1.5</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4" t="s">
        <v>437</v>
      </c>
      <c r="B21" s="293" t="s">
        <v>730</v>
      </c>
      <c r="C21" s="21" t="s">
        <v>0</v>
      </c>
      <c r="D21" s="314" t="s">
        <v>731</v>
      </c>
      <c r="E21" s="293" t="s">
        <v>732</v>
      </c>
      <c r="F21" s="313">
        <f>'数据-取费表'!B38</f>
        <v>2.5000000000000001E-2</v>
      </c>
      <c r="G21" s="1296"/>
      <c r="H21" s="317"/>
      <c r="I21" s="302"/>
      <c r="J21" s="26"/>
      <c r="K21" s="318"/>
      <c r="L21" s="293" t="s">
        <v>733</v>
      </c>
      <c r="M21" s="294">
        <f ca="1">INDIRECT("'数据-取费表'!r"&amp;$G$1)</f>
        <v>6.53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4" t="s">
        <v>680</v>
      </c>
      <c r="B22" s="293" t="s">
        <v>734</v>
      </c>
      <c r="C22" s="21"/>
      <c r="D22" s="122" t="str">
        <f>IF(F23&lt;=1,"单利计息。","复利计息。")&amp;"建造成本、管理费用、销售费用产生的利息。"</f>
        <v>复利计息。建造成本、管理费用、销售费用产生的利息。</v>
      </c>
      <c r="E22" s="1262"/>
      <c r="F22" s="23"/>
      <c r="G22" s="1285"/>
      <c r="H22" s="924" t="s">
        <v>402</v>
      </c>
      <c r="I22" s="293" t="s">
        <v>735</v>
      </c>
      <c r="J22" s="21">
        <f ca="1">ROUND(J14*M22,0)</f>
        <v>678</v>
      </c>
      <c r="K22" s="1249" t="s">
        <v>736</v>
      </c>
      <c r="L22" s="293" t="s">
        <v>709</v>
      </c>
      <c r="M22" s="319">
        <f ca="1">INDIRECT("'数据-取费表'!Ak"&amp;$G$1)</f>
        <v>2E-3</v>
      </c>
    </row>
    <row r="23" spans="1:37" s="1297" customFormat="1" ht="18" customHeight="1">
      <c r="A23" s="924" t="s">
        <v>397</v>
      </c>
      <c r="B23" s="293" t="s">
        <v>737</v>
      </c>
      <c r="C23" s="21">
        <f ca="1">IF('数据-取费表'!B22&lt;=1,ROUND(C19*F24*F23/2,0)+ROUND(C20*F24*F23/2,0),ROUND(C19*(POWER((1+F24),F23/2)-1),0)+ROUND(C20*(POWER((1+F24),F23/2)-1),0))</f>
        <v>12366</v>
      </c>
      <c r="D23" s="137" t="str">
        <f>IF(F23&lt;=1,"(建造成本+管理费用)×利率×(建设周期÷2)","(建造成本+管理费用)×((1+利率)^(建设周期÷2)-1)")</f>
        <v>(建造成本+管理费用)×((1+利率)^(建设周期÷2)-1)</v>
      </c>
      <c r="E23" s="293" t="s">
        <v>738</v>
      </c>
      <c r="F23" s="316">
        <f>'数据-取费表'!B20</f>
        <v>2.5</v>
      </c>
      <c r="G23" s="1296"/>
      <c r="H23" s="924" t="s">
        <v>437</v>
      </c>
      <c r="I23" s="293" t="s">
        <v>739</v>
      </c>
      <c r="J23" s="21">
        <f ca="1">ROUND(J13*M23,0)</f>
        <v>0</v>
      </c>
      <c r="K23" s="1249" t="s">
        <v>740</v>
      </c>
      <c r="L23" s="293" t="s">
        <v>741</v>
      </c>
      <c r="M23" s="320">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4" t="s">
        <v>742</v>
      </c>
      <c r="B24" s="293" t="s">
        <v>743</v>
      </c>
      <c r="C24" s="21">
        <f ca="1">ROUND(IF('数据-取费表'!B22&lt;=1,F21*F24*F23/2,F21*(POWER((1+F24),F23/2)-1)),4)</f>
        <v>1.1000000000000001E-3</v>
      </c>
      <c r="D24" s="137" t="str">
        <f>IF(F23&lt;=1,"销售费用×利率×(建设周期÷2)","销售费用×((1+利率)^(建设周期÷2)-1)")</f>
        <v>销售费用×((1+利率)^(建设周期÷2)-1)</v>
      </c>
      <c r="E24" s="293" t="s">
        <v>744</v>
      </c>
      <c r="F24" s="321">
        <f ca="1">'数据-取费表'!B40</f>
        <v>3.4500000000000003E-2</v>
      </c>
      <c r="G24" s="1296"/>
      <c r="H24" s="1021" t="s">
        <v>681</v>
      </c>
      <c r="I24" s="1022" t="s">
        <v>725</v>
      </c>
      <c r="J24" s="1023">
        <f ca="1">ROUND(J5*M24,0)</f>
        <v>0</v>
      </c>
      <c r="K24" s="1024" t="s">
        <v>745</v>
      </c>
      <c r="L24" s="1022" t="s">
        <v>741</v>
      </c>
      <c r="M24" s="1018">
        <f ca="1">INDIRECT("'数据-取费表'!Am"&amp;$G$1)</f>
        <v>5.0000000000000001E-3</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24" t="s">
        <v>746</v>
      </c>
      <c r="B25" s="293" t="s">
        <v>747</v>
      </c>
      <c r="C25" s="21"/>
      <c r="D25" s="122" t="s">
        <v>748</v>
      </c>
      <c r="E25" s="1262"/>
      <c r="F25" s="23"/>
      <c r="G25" s="1285"/>
      <c r="H25" s="1011" t="s">
        <v>394</v>
      </c>
      <c r="I25" s="1026" t="s">
        <v>749</v>
      </c>
      <c r="J25" s="301">
        <f ca="1">J5-J16</f>
        <v>-688</v>
      </c>
      <c r="K25" s="1027" t="s">
        <v>750</v>
      </c>
      <c r="L25" s="1028"/>
      <c r="M25" s="1029"/>
    </row>
    <row r="26" spans="1:37" ht="18" customHeight="1">
      <c r="A26" s="924" t="s">
        <v>397</v>
      </c>
      <c r="B26" s="293" t="s">
        <v>751</v>
      </c>
      <c r="C26" s="21">
        <f ca="1">ROUND((C19+C20)*F26,0)</f>
        <v>14275</v>
      </c>
      <c r="D26" s="314" t="s">
        <v>752</v>
      </c>
      <c r="E26" s="304" t="s">
        <v>753</v>
      </c>
      <c r="F26" s="303">
        <f ca="1">INDIRECT("'数据-取费表'!q"&amp;$G$1)</f>
        <v>0.05</v>
      </c>
      <c r="G26" s="1285"/>
      <c r="H26" s="290" t="s">
        <v>395</v>
      </c>
      <c r="I26" s="291" t="s">
        <v>754</v>
      </c>
      <c r="J26" s="292">
        <f ca="1">IF(J5&lt;&gt;0,ROUND(J25*(1-((1+M28)/(1+M26))^M27)/(M26-M28),0),0)</f>
        <v>0</v>
      </c>
      <c r="K26" s="315" t="s">
        <v>755</v>
      </c>
      <c r="L26" s="293" t="s">
        <v>756</v>
      </c>
      <c r="M26" s="303">
        <f ca="1">INDIRECT("'数据-取费表'!I"&amp;$G$1)</f>
        <v>5.5E-2</v>
      </c>
    </row>
    <row r="27" spans="1:37" ht="18" customHeight="1">
      <c r="A27" s="924" t="s">
        <v>399</v>
      </c>
      <c r="B27" s="293" t="s">
        <v>757</v>
      </c>
      <c r="C27" s="21">
        <f ca="1">ROUND(F21*F26,4)</f>
        <v>1.2999999999999999E-3</v>
      </c>
      <c r="D27" s="314" t="s">
        <v>758</v>
      </c>
      <c r="E27" s="311"/>
      <c r="F27" s="312"/>
      <c r="G27" s="1285"/>
      <c r="H27" s="295"/>
      <c r="I27" s="296"/>
      <c r="J27" s="297"/>
      <c r="K27" s="322" t="s">
        <v>759</v>
      </c>
      <c r="L27" s="293" t="s">
        <v>760</v>
      </c>
      <c r="M27" s="323">
        <f ca="1">INDIRECT("'数据-取费表'!ag"&amp;$G$1)</f>
        <v>0</v>
      </c>
    </row>
    <row r="28" spans="1:37" s="1297" customFormat="1" ht="18" customHeight="1">
      <c r="A28" s="924" t="s">
        <v>400</v>
      </c>
      <c r="B28" s="293" t="s">
        <v>761</v>
      </c>
      <c r="C28" s="21">
        <f>ROUND(F28/(1+'数据-取费表'!C42),4)</f>
        <v>5.2400000000000002E-2</v>
      </c>
      <c r="D28" s="314" t="s">
        <v>762</v>
      </c>
      <c r="E28" s="293" t="s">
        <v>709</v>
      </c>
      <c r="F28" s="313">
        <f>'数据-取费表'!B41</f>
        <v>5.5000000000000007E-2</v>
      </c>
      <c r="G28" s="1296"/>
      <c r="H28" s="299"/>
      <c r="I28" s="300"/>
      <c r="J28" s="301"/>
      <c r="K28" s="318"/>
      <c r="L28" s="293" t="s">
        <v>763</v>
      </c>
      <c r="M28" s="303">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1" t="s">
        <v>401</v>
      </c>
      <c r="B29" s="1022" t="s">
        <v>764</v>
      </c>
      <c r="C29" s="1023">
        <f ca="1">ROUND((C19+C20+C23+C26)/(1-F21-C24-C27-C28),0)</f>
        <v>339220</v>
      </c>
      <c r="D29" s="1024"/>
      <c r="E29" s="1022"/>
      <c r="F29" s="1025"/>
      <c r="G29" s="1296"/>
      <c r="H29" s="324" t="s">
        <v>396</v>
      </c>
      <c r="I29" s="325" t="s">
        <v>765</v>
      </c>
      <c r="J29" s="326">
        <f ca="1">ROUND(J26/(1+F40)^F41,0)</f>
        <v>0</v>
      </c>
      <c r="K29" s="327" t="s">
        <v>766</v>
      </c>
      <c r="L29" s="328"/>
      <c r="M29" s="329">
        <f ca="1">INDIRECT("'数据-取费表'!k"&amp;$G$1)</f>
        <v>52.93</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1" t="s">
        <v>393</v>
      </c>
      <c r="B30" s="1012" t="s">
        <v>711</v>
      </c>
      <c r="C30" s="301">
        <f ca="1">ROUND(C31+C36+C37+C38,0)</f>
        <v>1947</v>
      </c>
      <c r="D30" s="1019" t="s">
        <v>712</v>
      </c>
      <c r="E30" s="1020"/>
      <c r="F30" s="1004"/>
      <c r="G30" s="1285"/>
      <c r="H30" s="2464"/>
      <c r="I30" s="1298"/>
      <c r="J30" s="1299"/>
      <c r="K30" s="120"/>
      <c r="L30" s="2465"/>
      <c r="M30" s="2466"/>
    </row>
    <row r="31" spans="1:37" ht="18" customHeight="1">
      <c r="A31" s="924" t="s">
        <v>398</v>
      </c>
      <c r="B31" s="293" t="s">
        <v>716</v>
      </c>
      <c r="C31" s="2133">
        <f ca="1">ROUND(IF(AND(项目基本情况!B11="自然人",项目基本情况!B10="北京市"),C6*F31/(1+'数据-取费表'!C42),C32+C33+C34),0)</f>
        <v>910</v>
      </c>
      <c r="D31" s="1250" t="s">
        <v>717</v>
      </c>
      <c r="E31" s="1249" t="s">
        <v>767</v>
      </c>
      <c r="F31" s="2132" t="str">
        <f>IF(项目基本情况!B11="企业","——",IF(M47="住宅",IF(F6*F7*F8/12/(1+'数据-取费表'!F30)&gt;100000,4%,2.5%),IF(F6*F7*F8/12/(1+'数据-取费表'!F30)&gt;100000,12%,7%)))</f>
        <v>——</v>
      </c>
      <c r="G31" s="1285"/>
      <c r="H31" s="2563" t="s">
        <v>2295</v>
      </c>
      <c r="I31" s="1298"/>
      <c r="J31" s="1299"/>
      <c r="K31" s="120"/>
      <c r="L31" s="2465"/>
      <c r="M31" s="2466"/>
    </row>
    <row r="32" spans="1:37" ht="18" customHeight="1">
      <c r="A32" s="924" t="s">
        <v>397</v>
      </c>
      <c r="B32" s="293" t="s">
        <v>720</v>
      </c>
      <c r="C32" s="21">
        <f ca="1">IF(项目基本情况!B11="自然人","——",ROUND(C6*F32/(1+'数据-取费表'!C42),0))</f>
        <v>283</v>
      </c>
      <c r="D32" s="1249" t="s">
        <v>721</v>
      </c>
      <c r="E32" s="293" t="s">
        <v>709</v>
      </c>
      <c r="F32" s="321">
        <f>'数据-取费表'!B41</f>
        <v>5.5000000000000007E-2</v>
      </c>
      <c r="G32" s="1285"/>
      <c r="H32" s="2464"/>
      <c r="I32" s="1298"/>
      <c r="J32" s="1299"/>
      <c r="K32" s="120"/>
      <c r="L32" s="2465"/>
      <c r="M32" s="2466"/>
    </row>
    <row r="33" spans="1:18" ht="18" customHeight="1">
      <c r="A33" s="924" t="s">
        <v>399</v>
      </c>
      <c r="B33" s="293" t="s">
        <v>724</v>
      </c>
      <c r="C33" s="21">
        <f ca="1">IF(项目基本情况!B11="自然人","——",IF(D33="按租金收入计税",ROUND(C6*F33/(1+'数据-取费表'!C42),0),IF(D33="按房产原值计税",ROUND(C29*F33*0.7,0),INDIRECT("'数据-取费表'!Aj"&amp;$G$1))))</f>
        <v>617</v>
      </c>
      <c r="D33" s="1271" t="s">
        <v>3324</v>
      </c>
      <c r="E33" s="293" t="s">
        <v>709</v>
      </c>
      <c r="F33" s="313">
        <f>IF(D33="按票据","——",IF(D33="按租金收入计税",'数据-取费表'!B51,'数据-取费表'!B50))</f>
        <v>0.12</v>
      </c>
      <c r="G33" s="1285"/>
      <c r="H33" s="2467"/>
      <c r="I33" s="1298"/>
      <c r="J33" s="1299"/>
      <c r="K33" s="2468"/>
      <c r="L33" s="2467"/>
      <c r="M33" s="2467"/>
    </row>
    <row r="34" spans="1:18" ht="18" customHeight="1">
      <c r="A34" s="1001" t="s">
        <v>677</v>
      </c>
      <c r="B34" s="146" t="s">
        <v>727</v>
      </c>
      <c r="C34" s="22">
        <f ca="1">IF(项目基本情况!B11="自然人","——",ROUND(F34*F35,0))</f>
        <v>10</v>
      </c>
      <c r="D34" s="315" t="s">
        <v>728</v>
      </c>
      <c r="E34" s="293" t="s">
        <v>729</v>
      </c>
      <c r="F34" s="316">
        <f>'数据-取费表'!B52</f>
        <v>1.5</v>
      </c>
      <c r="G34" s="1285"/>
      <c r="H34" s="2464"/>
      <c r="I34" s="1298"/>
      <c r="J34" s="1299"/>
      <c r="K34" s="2469"/>
      <c r="L34" s="2470"/>
      <c r="M34" s="2470"/>
    </row>
    <row r="35" spans="1:18" ht="18" customHeight="1">
      <c r="A35" s="1035"/>
      <c r="B35" s="1033"/>
      <c r="C35" s="26"/>
      <c r="D35" s="318"/>
      <c r="E35" s="293" t="s">
        <v>733</v>
      </c>
      <c r="F35" s="294">
        <f ca="1">INDIRECT("'数据-取费表'!r"&amp;$G$1)</f>
        <v>6.53</v>
      </c>
      <c r="G35" s="1285"/>
      <c r="H35" s="2464"/>
      <c r="I35" s="1298"/>
      <c r="J35" s="1299"/>
      <c r="K35" s="2468"/>
      <c r="L35" s="2467"/>
      <c r="M35" s="2467"/>
    </row>
    <row r="36" spans="1:18" ht="18" customHeight="1">
      <c r="A36" s="1034" t="s">
        <v>402</v>
      </c>
      <c r="B36" s="293" t="s">
        <v>735</v>
      </c>
      <c r="C36" s="21">
        <f ca="1">ROUND(C29*F36,0)</f>
        <v>678</v>
      </c>
      <c r="D36" s="1249" t="s">
        <v>768</v>
      </c>
      <c r="E36" s="293" t="s">
        <v>709</v>
      </c>
      <c r="F36" s="319">
        <f ca="1">INDIRECT("'数据-取费表'!Ak"&amp;$G$1)</f>
        <v>2E-3</v>
      </c>
      <c r="G36" s="1285"/>
      <c r="H36" s="2467"/>
      <c r="I36" s="1298"/>
      <c r="J36" s="1299"/>
      <c r="K36" s="2324"/>
      <c r="L36" s="2467"/>
      <c r="M36" s="2467"/>
    </row>
    <row r="37" spans="1:18" ht="18" customHeight="1">
      <c r="A37" s="924" t="s">
        <v>437</v>
      </c>
      <c r="B37" s="293" t="s">
        <v>739</v>
      </c>
      <c r="C37" s="21">
        <f ca="1">ROUND(C13*F37,0)</f>
        <v>332</v>
      </c>
      <c r="D37" s="1249" t="s">
        <v>740</v>
      </c>
      <c r="E37" s="293" t="s">
        <v>741</v>
      </c>
      <c r="F37" s="320">
        <f ca="1">INDIRECT("'数据-取费表'!Al"&amp;$G$1)</f>
        <v>1E-3</v>
      </c>
      <c r="G37" s="1285"/>
      <c r="H37" s="2467"/>
      <c r="I37" s="1298"/>
      <c r="J37" s="1299"/>
      <c r="K37" s="2324"/>
      <c r="L37" s="2467"/>
      <c r="M37" s="2467"/>
    </row>
    <row r="38" spans="1:18" ht="18" customHeight="1" thickBot="1">
      <c r="A38" s="1021" t="s">
        <v>681</v>
      </c>
      <c r="B38" s="1022" t="s">
        <v>725</v>
      </c>
      <c r="C38" s="1023">
        <f ca="1">ROUND(C5*F38,0)</f>
        <v>27</v>
      </c>
      <c r="D38" s="1024" t="s">
        <v>745</v>
      </c>
      <c r="E38" s="1022" t="s">
        <v>741</v>
      </c>
      <c r="F38" s="1018">
        <f ca="1">INDIRECT("'数据-取费表'!Am"&amp;$G$1)</f>
        <v>5.0000000000000001E-3</v>
      </c>
      <c r="G38" s="1285"/>
      <c r="H38" s="2467"/>
      <c r="I38" s="1298"/>
      <c r="J38" s="1299"/>
      <c r="K38" s="2465"/>
      <c r="L38" s="2467"/>
      <c r="M38" s="2467"/>
    </row>
    <row r="39" spans="1:18" ht="24.6" customHeight="1" thickTop="1">
      <c r="A39" s="1011" t="s">
        <v>394</v>
      </c>
      <c r="B39" s="1026" t="s">
        <v>769</v>
      </c>
      <c r="C39" s="301">
        <f ca="1">C5-C30</f>
        <v>3453</v>
      </c>
      <c r="D39" s="1027" t="s">
        <v>770</v>
      </c>
      <c r="E39" s="1028"/>
      <c r="F39" s="1029"/>
      <c r="G39" s="1285"/>
      <c r="H39" s="2467"/>
      <c r="I39" s="1298"/>
      <c r="J39" s="1299"/>
      <c r="K39" s="2465"/>
      <c r="L39" s="2467"/>
      <c r="M39" s="2467"/>
    </row>
    <row r="40" spans="1:18" ht="18" customHeight="1">
      <c r="A40" s="290" t="s">
        <v>395</v>
      </c>
      <c r="B40" s="291" t="s">
        <v>771</v>
      </c>
      <c r="C40" s="292">
        <f ca="1">ROUND(C39*(1-((1+F42)/(1+F40))^F41)/(F40-F42),0)</f>
        <v>68947</v>
      </c>
      <c r="D40" s="315" t="s">
        <v>755</v>
      </c>
      <c r="E40" s="293" t="s">
        <v>756</v>
      </c>
      <c r="F40" s="303">
        <f ca="1">INDIRECT("'数据-取费表'!I"&amp;$G$1)</f>
        <v>5.5E-2</v>
      </c>
      <c r="G40" s="1285"/>
      <c r="H40" s="1359"/>
      <c r="I40" s="1298"/>
      <c r="J40" s="1299"/>
      <c r="K40" s="2465"/>
      <c r="L40" s="1359"/>
      <c r="M40" s="1359"/>
    </row>
    <row r="41" spans="1:18" ht="18" customHeight="1">
      <c r="A41" s="295"/>
      <c r="B41" s="296"/>
      <c r="C41" s="297"/>
      <c r="D41" s="322" t="s">
        <v>772</v>
      </c>
      <c r="E41" s="293" t="s">
        <v>760</v>
      </c>
      <c r="F41" s="323">
        <f ca="1">IF(INDIRECT("'数据-取费表'!af"&amp;$G$1)=0,INDIRECT("'数据-取费表'!ae"&amp;$G$1),INDIRECT("'数据-取费表'!af"&amp;$G$1))</f>
        <v>41.47</v>
      </c>
      <c r="G41" s="1285"/>
      <c r="H41" s="120"/>
      <c r="I41" s="1298"/>
      <c r="J41" s="1299"/>
      <c r="K41" s="2324"/>
      <c r="L41" s="120"/>
      <c r="M41" s="120"/>
    </row>
    <row r="42" spans="1:18" ht="18" customHeight="1">
      <c r="A42" s="299"/>
      <c r="B42" s="300"/>
      <c r="C42" s="301"/>
      <c r="D42" s="318"/>
      <c r="E42" s="293" t="s">
        <v>763</v>
      </c>
      <c r="F42" s="303">
        <f ca="1">INDIRECT("'数据-取费表'!v"&amp;$G$1)</f>
        <v>1.4999999999999999E-2</v>
      </c>
      <c r="G42" s="1285"/>
      <c r="H42" s="120"/>
      <c r="I42" s="1298"/>
      <c r="J42" s="1299"/>
      <c r="K42" s="2324"/>
      <c r="L42" s="120"/>
      <c r="M42" s="120"/>
    </row>
    <row r="43" spans="1:18" ht="18" customHeight="1" thickBot="1">
      <c r="A43" s="324" t="s">
        <v>396</v>
      </c>
      <c r="B43" s="325" t="s">
        <v>773</v>
      </c>
      <c r="C43" s="326">
        <f ca="1">ROUND(C40/F43,0)</f>
        <v>1303</v>
      </c>
      <c r="D43" s="327" t="s">
        <v>774</v>
      </c>
      <c r="E43" s="328" t="s">
        <v>775</v>
      </c>
      <c r="F43" s="329">
        <f ca="1">INDIRECT("'数据-取费表'!k"&amp;$G$1)</f>
        <v>52.93</v>
      </c>
      <c r="G43" s="1285"/>
      <c r="H43" s="120"/>
      <c r="I43" s="120"/>
      <c r="J43" s="120"/>
      <c r="K43" s="2324"/>
      <c r="L43" s="120"/>
      <c r="M43" s="120"/>
    </row>
    <row r="44" spans="1:18" s="1285" customFormat="1" ht="18" customHeight="1">
      <c r="A44" s="1300"/>
      <c r="B44" s="1300"/>
      <c r="C44" s="1301"/>
      <c r="D44" s="1300"/>
      <c r="E44" s="1300"/>
      <c r="F44" s="1300"/>
      <c r="K44" s="1302"/>
    </row>
    <row r="45" spans="1:18" s="1285" customFormat="1" ht="18" customHeight="1" thickBot="1">
      <c r="A45" s="3123" t="s">
        <v>3340</v>
      </c>
      <c r="B45" s="1300"/>
      <c r="C45" s="1369">
        <f ca="1">ROUND((C68-C40)/10000,4)</f>
        <v>-8.5479000000000003</v>
      </c>
      <c r="D45" s="3124" t="s">
        <v>3341</v>
      </c>
      <c r="E45" s="1300"/>
      <c r="F45" s="1300"/>
      <c r="O45" s="1303" t="s">
        <v>805</v>
      </c>
      <c r="P45" s="1359"/>
      <c r="Q45" s="1359"/>
      <c r="R45" s="1359"/>
    </row>
    <row r="46" spans="1:18" s="1285" customFormat="1" ht="13.5" thickBot="1">
      <c r="A46" s="1304" t="s">
        <v>806</v>
      </c>
      <c r="C46" s="1305">
        <f ca="1">ROUND(C45,0)</f>
        <v>-9</v>
      </c>
      <c r="D46" s="1306" t="str">
        <f>C2</f>
        <v>万元</v>
      </c>
      <c r="I46" s="1307" t="s">
        <v>807</v>
      </c>
      <c r="J46" s="1308"/>
      <c r="K46" s="1309"/>
      <c r="L46" s="1310">
        <f ca="1">IF(M47="住宅",0,IF(L48&gt;J51,L60,J60))</f>
        <v>6761</v>
      </c>
      <c r="O46" s="1311" t="s">
        <v>808</v>
      </c>
      <c r="P46" s="1312" t="s">
        <v>809</v>
      </c>
      <c r="Q46" s="1313" t="s">
        <v>810</v>
      </c>
      <c r="R46" s="1313" t="s">
        <v>811</v>
      </c>
    </row>
    <row r="47" spans="1:18" s="1285" customFormat="1" ht="13.5" thickBot="1">
      <c r="A47" s="888" t="s">
        <v>684</v>
      </c>
      <c r="B47" s="920" t="s">
        <v>685</v>
      </c>
      <c r="C47" s="920" t="s">
        <v>686</v>
      </c>
      <c r="D47" s="920" t="s">
        <v>687</v>
      </c>
      <c r="E47" s="990" t="s">
        <v>688</v>
      </c>
      <c r="F47" s="991"/>
      <c r="G47" s="679"/>
      <c r="I47" s="1314" t="s">
        <v>812</v>
      </c>
      <c r="J47" s="1315" t="s">
        <v>4184</v>
      </c>
      <c r="K47" s="1316" t="s">
        <v>813</v>
      </c>
      <c r="L47" s="1317">
        <f ca="1">INDIRECT("'数据-取费表'!d"&amp;$G$1)</f>
        <v>50</v>
      </c>
      <c r="M47" s="1281" t="str">
        <f>IF(ISNUMBER(FIND("住宅",C1)),"住宅","非住宅")</f>
        <v>非住宅</v>
      </c>
      <c r="O47" s="1318" t="s">
        <v>403</v>
      </c>
      <c r="P47" s="1319" t="s">
        <v>814</v>
      </c>
      <c r="Q47" s="1320">
        <f ca="1">C40+J29</f>
        <v>68947</v>
      </c>
      <c r="R47" s="1320" t="s">
        <v>815</v>
      </c>
    </row>
    <row r="48" spans="1:18" s="1285" customFormat="1" ht="28.5" thickBot="1">
      <c r="A48" s="1042" t="s">
        <v>438</v>
      </c>
      <c r="B48" s="291" t="s">
        <v>689</v>
      </c>
      <c r="C48" s="1261">
        <f ca="1">C49+C53+C55</f>
        <v>0</v>
      </c>
      <c r="D48" s="1044"/>
      <c r="E48" s="1045"/>
      <c r="F48" s="904"/>
      <c r="G48" s="679"/>
      <c r="H48" s="680"/>
      <c r="I48" s="1321" t="s">
        <v>816</v>
      </c>
      <c r="J48" s="1322" t="s">
        <v>4185</v>
      </c>
      <c r="K48" s="1323" t="s">
        <v>817</v>
      </c>
      <c r="L48" s="1324">
        <f ca="1">INDIRECT("'数据-取费表'!f"&amp;$G$1)</f>
        <v>41.47</v>
      </c>
      <c r="O48" s="1318" t="s">
        <v>404</v>
      </c>
      <c r="P48" s="1319" t="s">
        <v>818</v>
      </c>
      <c r="Q48" s="1320">
        <f ca="1">J60</f>
        <v>6761</v>
      </c>
      <c r="R48" s="1320" t="s">
        <v>819</v>
      </c>
    </row>
    <row r="49" spans="1:18" s="1285" customFormat="1" ht="13.5" thickBot="1">
      <c r="A49" s="917" t="s">
        <v>439</v>
      </c>
      <c r="B49" s="1272" t="s">
        <v>776</v>
      </c>
      <c r="C49" s="1046">
        <f ca="1">ROUND(F49*F51*F50*(1-F52),0)</f>
        <v>0</v>
      </c>
      <c r="D49" s="987" t="s">
        <v>692</v>
      </c>
      <c r="E49" s="1273" t="s">
        <v>777</v>
      </c>
      <c r="F49" s="992"/>
      <c r="H49" s="680"/>
      <c r="I49" s="1321" t="s">
        <v>820</v>
      </c>
      <c r="J49" s="1325">
        <v>2021</v>
      </c>
      <c r="K49" s="1323" t="s">
        <v>821</v>
      </c>
      <c r="L49" s="1326"/>
      <c r="O49" s="1327" t="s">
        <v>405</v>
      </c>
      <c r="P49" s="1319" t="s">
        <v>822</v>
      </c>
      <c r="Q49" s="1320">
        <f ca="1">C29</f>
        <v>339220</v>
      </c>
      <c r="R49" s="1320" t="s">
        <v>815</v>
      </c>
    </row>
    <row r="50" spans="1:18" s="1285" customFormat="1" ht="13.5" thickBot="1">
      <c r="A50" s="918"/>
      <c r="B50" s="921"/>
      <c r="C50" s="922"/>
      <c r="D50" s="895"/>
      <c r="E50" s="988" t="s">
        <v>694</v>
      </c>
      <c r="F50" s="989">
        <f ca="1">F7</f>
        <v>1</v>
      </c>
      <c r="H50" s="680"/>
      <c r="I50" s="1321" t="s">
        <v>823</v>
      </c>
      <c r="J50" s="1328">
        <f>SUMPRODUCT((I63:I65=J47)*(J62:L62=J48)*(J63:L65))</f>
        <v>60</v>
      </c>
      <c r="K50" s="1323" t="s">
        <v>824</v>
      </c>
      <c r="L50" s="1326"/>
      <c r="M50" s="1329"/>
      <c r="O50" s="1327" t="s">
        <v>406</v>
      </c>
      <c r="P50" s="1319" t="s">
        <v>825</v>
      </c>
      <c r="Q50" s="1330">
        <f ca="1">J58</f>
        <v>0.4</v>
      </c>
      <c r="R50" s="1320"/>
    </row>
    <row r="51" spans="1:18" s="1285" customFormat="1" ht="13.5" thickBot="1">
      <c r="A51" s="919"/>
      <c r="B51" s="921"/>
      <c r="C51" s="922"/>
      <c r="D51" s="895"/>
      <c r="E51" s="923" t="s">
        <v>695</v>
      </c>
      <c r="F51" s="294">
        <f ca="1">F8</f>
        <v>12</v>
      </c>
      <c r="I51" s="1331" t="s">
        <v>826</v>
      </c>
      <c r="J51" s="1324">
        <f>IF(J49="",J50,J49+J50-YEAR('数据-取费表'!B2))</f>
        <v>57</v>
      </c>
      <c r="K51" s="1332" t="s">
        <v>827</v>
      </c>
      <c r="L51" s="1333">
        <f ca="1">ROUND(-PV(INDIRECT("'数据-取费表'!h"&amp;$G$1),J51,(C39-C13*C76),0),0)</f>
        <v>-371787</v>
      </c>
      <c r="M51" s="1334"/>
      <c r="O51" s="1327" t="s">
        <v>407</v>
      </c>
      <c r="P51" s="1319" t="s">
        <v>828</v>
      </c>
      <c r="Q51" s="1330">
        <f>J52</f>
        <v>7.4999999999999997E-2</v>
      </c>
      <c r="R51" s="1320"/>
    </row>
    <row r="52" spans="1:18" s="1285" customFormat="1" ht="13.5" thickBot="1">
      <c r="A52" s="919"/>
      <c r="B52" s="921"/>
      <c r="C52" s="922"/>
      <c r="D52" s="895"/>
      <c r="E52" s="923" t="s">
        <v>696</v>
      </c>
      <c r="F52" s="986"/>
      <c r="I52" s="1335" t="s">
        <v>829</v>
      </c>
      <c r="J52" s="1336">
        <v>7.4999999999999997E-2</v>
      </c>
      <c r="K52" s="1335" t="s">
        <v>830</v>
      </c>
      <c r="L52" s="1336"/>
      <c r="O52" s="1327" t="s">
        <v>408</v>
      </c>
      <c r="P52" s="1319" t="s">
        <v>831</v>
      </c>
      <c r="Q52" s="1320">
        <f ca="1">J53</f>
        <v>41.47</v>
      </c>
      <c r="R52" s="1320" t="s">
        <v>832</v>
      </c>
    </row>
    <row r="53" spans="1:18" s="1285" customFormat="1" ht="30.75" customHeight="1" thickBot="1">
      <c r="A53" s="1043" t="s">
        <v>440</v>
      </c>
      <c r="B53" s="314" t="s">
        <v>697</v>
      </c>
      <c r="C53" s="307">
        <f ca="1">ROUND(IF(F53="押一",C49/12*F11,IF(F53="押二",C49/12*2*F11,IF(F53="押三",C49/12*3*F11,C54*F11))),0)</f>
        <v>0</v>
      </c>
      <c r="D53" s="149" t="s">
        <v>2115</v>
      </c>
      <c r="E53" s="304" t="s">
        <v>698</v>
      </c>
      <c r="F53" s="1048"/>
      <c r="I53" s="1337" t="s">
        <v>833</v>
      </c>
      <c r="J53" s="1999">
        <f ca="1">IF(M47="住宅",IF(D1="——",MAX(J51,L48),MAX(J51,L48-'数据-取费表'!B24)),IF(D1="——",MIN(J51,L48),MIN(J51,L48-'数据-取费表'!B24)))</f>
        <v>41.47</v>
      </c>
      <c r="K53" s="3407" t="s">
        <v>834</v>
      </c>
      <c r="L53" s="3408"/>
      <c r="O53" s="1318" t="s">
        <v>409</v>
      </c>
      <c r="P53" s="1319" t="s">
        <v>835</v>
      </c>
      <c r="Q53" s="1320">
        <f ca="1">Q47+Q48</f>
        <v>75708</v>
      </c>
      <c r="R53" s="1320" t="s">
        <v>410</v>
      </c>
    </row>
    <row r="54" spans="1:18" s="1285" customFormat="1" ht="13.5" thickBot="1">
      <c r="A54" s="917"/>
      <c r="B54" s="1370" t="s">
        <v>888</v>
      </c>
      <c r="C54" s="901"/>
      <c r="D54" s="149"/>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836</v>
      </c>
      <c r="P54" s="1282"/>
      <c r="Q54" s="1282"/>
      <c r="R54" s="1282"/>
    </row>
    <row r="55" spans="1:18" s="1285" customFormat="1" ht="13.5" thickBot="1">
      <c r="A55" s="1015" t="s">
        <v>437</v>
      </c>
      <c r="B55" s="1270" t="s">
        <v>700</v>
      </c>
      <c r="C55" s="1016"/>
      <c r="D55" s="149"/>
      <c r="E55" s="1275"/>
      <c r="F55" s="1338"/>
      <c r="I55" s="1341" t="s">
        <v>837</v>
      </c>
      <c r="J55" s="1342">
        <f ca="1">ROUND(IF(J47="钢混",J57/J50,1-(1-2%)*(J50-J57)/J50),3)</f>
        <v>0.25900000000000001</v>
      </c>
      <c r="K55" s="1343" t="s">
        <v>838</v>
      </c>
      <c r="L55" s="1344"/>
      <c r="O55" s="1311" t="s">
        <v>808</v>
      </c>
      <c r="P55" s="1312" t="s">
        <v>809</v>
      </c>
      <c r="Q55" s="1313" t="s">
        <v>810</v>
      </c>
      <c r="R55" s="1313" t="s">
        <v>811</v>
      </c>
    </row>
    <row r="56" spans="1:18" s="1285" customFormat="1" ht="36" customHeight="1" thickTop="1" thickBot="1">
      <c r="A56" s="899">
        <v>2</v>
      </c>
      <c r="B56" s="900" t="s">
        <v>701</v>
      </c>
      <c r="C56" s="223">
        <f ca="1">C13</f>
        <v>332436</v>
      </c>
      <c r="D56" s="1345"/>
      <c r="E56" s="1346"/>
      <c r="F56" s="1338"/>
      <c r="I56" s="1347" t="s">
        <v>839</v>
      </c>
      <c r="J56" s="1348" t="s">
        <v>4156</v>
      </c>
      <c r="K56" s="1321" t="s">
        <v>840</v>
      </c>
      <c r="L56" s="1324" t="str">
        <f ca="1">IF(L48&lt;J51,"——",L48-J51)</f>
        <v>——</v>
      </c>
      <c r="O56" s="1318" t="s">
        <v>403</v>
      </c>
      <c r="P56" s="1319" t="s">
        <v>814</v>
      </c>
      <c r="Q56" s="1320">
        <f ca="1">C40+J29</f>
        <v>68947</v>
      </c>
      <c r="R56" s="1320" t="s">
        <v>815</v>
      </c>
    </row>
    <row r="57" spans="1:18" s="1285" customFormat="1" ht="24.75" thickBot="1">
      <c r="A57" s="1349"/>
      <c r="B57" s="892" t="s">
        <v>764</v>
      </c>
      <c r="C57" s="229">
        <f ca="1">C29</f>
        <v>339220</v>
      </c>
      <c r="D57" s="1350"/>
      <c r="E57" s="1351"/>
      <c r="F57" s="1352"/>
      <c r="I57" s="1353" t="s">
        <v>841</v>
      </c>
      <c r="J57" s="1354">
        <f ca="1">IF(OR(M47="住宅",J51&lt;L48,J56="是"),"——",J51-L48)</f>
        <v>15.530000000000001</v>
      </c>
      <c r="K57" s="1321" t="s">
        <v>889</v>
      </c>
      <c r="L57" s="1324" t="str">
        <f ca="1">IF(L48&lt;J51,"——",IF(L55="比较法",L49,IF(L55="基准地价",L50,L51)))</f>
        <v>——</v>
      </c>
      <c r="O57" s="1318" t="s">
        <v>404</v>
      </c>
      <c r="P57" s="1319" t="s">
        <v>890</v>
      </c>
      <c r="Q57" s="1320">
        <f ca="1">L60</f>
        <v>0</v>
      </c>
      <c r="R57" s="1320" t="s">
        <v>891</v>
      </c>
    </row>
    <row r="58" spans="1:18" s="1285" customFormat="1" ht="24.75" thickBot="1">
      <c r="A58" s="306" t="s">
        <v>393</v>
      </c>
      <c r="B58" s="900" t="s">
        <v>711</v>
      </c>
      <c r="C58" s="307">
        <f ca="1">ROUND(C59+C64+C65+C66,0)</f>
        <v>1020</v>
      </c>
      <c r="D58" s="902" t="s">
        <v>712</v>
      </c>
      <c r="E58" s="903"/>
      <c r="F58" s="904"/>
      <c r="I58" s="1353" t="s">
        <v>845</v>
      </c>
      <c r="J58" s="1355">
        <f ca="1">IF(J55&lt;0.4,0.4,J55)</f>
        <v>0.4</v>
      </c>
      <c r="K58" s="1332" t="s">
        <v>892</v>
      </c>
      <c r="L58" s="1324" t="e">
        <f ca="1">ROUND(POWER(1+L52,L47-L48)*(POWER(1+L52,L48)-1)/(POWER(1+L52,L47)-1),4)</f>
        <v>#DIV/0!</v>
      </c>
      <c r="O58" s="1327" t="s">
        <v>405</v>
      </c>
      <c r="P58" s="1319" t="s">
        <v>847</v>
      </c>
      <c r="Q58" s="1320">
        <f>IF(L55="比较法",L49,IF(L55="基准地价",L50,0))</f>
        <v>0</v>
      </c>
      <c r="R58" s="1320" t="s">
        <v>815</v>
      </c>
    </row>
    <row r="59" spans="1:18" s="1285" customFormat="1" ht="24.75" thickBot="1">
      <c r="A59" s="924" t="s">
        <v>398</v>
      </c>
      <c r="B59" s="892" t="s">
        <v>716</v>
      </c>
      <c r="C59" s="2133">
        <f ca="1">ROUND(IF(AND(项目基本情况!B11="自然人",项目基本情况!B10="北京市"),C49*F59/(1+'数据-取费表'!C42),C60+C61+C62),0)</f>
        <v>10</v>
      </c>
      <c r="D59" s="905" t="s">
        <v>717</v>
      </c>
      <c r="E59" s="906" t="s">
        <v>718</v>
      </c>
      <c r="F59" s="2132" t="str">
        <f>IF(项目基本情况!B11="企业","——",IF('数据-取费表'!B10="住宅",IF(F49*F50*F51/12/(1+'数据-取费表'!F30)&gt;100000,4%,2.5%),IF(F49*F50*F51/12/(1+'数据-取费表'!F30)&gt;100000,12%,7%)))</f>
        <v>——</v>
      </c>
      <c r="I59" s="1353" t="s">
        <v>848</v>
      </c>
      <c r="J59" s="1354">
        <f ca="1">IF(OR(M47="住宅",J51&lt;L48,J56="是"),"——",ROUND(C29*J58,0))</f>
        <v>135688</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19" t="s">
        <v>849</v>
      </c>
      <c r="Q59" s="1330">
        <f>L52</f>
        <v>0</v>
      </c>
      <c r="R59" s="1320"/>
    </row>
    <row r="60" spans="1:18" s="1285" customFormat="1" ht="16.5" thickBot="1">
      <c r="A60" s="924" t="s">
        <v>397</v>
      </c>
      <c r="B60" s="892" t="s">
        <v>720</v>
      </c>
      <c r="C60" s="21">
        <f ca="1">IF(项目基本情况!B11="自然人","——",ROUND(C48*F60/(1+'数据-取费表'!C42),0))</f>
        <v>0</v>
      </c>
      <c r="D60" s="906" t="s">
        <v>721</v>
      </c>
      <c r="E60" s="892" t="s">
        <v>709</v>
      </c>
      <c r="F60" s="321">
        <f t="shared" ref="F60:F66" si="0">F32</f>
        <v>5.5000000000000007E-2</v>
      </c>
      <c r="I60" s="1356" t="s">
        <v>850</v>
      </c>
      <c r="J60" s="1357">
        <f ca="1">IF(OR(M47="住宅",J51&lt;L48,J56="是"),"0",ROUND(J59/(1+J52)^J53,0))</f>
        <v>6761</v>
      </c>
      <c r="K60" s="1358" t="s">
        <v>851</v>
      </c>
      <c r="L60" s="1357">
        <f ca="1">IF(OR(M47="住宅",L48&lt;J51),0,ROUND(L57*(L58/L59-1),0))</f>
        <v>0</v>
      </c>
      <c r="O60" s="1327" t="s">
        <v>407</v>
      </c>
      <c r="P60" s="1319" t="s">
        <v>852</v>
      </c>
      <c r="Q60" s="1320" t="e">
        <f ca="1">L58</f>
        <v>#DIV/0!</v>
      </c>
      <c r="R60" s="1320" t="s">
        <v>853</v>
      </c>
    </row>
    <row r="61" spans="1:18" s="1285" customFormat="1" ht="13.5" thickBot="1">
      <c r="A61" s="924" t="s">
        <v>778</v>
      </c>
      <c r="B61" s="892" t="s">
        <v>779</v>
      </c>
      <c r="C61" s="21">
        <f ca="1">IF(项目基本情况!B11="自然人","——",IF(D61="按租金收入计税",ROUND(C49*F61/(1+'数据-取费表'!C42),0),IF(D61="按房产原值计税",ROUND(C57*F61*0.7,0),INDIRECT("'数据-取费表'!Aj"&amp;$G$1))))</f>
        <v>0</v>
      </c>
      <c r="D61" s="1271" t="s">
        <v>3324</v>
      </c>
      <c r="E61" s="892" t="s">
        <v>780</v>
      </c>
      <c r="F61" s="313">
        <f t="shared" si="0"/>
        <v>0.12</v>
      </c>
      <c r="I61" s="1359"/>
      <c r="J61" s="1359"/>
      <c r="K61" s="1359"/>
      <c r="L61" s="1359"/>
      <c r="O61" s="1327" t="s">
        <v>408</v>
      </c>
      <c r="P61" s="1319" t="str">
        <f>K59</f>
        <v>建筑物剩余耐用年限下的土地年期修正系数Kn</v>
      </c>
      <c r="Q61" s="1320" t="e">
        <f ca="1">L59</f>
        <v>#DIV/0!</v>
      </c>
      <c r="R61" s="1320" t="s">
        <v>854</v>
      </c>
    </row>
    <row r="62" spans="1:18" s="1285" customFormat="1" ht="13.5" thickBot="1">
      <c r="A62" s="924" t="s">
        <v>781</v>
      </c>
      <c r="B62" s="891" t="s">
        <v>782</v>
      </c>
      <c r="C62" s="22">
        <f ca="1">IF(项目基本情况!B11="自然人","——",ROUND(F62*F63,0))</f>
        <v>10</v>
      </c>
      <c r="D62" s="907" t="s">
        <v>783</v>
      </c>
      <c r="E62" s="892" t="s">
        <v>784</v>
      </c>
      <c r="F62" s="316">
        <f t="shared" si="0"/>
        <v>1.5</v>
      </c>
      <c r="I62" s="1360" t="s">
        <v>855</v>
      </c>
      <c r="J62" s="608" t="s">
        <v>856</v>
      </c>
      <c r="K62" s="608" t="s">
        <v>857</v>
      </c>
      <c r="L62" s="608" t="s">
        <v>858</v>
      </c>
      <c r="M62" s="1361" t="s">
        <v>859</v>
      </c>
      <c r="O62" s="1318" t="s">
        <v>409</v>
      </c>
      <c r="P62" s="1319" t="s">
        <v>860</v>
      </c>
      <c r="Q62" s="1320">
        <f ca="1">Q56+Q57</f>
        <v>68947</v>
      </c>
      <c r="R62" s="1320" t="s">
        <v>410</v>
      </c>
    </row>
    <row r="63" spans="1:18" s="1285" customFormat="1" ht="13.5" thickBot="1">
      <c r="A63" s="317"/>
      <c r="B63" s="898"/>
      <c r="C63" s="26"/>
      <c r="D63" s="908"/>
      <c r="E63" s="892" t="s">
        <v>785</v>
      </c>
      <c r="F63" s="294">
        <f t="shared" ca="1" si="0"/>
        <v>6.53</v>
      </c>
      <c r="I63" s="1360" t="s">
        <v>861</v>
      </c>
      <c r="J63" s="608">
        <v>70</v>
      </c>
      <c r="K63" s="608">
        <v>50</v>
      </c>
      <c r="L63" s="608">
        <v>80</v>
      </c>
      <c r="M63" s="1362">
        <v>0.02</v>
      </c>
      <c r="O63" s="1303" t="s">
        <v>862</v>
      </c>
      <c r="P63" s="1282"/>
      <c r="Q63" s="1282"/>
      <c r="R63" s="1282"/>
    </row>
    <row r="64" spans="1:18" s="1285" customFormat="1" ht="13.5" thickBot="1">
      <c r="A64" s="924" t="s">
        <v>786</v>
      </c>
      <c r="B64" s="892" t="s">
        <v>787</v>
      </c>
      <c r="C64" s="21">
        <f ca="1">ROUND(C57*F64,0)</f>
        <v>678</v>
      </c>
      <c r="D64" s="906" t="s">
        <v>788</v>
      </c>
      <c r="E64" s="892" t="s">
        <v>780</v>
      </c>
      <c r="F64" s="319">
        <f t="shared" ca="1" si="0"/>
        <v>2E-3</v>
      </c>
      <c r="I64" s="1360" t="s">
        <v>863</v>
      </c>
      <c r="J64" s="608">
        <v>50</v>
      </c>
      <c r="K64" s="608">
        <v>35</v>
      </c>
      <c r="L64" s="608">
        <v>60</v>
      </c>
      <c r="M64" s="1361">
        <v>0</v>
      </c>
      <c r="O64" s="1311" t="s">
        <v>808</v>
      </c>
      <c r="P64" s="1312" t="s">
        <v>809</v>
      </c>
      <c r="Q64" s="1313" t="s">
        <v>810</v>
      </c>
      <c r="R64" s="1313" t="s">
        <v>811</v>
      </c>
    </row>
    <row r="65" spans="1:18" s="1285" customFormat="1" ht="13.5" thickBot="1">
      <c r="A65" s="924" t="s">
        <v>789</v>
      </c>
      <c r="B65" s="892" t="s">
        <v>739</v>
      </c>
      <c r="C65" s="21">
        <f ca="1">ROUND(C56*F65,0)</f>
        <v>332</v>
      </c>
      <c r="D65" s="906" t="s">
        <v>740</v>
      </c>
      <c r="E65" s="892" t="s">
        <v>741</v>
      </c>
      <c r="F65" s="320">
        <f t="shared" ca="1" si="0"/>
        <v>1E-3</v>
      </c>
      <c r="I65" s="1360" t="s">
        <v>864</v>
      </c>
      <c r="J65" s="608">
        <v>40</v>
      </c>
      <c r="K65" s="608">
        <v>30</v>
      </c>
      <c r="L65" s="608">
        <v>50</v>
      </c>
      <c r="M65" s="1362">
        <v>0.02</v>
      </c>
      <c r="O65" s="1318" t="s">
        <v>403</v>
      </c>
      <c r="P65" s="1319" t="s">
        <v>865</v>
      </c>
      <c r="Q65" s="1320">
        <f ca="1">C40+J29</f>
        <v>68947</v>
      </c>
      <c r="R65" s="1320" t="s">
        <v>815</v>
      </c>
    </row>
    <row r="66" spans="1:18" s="1285" customFormat="1" ht="16.5" thickBot="1">
      <c r="A66" s="924" t="s">
        <v>790</v>
      </c>
      <c r="B66" s="892" t="s">
        <v>725</v>
      </c>
      <c r="C66" s="21">
        <f ca="1">ROUND(C48*F66,0)</f>
        <v>0</v>
      </c>
      <c r="D66" s="906" t="s">
        <v>791</v>
      </c>
      <c r="E66" s="892" t="s">
        <v>709</v>
      </c>
      <c r="F66" s="303">
        <f t="shared" ca="1" si="0"/>
        <v>5.0000000000000001E-3</v>
      </c>
      <c r="O66" s="1318" t="s">
        <v>404</v>
      </c>
      <c r="P66" s="1319" t="s">
        <v>843</v>
      </c>
      <c r="Q66" s="1320">
        <f ca="1">L60</f>
        <v>0</v>
      </c>
      <c r="R66" s="1320" t="s">
        <v>866</v>
      </c>
    </row>
    <row r="67" spans="1:18" s="1285" customFormat="1" ht="16.5" thickBot="1">
      <c r="A67" s="899" t="s">
        <v>394</v>
      </c>
      <c r="B67" s="909" t="s">
        <v>749</v>
      </c>
      <c r="C67" s="307">
        <f ca="1">C48-C58</f>
        <v>-1020</v>
      </c>
      <c r="D67" s="905" t="s">
        <v>750</v>
      </c>
      <c r="E67" s="910"/>
      <c r="F67" s="911"/>
      <c r="O67" s="1327" t="s">
        <v>405</v>
      </c>
      <c r="P67" s="1319" t="s">
        <v>847</v>
      </c>
      <c r="Q67" s="1363">
        <f ca="1">L51</f>
        <v>-371787</v>
      </c>
      <c r="R67" s="1320" t="s">
        <v>867</v>
      </c>
    </row>
    <row r="68" spans="1:18" s="1285" customFormat="1" ht="16.5" thickBot="1">
      <c r="A68" s="889" t="s">
        <v>395</v>
      </c>
      <c r="B68" s="890" t="s">
        <v>771</v>
      </c>
      <c r="C68" s="292">
        <f ca="1">ROUND(C67*(1-((1+F70)/(1+F68))^F69)/(F68-F70),0)</f>
        <v>-16532</v>
      </c>
      <c r="D68" s="907" t="s">
        <v>755</v>
      </c>
      <c r="E68" s="892" t="s">
        <v>756</v>
      </c>
      <c r="F68" s="303">
        <f ca="1">F40</f>
        <v>5.5E-2</v>
      </c>
      <c r="O68" s="1327" t="s">
        <v>406</v>
      </c>
      <c r="P68" s="1364" t="s">
        <v>868</v>
      </c>
      <c r="Q68" s="1320">
        <f ca="1">ROUND(Q69-Q70*Q71,0)</f>
        <v>-19818</v>
      </c>
      <c r="R68" s="1320" t="s">
        <v>414</v>
      </c>
    </row>
    <row r="69" spans="1:18" s="1285" customFormat="1" ht="13.5" thickBot="1">
      <c r="A69" s="893"/>
      <c r="B69" s="894"/>
      <c r="C69" s="297"/>
      <c r="D69" s="912" t="s">
        <v>759</v>
      </c>
      <c r="E69" s="892" t="s">
        <v>760</v>
      </c>
      <c r="F69" s="323">
        <f ca="1">F41</f>
        <v>41.47</v>
      </c>
      <c r="O69" s="1327" t="s">
        <v>411</v>
      </c>
      <c r="P69" s="1364" t="s">
        <v>869</v>
      </c>
      <c r="Q69" s="1320">
        <f ca="1">C39</f>
        <v>3453</v>
      </c>
      <c r="R69" s="1320" t="s">
        <v>815</v>
      </c>
    </row>
    <row r="70" spans="1:18" s="1285" customFormat="1" ht="13.5" thickBot="1">
      <c r="A70" s="896"/>
      <c r="B70" s="897"/>
      <c r="C70" s="301"/>
      <c r="D70" s="908"/>
      <c r="E70" s="892" t="s">
        <v>763</v>
      </c>
      <c r="F70" s="986"/>
      <c r="O70" s="1327" t="s">
        <v>412</v>
      </c>
      <c r="P70" s="1364" t="s">
        <v>870</v>
      </c>
      <c r="Q70" s="1320">
        <f ca="1">C13</f>
        <v>332436</v>
      </c>
      <c r="R70" s="1320" t="s">
        <v>815</v>
      </c>
    </row>
    <row r="71" spans="1:18" s="1285" customFormat="1" ht="13.5" thickBot="1">
      <c r="A71" s="913" t="s">
        <v>396</v>
      </c>
      <c r="B71" s="914" t="s">
        <v>773</v>
      </c>
      <c r="C71" s="326">
        <f ca="1">ROUND(C68/F71,0)</f>
        <v>-312</v>
      </c>
      <c r="D71" s="915" t="s">
        <v>774</v>
      </c>
      <c r="E71" s="916" t="s">
        <v>775</v>
      </c>
      <c r="F71" s="329">
        <f ca="1">F43</f>
        <v>52.93</v>
      </c>
      <c r="O71" s="1327" t="s">
        <v>413</v>
      </c>
      <c r="P71" s="1364" t="s">
        <v>871</v>
      </c>
      <c r="Q71" s="1330">
        <f ca="1">C76</f>
        <v>7.0000000000000007E-2</v>
      </c>
      <c r="R71" s="1320"/>
    </row>
    <row r="72" spans="1:18" s="1285" customFormat="1" ht="13.5" thickBot="1">
      <c r="B72" s="683"/>
      <c r="C72" s="683"/>
      <c r="O72" s="1327" t="s">
        <v>407</v>
      </c>
      <c r="P72" s="1319" t="s">
        <v>849</v>
      </c>
      <c r="Q72" s="1330">
        <f>L52</f>
        <v>0</v>
      </c>
      <c r="R72" s="1320"/>
    </row>
    <row r="73" spans="1:18" ht="16.5" thickBot="1">
      <c r="A73" s="1285"/>
      <c r="B73" s="683"/>
      <c r="C73" s="683"/>
      <c r="D73" s="1285"/>
      <c r="E73" s="1285"/>
      <c r="F73" s="1285"/>
      <c r="O73" s="1327" t="s">
        <v>408</v>
      </c>
      <c r="P73" s="1319" t="s">
        <v>852</v>
      </c>
      <c r="Q73" s="1320" t="e">
        <f ca="1">L58</f>
        <v>#DIV/0!</v>
      </c>
      <c r="R73" s="1320" t="s">
        <v>853</v>
      </c>
    </row>
    <row r="74" spans="1:18" ht="13.5" thickBot="1">
      <c r="A74" s="1285"/>
      <c r="B74" s="264" t="s">
        <v>872</v>
      </c>
      <c r="C74" s="1366"/>
      <c r="D74" s="1285"/>
      <c r="E74" s="1285"/>
      <c r="F74" s="1285"/>
      <c r="O74" s="1327" t="s">
        <v>415</v>
      </c>
      <c r="P74" s="1319" t="str">
        <f>K59</f>
        <v>建筑物剩余耐用年限下的土地年期修正系数Kn</v>
      </c>
      <c r="Q74" s="1320" t="e">
        <f ca="1">L59</f>
        <v>#DIV/0!</v>
      </c>
      <c r="R74" s="1320" t="s">
        <v>854</v>
      </c>
    </row>
    <row r="75" spans="1:18" ht="13.5" thickBot="1">
      <c r="A75" s="1285"/>
      <c r="B75" s="330" t="s">
        <v>792</v>
      </c>
      <c r="C75" s="331">
        <f ca="1">ROUND(C13*C76,0)</f>
        <v>23271</v>
      </c>
      <c r="D75" s="1285"/>
      <c r="E75" s="1285"/>
      <c r="F75" s="1285"/>
      <c r="K75" s="1302"/>
      <c r="L75" s="1285"/>
      <c r="O75" s="1318" t="s">
        <v>409</v>
      </c>
      <c r="P75" s="1319" t="s">
        <v>835</v>
      </c>
      <c r="Q75" s="1320">
        <f ca="1">Q65+Q66</f>
        <v>68947</v>
      </c>
      <c r="R75" s="1320" t="s">
        <v>410</v>
      </c>
    </row>
    <row r="76" spans="1:18">
      <c r="B76" s="332" t="s">
        <v>793</v>
      </c>
      <c r="C76" s="333">
        <f ca="1">INDIRECT("'数据-取费表'!j"&amp;$G$1)</f>
        <v>7.0000000000000007E-2</v>
      </c>
      <c r="I76" s="1285"/>
      <c r="J76" s="1285"/>
      <c r="K76" s="1302"/>
      <c r="L76" s="1285"/>
    </row>
    <row r="77" spans="1:18">
      <c r="B77" s="334" t="s">
        <v>794</v>
      </c>
      <c r="C77" s="335"/>
      <c r="I77" s="1285"/>
      <c r="J77" s="1285"/>
      <c r="K77" s="1302"/>
      <c r="L77" s="1285"/>
    </row>
    <row r="78" spans="1:18">
      <c r="B78" s="261" t="s">
        <v>795</v>
      </c>
      <c r="C78" s="336"/>
    </row>
    <row r="79" spans="1:18">
      <c r="B79" s="330" t="s">
        <v>796</v>
      </c>
      <c r="C79" s="265">
        <f ca="1">1-C80</f>
        <v>-5.7389999999999999</v>
      </c>
    </row>
    <row r="80" spans="1:18">
      <c r="B80" s="330" t="s">
        <v>797</v>
      </c>
      <c r="C80" s="265">
        <f ca="1">ROUND(C75/C39,3)</f>
        <v>6.7389999999999999</v>
      </c>
    </row>
    <row r="81" spans="2:3">
      <c r="B81" s="261" t="s">
        <v>798</v>
      </c>
      <c r="C81" s="229"/>
    </row>
    <row r="82" spans="2:3">
      <c r="B82" s="264" t="s">
        <v>799</v>
      </c>
      <c r="C82" s="266">
        <f ca="1">1-C83</f>
        <v>-3.8220000000000001</v>
      </c>
    </row>
    <row r="83" spans="2:3">
      <c r="B83" s="264" t="s">
        <v>800</v>
      </c>
      <c r="C83" s="265">
        <f ca="1">ROUND(C13/C40,3)</f>
        <v>4.8220000000000001</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51" priority="3">
      <formula>$F$10="自定义"</formula>
    </cfRule>
  </conditionalFormatting>
  <conditionalFormatting sqref="C54">
    <cfRule type="expression" dxfId="50" priority="1">
      <formula>$F$53="自定义"</formula>
    </cfRule>
  </conditionalFormatting>
  <conditionalFormatting sqref="I55 I60">
    <cfRule type="expression" dxfId="49" priority="5">
      <formula>$J$51&gt;$L$48</formula>
    </cfRule>
  </conditionalFormatting>
  <conditionalFormatting sqref="J11">
    <cfRule type="expression" dxfId="48" priority="2">
      <formula>$M$10="自定义"</formula>
    </cfRule>
  </conditionalFormatting>
  <conditionalFormatting sqref="K55 K60">
    <cfRule type="expression" dxfId="47" priority="4">
      <formula>$L$48&gt;$J$51</formula>
    </cfRule>
  </conditionalFormatting>
  <dataValidations count="9">
    <dataValidation type="list" allowBlank="1" showInputMessage="1" showErrorMessage="1" sqref="L55" xr:uid="{00000000-0002-0000-2F00-000000000000}">
      <formula1>"比较法,基准地价,收益还原"</formula1>
    </dataValidation>
    <dataValidation type="list" allowBlank="1" showInputMessage="1" showErrorMessage="1" sqref="J56" xr:uid="{00000000-0002-0000-2F00-000001000000}">
      <formula1>估价范围判定</formula1>
    </dataValidation>
    <dataValidation type="list" allowBlank="1" showInputMessage="1" showErrorMessage="1" sqref="J48" xr:uid="{00000000-0002-0000-2F00-000002000000}">
      <formula1>"非生产用房,生产用房,受腐蚀的生产用房"</formula1>
    </dataValidation>
    <dataValidation type="list" allowBlank="1" showInputMessage="1" showErrorMessage="1" sqref="J47" xr:uid="{00000000-0002-0000-2F00-000003000000}">
      <formula1>"钢,钢混,砖混"</formula1>
    </dataValidation>
    <dataValidation type="list" allowBlank="1" showInputMessage="1" showErrorMessage="1" sqref="C1" xr:uid="{00000000-0002-0000-2F00-000004000000}">
      <formula1>项目类型</formula1>
    </dataValidation>
    <dataValidation type="list" allowBlank="1" showInputMessage="1" showErrorMessage="1" sqref="D33 D61" xr:uid="{00000000-0002-0000-2F00-000005000000}">
      <formula1>"按租金收入计税,按房产原值计税,按票据"</formula1>
    </dataValidation>
    <dataValidation type="list" allowBlank="1" showInputMessage="1" showErrorMessage="1" sqref="K19" xr:uid="{00000000-0002-0000-2F00-000006000000}">
      <formula1>"按租金收入计税,按房产原值计税"</formula1>
    </dataValidation>
    <dataValidation type="list" allowBlank="1" showInputMessage="1" showErrorMessage="1" sqref="F10 F53 M10"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925</v>
      </c>
      <c r="B2" s="3222" t="s">
        <v>926</v>
      </c>
      <c r="C2" s="3222" t="s">
        <v>927</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17"/>
      <c r="B3" s="3217"/>
      <c r="C3" s="3217"/>
      <c r="D3" s="797" t="s">
        <v>922</v>
      </c>
      <c r="E3" s="797" t="s">
        <v>928</v>
      </c>
      <c r="F3" s="797" t="s">
        <v>922</v>
      </c>
      <c r="G3" s="797" t="s">
        <v>923</v>
      </c>
      <c r="H3" s="797" t="s">
        <v>922</v>
      </c>
      <c r="I3" s="797" t="s">
        <v>923</v>
      </c>
    </row>
    <row r="4" spans="1:9" ht="15">
      <c r="A4" s="1396" t="str">
        <f>项目基本情况!S2</f>
        <v>北京市房地产</v>
      </c>
      <c r="B4" s="797">
        <f>项目基本情况!C17</f>
        <v>232700.46000000008</v>
      </c>
      <c r="C4" s="797">
        <f>项目基本情况!C18</f>
        <v>28700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17" t="s">
        <v>924</v>
      </c>
      <c r="B5" s="3217"/>
      <c r="C5" s="3217"/>
      <c r="D5" s="3217" t="e">
        <f ca="1">结果表!D119</f>
        <v>#REF!</v>
      </c>
      <c r="E5" s="3217"/>
      <c r="F5" s="3217" t="e">
        <f ca="1">结果表!F119</f>
        <v>#REF!</v>
      </c>
      <c r="G5" s="3217"/>
      <c r="H5" s="3217" t="e">
        <f ca="1">结果表!H119</f>
        <v>#REF!</v>
      </c>
      <c r="I5" s="3217"/>
    </row>
    <row r="6" spans="1:9" ht="15.75">
      <c r="A6" s="3216" t="str">
        <f>结果表!A120</f>
        <v>估价师知悉的法定优先受偿款</v>
      </c>
      <c r="B6" s="3216"/>
      <c r="C6" s="3216"/>
      <c r="D6" s="3216">
        <f>结果表!D120</f>
        <v>0</v>
      </c>
      <c r="E6" s="3216"/>
      <c r="F6" s="3216"/>
      <c r="G6" s="3216"/>
      <c r="H6" s="3216"/>
      <c r="I6" s="3216"/>
    </row>
    <row r="7" spans="1:9" ht="15">
      <c r="A7" s="3217" t="s">
        <v>924</v>
      </c>
      <c r="B7" s="3217"/>
      <c r="C7" s="3217"/>
      <c r="D7" s="3218" t="str">
        <f>结果表!D121</f>
        <v>零元整</v>
      </c>
      <c r="E7" s="3219"/>
      <c r="F7" s="3219"/>
      <c r="G7" s="3219"/>
      <c r="H7" s="3219"/>
      <c r="I7" s="3220"/>
    </row>
    <row r="8" spans="1:9" ht="15.75">
      <c r="A8" s="3216" t="str">
        <f>结果表!A122</f>
        <v>房地产抵押价值</v>
      </c>
      <c r="B8" s="3216"/>
      <c r="C8" s="3216"/>
      <c r="D8" s="3216" t="e">
        <f ca="1">结果表!D122</f>
        <v>#REF!</v>
      </c>
      <c r="E8" s="3216"/>
      <c r="F8" s="3216"/>
      <c r="G8" s="3216"/>
      <c r="H8" s="3216"/>
      <c r="I8" s="3216"/>
    </row>
    <row r="9" spans="1:9" ht="15">
      <c r="A9" s="3217" t="s">
        <v>924</v>
      </c>
      <c r="B9" s="3217"/>
      <c r="C9" s="3217"/>
      <c r="D9" s="3217" t="e">
        <f ca="1">结果表!D123</f>
        <v>#REF!</v>
      </c>
      <c r="E9" s="3217"/>
      <c r="F9" s="3217"/>
      <c r="G9" s="3217"/>
      <c r="H9" s="3217"/>
      <c r="I9" s="3217"/>
    </row>
    <row r="10" spans="1:9" ht="15.75">
      <c r="A10" s="3216" t="str">
        <f>结果表!A124</f>
        <v/>
      </c>
      <c r="B10" s="3216"/>
      <c r="C10" s="3216"/>
      <c r="D10" s="3216" t="str">
        <f>结果表!D124</f>
        <v>——</v>
      </c>
      <c r="E10" s="3216"/>
      <c r="F10" s="3216"/>
      <c r="G10" s="3216"/>
      <c r="H10" s="3216"/>
      <c r="I10" s="3216"/>
    </row>
    <row r="11" spans="1:9" ht="15">
      <c r="A11" s="3217" t="s">
        <v>924</v>
      </c>
      <c r="B11" s="3217"/>
      <c r="C11" s="3217"/>
      <c r="D11" s="3217" t="e">
        <f>结果表!D125</f>
        <v>#VALUE!</v>
      </c>
      <c r="E11" s="3217"/>
      <c r="F11" s="3217"/>
      <c r="G11" s="3217"/>
      <c r="H11" s="3217"/>
      <c r="I11" s="3217"/>
    </row>
    <row r="12" spans="1:9" ht="15.75">
      <c r="A12" s="3216" t="str">
        <f>结果表!A126</f>
        <v/>
      </c>
      <c r="B12" s="3216"/>
      <c r="C12" s="3216"/>
      <c r="D12" s="3216" t="str">
        <f>结果表!D126</f>
        <v>——</v>
      </c>
      <c r="E12" s="3216"/>
      <c r="F12" s="3216"/>
      <c r="G12" s="3216"/>
      <c r="H12" s="3216"/>
      <c r="I12" s="3216"/>
    </row>
    <row r="13" spans="1:9" ht="15.75" thickBot="1">
      <c r="A13" s="3214" t="s">
        <v>924</v>
      </c>
      <c r="B13" s="3214"/>
      <c r="C13" s="3214"/>
      <c r="D13" s="3214" t="e">
        <f>结果表!D127</f>
        <v>#VALUE!</v>
      </c>
      <c r="E13" s="3214"/>
      <c r="F13" s="3214"/>
      <c r="G13" s="3214"/>
      <c r="H13" s="3214"/>
      <c r="I13" s="3214"/>
    </row>
    <row r="14" spans="1:9" ht="15" thickTop="1">
      <c r="A14" s="3215" t="s">
        <v>929</v>
      </c>
      <c r="B14" s="3215"/>
      <c r="C14" s="3215"/>
      <c r="D14" s="3215"/>
      <c r="E14" s="3215"/>
      <c r="F14" s="3215"/>
      <c r="G14" s="3215"/>
      <c r="H14" s="3215"/>
      <c r="I14" s="3215"/>
    </row>
    <row r="16" spans="1:9" ht="18.75">
      <c r="A16" s="1397"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5" customWidth="1"/>
    <col min="12" max="12" width="16.375" style="249" customWidth="1"/>
    <col min="13" max="13" width="13" style="249"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9"/>
  </cols>
  <sheetData>
    <row r="1" spans="1:37" s="284" customFormat="1" ht="21">
      <c r="A1" s="1276" t="s">
        <v>874</v>
      </c>
      <c r="B1" s="661"/>
      <c r="C1" s="1280" t="s">
        <v>4422</v>
      </c>
      <c r="D1" s="1264" t="s">
        <v>43</v>
      </c>
      <c r="E1" s="1265" t="s">
        <v>675</v>
      </c>
      <c r="F1" s="994">
        <f ca="1">J53</f>
        <v>41.47</v>
      </c>
      <c r="G1" s="1279">
        <f>MATCH(C1,'数据-取费表'!A6:A16,0)+5</f>
        <v>8</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6" t="s">
        <v>801</v>
      </c>
      <c r="B2" s="1287">
        <f ca="1">C40+J29+L46</f>
        <v>21</v>
      </c>
      <c r="C2" s="1282" t="s">
        <v>802</v>
      </c>
      <c r="D2" s="1282"/>
      <c r="E2" s="1288"/>
      <c r="F2" s="1289"/>
      <c r="G2" s="2472"/>
      <c r="H2" s="2462"/>
      <c r="I2" s="2462"/>
      <c r="J2" s="2462"/>
      <c r="K2" s="2463"/>
      <c r="L2" s="2462"/>
      <c r="M2" s="2462"/>
    </row>
    <row r="3" spans="1:37" ht="18" customHeight="1" thickBot="1">
      <c r="A3" s="1290" t="s">
        <v>803</v>
      </c>
      <c r="B3" s="1291">
        <f ca="1">IF(ISERROR(B2*10000/F43),0,ROUND(B2*10000/F43,0))</f>
        <v>3968</v>
      </c>
      <c r="C3" s="1282" t="s">
        <v>804</v>
      </c>
      <c r="D3" s="1282"/>
      <c r="E3" s="1288"/>
      <c r="F3" s="1289"/>
      <c r="G3" s="2472"/>
      <c r="H3" s="647" t="s">
        <v>873</v>
      </c>
      <c r="I3" s="1283"/>
      <c r="J3" s="1283"/>
      <c r="K3" s="1284"/>
      <c r="L3" s="1283"/>
      <c r="M3" s="1283"/>
    </row>
    <row r="4" spans="1:37" ht="18" customHeight="1">
      <c r="A4" s="286" t="s">
        <v>684</v>
      </c>
      <c r="B4" s="287" t="s">
        <v>685</v>
      </c>
      <c r="C4" s="287" t="s">
        <v>686</v>
      </c>
      <c r="D4" s="287" t="s">
        <v>687</v>
      </c>
      <c r="E4" s="288" t="s">
        <v>688</v>
      </c>
      <c r="F4" s="289"/>
      <c r="G4" s="1285"/>
      <c r="H4" s="286" t="s">
        <v>684</v>
      </c>
      <c r="I4" s="287" t="s">
        <v>685</v>
      </c>
      <c r="J4" s="287" t="s">
        <v>686</v>
      </c>
      <c r="K4" s="287" t="s">
        <v>687</v>
      </c>
      <c r="L4" s="288" t="s">
        <v>688</v>
      </c>
      <c r="M4" s="289"/>
    </row>
    <row r="5" spans="1:37" ht="18" customHeight="1">
      <c r="A5" s="290">
        <v>1</v>
      </c>
      <c r="B5" s="291" t="s">
        <v>689</v>
      </c>
      <c r="C5" s="1002">
        <f ca="1">C6+C10+C12</f>
        <v>1</v>
      </c>
      <c r="D5" s="1266" t="s">
        <v>690</v>
      </c>
      <c r="E5" s="1003"/>
      <c r="F5" s="1004"/>
      <c r="G5" s="1285"/>
      <c r="H5" s="290">
        <v>1</v>
      </c>
      <c r="I5" s="291" t="s">
        <v>689</v>
      </c>
      <c r="J5" s="1002">
        <f ca="1">J6+J10+J12</f>
        <v>0</v>
      </c>
      <c r="K5" s="1266" t="s">
        <v>690</v>
      </c>
      <c r="L5" s="1003"/>
      <c r="M5" s="1004"/>
    </row>
    <row r="6" spans="1:37" ht="18" customHeight="1">
      <c r="A6" s="1001" t="s">
        <v>398</v>
      </c>
      <c r="B6" s="3409" t="s">
        <v>691</v>
      </c>
      <c r="C6" s="1006">
        <f ca="1">ROUND(F6*F8*F7*(1-F9)/10000,0)</f>
        <v>1</v>
      </c>
      <c r="D6" s="146" t="s">
        <v>2105</v>
      </c>
      <c r="E6" s="293" t="s">
        <v>693</v>
      </c>
      <c r="F6" s="294">
        <f ca="1">INDIRECT("'数据-取费表'!u"&amp;$G$1)</f>
        <v>500</v>
      </c>
      <c r="G6" s="1285"/>
      <c r="H6" s="1001" t="s">
        <v>398</v>
      </c>
      <c r="I6" s="3409" t="s">
        <v>691</v>
      </c>
      <c r="J6" s="292">
        <f ca="1">ROUND(M6*M8*M7*(1-M9)/10000,0)</f>
        <v>0</v>
      </c>
      <c r="K6" s="146" t="s">
        <v>2104</v>
      </c>
      <c r="L6" s="293" t="s">
        <v>693</v>
      </c>
      <c r="M6" s="294">
        <f ca="1">INDIRECT("'数据-取费表'!z"&amp;$G$1)</f>
        <v>0</v>
      </c>
    </row>
    <row r="7" spans="1:37" ht="18" customHeight="1">
      <c r="A7" s="1005"/>
      <c r="B7" s="3410"/>
      <c r="C7" s="1007"/>
      <c r="D7" s="298"/>
      <c r="E7" s="1008" t="s">
        <v>694</v>
      </c>
      <c r="F7" s="294">
        <f ca="1">IF(INDIRECT("'数据-取费表'!ah"&amp;$G$1)="",INDIRECT("'数据-取费表'!k"&amp;$G$1),INDIRECT("'数据-取费表'!ah"&amp;$G$1))</f>
        <v>1</v>
      </c>
      <c r="G7" s="1285"/>
      <c r="H7" s="295"/>
      <c r="I7" s="3410"/>
      <c r="J7" s="297"/>
      <c r="K7" s="298"/>
      <c r="L7" s="293" t="s">
        <v>694</v>
      </c>
      <c r="M7" s="294">
        <f ca="1">F7</f>
        <v>1</v>
      </c>
    </row>
    <row r="8" spans="1:37" ht="18" customHeight="1">
      <c r="A8" s="295"/>
      <c r="B8" s="3410"/>
      <c r="C8" s="297"/>
      <c r="D8" s="298"/>
      <c r="E8" s="293" t="s">
        <v>695</v>
      </c>
      <c r="F8" s="294">
        <f ca="1">INDIRECT("'数据-取费表'!ai"&amp;$G$1)</f>
        <v>12</v>
      </c>
      <c r="G8" s="1285"/>
      <c r="H8" s="295"/>
      <c r="I8" s="3410"/>
      <c r="J8" s="297"/>
      <c r="K8" s="298"/>
      <c r="L8" s="293" t="s">
        <v>695</v>
      </c>
      <c r="M8" s="294">
        <f ca="1">INDIRECT("'数据-取费表'!ai"&amp;$G$1)</f>
        <v>12</v>
      </c>
    </row>
    <row r="9" spans="1:37" ht="18" customHeight="1">
      <c r="A9" s="295"/>
      <c r="B9" s="3411"/>
      <c r="C9" s="297"/>
      <c r="D9" s="298"/>
      <c r="E9" s="293" t="s">
        <v>696</v>
      </c>
      <c r="F9" s="303">
        <f ca="1">INDIRECT("'数据-取费表'!w"&amp;$G$1)</f>
        <v>0.1</v>
      </c>
      <c r="G9" s="1285"/>
      <c r="H9" s="295"/>
      <c r="I9" s="3411"/>
      <c r="J9" s="297"/>
      <c r="K9" s="298"/>
      <c r="L9" s="304" t="s">
        <v>696</v>
      </c>
      <c r="M9" s="305">
        <f ca="1">INDIRECT("'数据-取费表'!ab"&amp;$G$1)</f>
        <v>0</v>
      </c>
    </row>
    <row r="10" spans="1:37" ht="18" customHeight="1">
      <c r="A10" s="1001" t="s">
        <v>402</v>
      </c>
      <c r="B10" s="1267" t="s">
        <v>697</v>
      </c>
      <c r="C10" s="307">
        <f ca="1">ROUND(IF(F10="押一",C6/12*F11,IF(F10="押二",C6/12*2*F11,IF(F10="押三",C6/12*3*F11,C11*F11))),0)</f>
        <v>0</v>
      </c>
      <c r="D10" s="149" t="s">
        <v>2112</v>
      </c>
      <c r="E10" s="304" t="s">
        <v>698</v>
      </c>
      <c r="F10" s="1048"/>
      <c r="G10" s="1285"/>
      <c r="H10" s="1001" t="s">
        <v>402</v>
      </c>
      <c r="I10" s="1267" t="s">
        <v>697</v>
      </c>
      <c r="J10" s="292">
        <f ca="1">ROUND(IF(M10="押一",J6/12*M11,IF(M10="押二",J6/12*2*M11,IF(M10="押三",J6/12*3*M11,J11*M11))),0)</f>
        <v>0</v>
      </c>
      <c r="K10" s="149" t="s">
        <v>2112</v>
      </c>
      <c r="L10" s="304" t="s">
        <v>698</v>
      </c>
      <c r="M10" s="1048"/>
    </row>
    <row r="11" spans="1:37" ht="18" customHeight="1">
      <c r="A11" s="299"/>
      <c r="B11" s="1268" t="s">
        <v>676</v>
      </c>
      <c r="C11" s="901"/>
      <c r="D11" s="1269"/>
      <c r="E11" s="304" t="s">
        <v>699</v>
      </c>
      <c r="F11" s="305">
        <f ca="1">'数据-取费表'!B39</f>
        <v>1.4999999999999999E-2</v>
      </c>
      <c r="G11" s="1285"/>
      <c r="H11" s="1009"/>
      <c r="I11" s="1268" t="s">
        <v>676</v>
      </c>
      <c r="J11" s="901"/>
      <c r="K11" s="644"/>
      <c r="L11" s="304" t="s">
        <v>699</v>
      </c>
      <c r="M11" s="805">
        <f ca="1">'数据-取费表'!B39</f>
        <v>1.4999999999999999E-2</v>
      </c>
    </row>
    <row r="12" spans="1:37" ht="18" customHeight="1" thickBot="1">
      <c r="A12" s="1015" t="s">
        <v>437</v>
      </c>
      <c r="B12" s="1270" t="s">
        <v>700</v>
      </c>
      <c r="C12" s="1016"/>
      <c r="D12" s="1017"/>
      <c r="E12" s="1022"/>
      <c r="F12" s="1018"/>
      <c r="G12" s="1285"/>
      <c r="H12" s="1015" t="s">
        <v>437</v>
      </c>
      <c r="I12" s="1270" t="s">
        <v>700</v>
      </c>
      <c r="J12" s="1016"/>
      <c r="K12" s="1030"/>
      <c r="L12" s="1022"/>
      <c r="M12" s="1031"/>
    </row>
    <row r="13" spans="1:37" ht="18" customHeight="1" thickTop="1">
      <c r="A13" s="1011">
        <v>2</v>
      </c>
      <c r="B13" s="1012" t="s">
        <v>701</v>
      </c>
      <c r="C13" s="301">
        <f ca="1">ROUND(C29*F13,0)</f>
        <v>33</v>
      </c>
      <c r="D13" s="1013" t="s">
        <v>702</v>
      </c>
      <c r="E13" s="1013" t="s">
        <v>703</v>
      </c>
      <c r="F13" s="1014">
        <f ca="1">INDIRECT("'数据-取费表'!y"&amp;$G$1)</f>
        <v>0.98</v>
      </c>
      <c r="G13" s="1285"/>
      <c r="H13" s="1011">
        <v>2</v>
      </c>
      <c r="I13" s="1012" t="s">
        <v>701</v>
      </c>
      <c r="J13" s="1000">
        <f ca="1">ROUND(J14*J15,0)</f>
        <v>0</v>
      </c>
      <c r="K13" s="1019" t="s">
        <v>702</v>
      </c>
      <c r="L13" s="1292"/>
      <c r="M13" s="1293"/>
    </row>
    <row r="14" spans="1:37" ht="18" customHeight="1">
      <c r="A14" s="924" t="s">
        <v>397</v>
      </c>
      <c r="B14" s="293" t="s">
        <v>704</v>
      </c>
      <c r="C14" s="309">
        <f ca="1">INDIRECT("'数据-取费表'!m"&amp;$G$1)+INDIRECT("'数据-取费表'!t"&amp;$G$1)</f>
        <v>24</v>
      </c>
      <c r="D14" s="1250" t="s">
        <v>705</v>
      </c>
      <c r="E14" s="1248"/>
      <c r="F14" s="310"/>
      <c r="G14" s="1285"/>
      <c r="H14" s="924" t="s">
        <v>398</v>
      </c>
      <c r="I14" s="293" t="s">
        <v>706</v>
      </c>
      <c r="J14" s="21">
        <f ca="1">C29</f>
        <v>34</v>
      </c>
      <c r="K14" s="12"/>
      <c r="L14" s="755"/>
      <c r="M14" s="756"/>
    </row>
    <row r="15" spans="1:37" s="1297" customFormat="1" ht="18" customHeight="1" thickBot="1">
      <c r="A15" s="924" t="s">
        <v>399</v>
      </c>
      <c r="B15" s="293" t="s">
        <v>707</v>
      </c>
      <c r="C15" s="21">
        <f ca="1">ROUND(C14*F15,0)</f>
        <v>2</v>
      </c>
      <c r="D15" s="311" t="s">
        <v>708</v>
      </c>
      <c r="E15" s="311" t="s">
        <v>709</v>
      </c>
      <c r="F15" s="312">
        <f>'数据-取费表'!B33</f>
        <v>0.1</v>
      </c>
      <c r="G15" s="1296"/>
      <c r="H15" s="1021" t="s">
        <v>402</v>
      </c>
      <c r="I15" s="1022" t="s">
        <v>703</v>
      </c>
      <c r="J15" s="1031">
        <f ca="1">INDIRECT("'数据-取费表'!ad"&amp;$G$1)</f>
        <v>0</v>
      </c>
      <c r="K15" s="1032"/>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4" t="s">
        <v>677</v>
      </c>
      <c r="B16" s="293" t="s">
        <v>710</v>
      </c>
      <c r="C16" s="21">
        <f ca="1">ROUND(INDIRECT("'数据-取费表'!m"&amp;$G$1)*F16,0)</f>
        <v>0</v>
      </c>
      <c r="D16" s="293" t="s">
        <v>708</v>
      </c>
      <c r="E16" s="293" t="s">
        <v>709</v>
      </c>
      <c r="F16" s="313">
        <f ca="1">IF(INDIRECT("'数据-取费表'!c"&amp;$G$1)="住宅",'数据-取费表'!B34,0)</f>
        <v>0</v>
      </c>
      <c r="G16" s="1285"/>
      <c r="H16" s="1011" t="s">
        <v>393</v>
      </c>
      <c r="I16" s="1012" t="s">
        <v>711</v>
      </c>
      <c r="J16" s="301">
        <f ca="1">ROUND(J17+J22+J23+J24,0)</f>
        <v>0</v>
      </c>
      <c r="K16" s="1019" t="s">
        <v>712</v>
      </c>
      <c r="L16" s="1020"/>
      <c r="M16" s="1004"/>
    </row>
    <row r="17" spans="1:37" s="1297" customFormat="1" ht="18" customHeight="1">
      <c r="A17" s="924" t="s">
        <v>678</v>
      </c>
      <c r="B17" s="293" t="s">
        <v>713</v>
      </c>
      <c r="C17" s="21">
        <f ca="1">ROUND(F17*(F43+INDIRECT("'数据-取费表'!S"&amp;$G$1))/10000,0)</f>
        <v>1</v>
      </c>
      <c r="D17" s="293" t="s">
        <v>714</v>
      </c>
      <c r="E17" s="293" t="s">
        <v>715</v>
      </c>
      <c r="F17" s="23">
        <f>'数据-取费表'!B35</f>
        <v>200</v>
      </c>
      <c r="G17" s="1296"/>
      <c r="H17" s="924" t="s">
        <v>398</v>
      </c>
      <c r="I17" s="293" t="s">
        <v>716</v>
      </c>
      <c r="J17" s="2133">
        <f ca="1">ROUND(IF(AND(项目基本情况!B11="自然人",项目基本情况!B10="北京市"),J6*M17/(1+'数据-取费表'!C42),J18+J19+J20),2)</f>
        <v>0</v>
      </c>
      <c r="K17" s="1250" t="s">
        <v>717</v>
      </c>
      <c r="L17" s="1249" t="s">
        <v>718</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4" t="s">
        <v>679</v>
      </c>
      <c r="B18" s="293" t="s">
        <v>719</v>
      </c>
      <c r="C18" s="21">
        <f ca="1">ROUND(C14*F18,0)</f>
        <v>1</v>
      </c>
      <c r="D18" s="293" t="s">
        <v>708</v>
      </c>
      <c r="E18" s="293" t="s">
        <v>709</v>
      </c>
      <c r="F18" s="313">
        <f>'数据-取费表'!B36</f>
        <v>2.5000000000000001E-2</v>
      </c>
      <c r="G18" s="1296"/>
      <c r="H18" s="924" t="s">
        <v>397</v>
      </c>
      <c r="I18" s="293" t="s">
        <v>720</v>
      </c>
      <c r="J18" s="21">
        <f ca="1">ROUND(J6*M18/(1+'数据-取费表'!C42),2)</f>
        <v>0</v>
      </c>
      <c r="K18" s="1249" t="s">
        <v>721</v>
      </c>
      <c r="L18" s="293" t="s">
        <v>709</v>
      </c>
      <c r="M18" s="313">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4" t="s">
        <v>398</v>
      </c>
      <c r="B19" s="293" t="s">
        <v>722</v>
      </c>
      <c r="C19" s="21">
        <f ca="1">SUM(C14:C18)</f>
        <v>28</v>
      </c>
      <c r="D19" s="122" t="s">
        <v>723</v>
      </c>
      <c r="E19" s="1262"/>
      <c r="F19" s="23"/>
      <c r="G19" s="1285"/>
      <c r="H19" s="924" t="s">
        <v>399</v>
      </c>
      <c r="I19" s="293" t="s">
        <v>724</v>
      </c>
      <c r="J19" s="21">
        <f ca="1">IF(K19="按租金收入计税",ROUND(J6*M19/(1+'数据-取费表'!C42),2),ROUND(C29*M19*0.7,2))</f>
        <v>0</v>
      </c>
      <c r="K19" s="1271" t="s">
        <v>3324</v>
      </c>
      <c r="L19" s="293" t="s">
        <v>709</v>
      </c>
      <c r="M19" s="313">
        <f>IF(K19="按租金收入计税",'数据-取费表'!B51,'数据-取费表'!B50)</f>
        <v>0.12</v>
      </c>
    </row>
    <row r="20" spans="1:37" s="1297" customFormat="1" ht="18" customHeight="1">
      <c r="A20" s="924" t="s">
        <v>402</v>
      </c>
      <c r="B20" s="293" t="s">
        <v>725</v>
      </c>
      <c r="C20" s="21">
        <f ca="1">ROUND(C19*F20,0)</f>
        <v>1</v>
      </c>
      <c r="D20" s="314" t="s">
        <v>726</v>
      </c>
      <c r="E20" s="293" t="s">
        <v>709</v>
      </c>
      <c r="F20" s="313">
        <f>'数据-取费表'!B37</f>
        <v>2.5000000000000001E-2</v>
      </c>
      <c r="G20" s="1296"/>
      <c r="H20" s="924" t="s">
        <v>677</v>
      </c>
      <c r="I20" s="146" t="s">
        <v>727</v>
      </c>
      <c r="J20" s="22">
        <f ca="1">ROUND(M20*M21/10000,2)</f>
        <v>0</v>
      </c>
      <c r="K20" s="315" t="s">
        <v>728</v>
      </c>
      <c r="L20" s="293" t="s">
        <v>729</v>
      </c>
      <c r="M20" s="316">
        <f>'数据-取费表'!B52</f>
        <v>1.5</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4" t="s">
        <v>437</v>
      </c>
      <c r="B21" s="293" t="s">
        <v>730</v>
      </c>
      <c r="C21" s="21" t="s">
        <v>0</v>
      </c>
      <c r="D21" s="314" t="s">
        <v>731</v>
      </c>
      <c r="E21" s="293" t="s">
        <v>732</v>
      </c>
      <c r="F21" s="313">
        <f>'数据-取费表'!B38</f>
        <v>2.5000000000000001E-2</v>
      </c>
      <c r="G21" s="1296"/>
      <c r="H21" s="317"/>
      <c r="I21" s="302"/>
      <c r="J21" s="26"/>
      <c r="K21" s="318"/>
      <c r="L21" s="293" t="s">
        <v>733</v>
      </c>
      <c r="M21" s="294">
        <f ca="1">INDIRECT("'数据-取费表'!r"&amp;$G$1)</f>
        <v>6.53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4" t="s">
        <v>680</v>
      </c>
      <c r="B22" s="293" t="s">
        <v>734</v>
      </c>
      <c r="C22" s="21"/>
      <c r="D22" s="122" t="str">
        <f>IF(F23&lt;=1,"单利计息。","复利计息。")&amp;"建造成本、管理费用、销售费用产生的利息。"</f>
        <v>复利计息。建造成本、管理费用、销售费用产生的利息。</v>
      </c>
      <c r="E22" s="1262"/>
      <c r="F22" s="23"/>
      <c r="G22" s="1285"/>
      <c r="H22" s="924" t="s">
        <v>402</v>
      </c>
      <c r="I22" s="293" t="s">
        <v>735</v>
      </c>
      <c r="J22" s="21">
        <f ca="1">ROUND(J14*M22,2)</f>
        <v>7.0000000000000007E-2</v>
      </c>
      <c r="K22" s="1249" t="s">
        <v>736</v>
      </c>
      <c r="L22" s="293" t="s">
        <v>709</v>
      </c>
      <c r="M22" s="319">
        <f ca="1">INDIRECT("'数据-取费表'!Ak"&amp;$G$1)</f>
        <v>2E-3</v>
      </c>
    </row>
    <row r="23" spans="1:37" s="1297" customFormat="1" ht="18" customHeight="1">
      <c r="A23" s="924" t="s">
        <v>397</v>
      </c>
      <c r="B23" s="293" t="s">
        <v>737</v>
      </c>
      <c r="C23" s="21">
        <f ca="1">IF('数据-取费表'!B22&lt;=1,ROUND(C19*F24*F23/2,0)+ROUND(C20*F24*F23/2,0),ROUND(C19*(POWER((1+F24),F23/2)-1),0)+ROUND(C20*(POWER((1+F24),F23/2)-1),0))</f>
        <v>1</v>
      </c>
      <c r="D23" s="137" t="str">
        <f>IF(F23&lt;=1,"(建造成本+管理费用)×利率×(建设周期÷2)","(建造成本+管理费用)×((1+利率)^(建设周期÷2)-1)")</f>
        <v>(建造成本+管理费用)×((1+利率)^(建设周期÷2)-1)</v>
      </c>
      <c r="E23" s="293" t="s">
        <v>738</v>
      </c>
      <c r="F23" s="316">
        <f>'数据-取费表'!B20</f>
        <v>2.5</v>
      </c>
      <c r="G23" s="1296"/>
      <c r="H23" s="924" t="s">
        <v>437</v>
      </c>
      <c r="I23" s="293" t="s">
        <v>739</v>
      </c>
      <c r="J23" s="21">
        <f ca="1">ROUND(J13*M23,2)</f>
        <v>0</v>
      </c>
      <c r="K23" s="1249" t="s">
        <v>740</v>
      </c>
      <c r="L23" s="293" t="s">
        <v>709</v>
      </c>
      <c r="M23" s="320">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4" t="s">
        <v>399</v>
      </c>
      <c r="B24" s="293" t="s">
        <v>743</v>
      </c>
      <c r="C24" s="21">
        <f ca="1">ROUND(IF('数据-取费表'!B22&lt;=1,F21*F24*F23/2,F21*(POWER((1+F24),F23/2)-1)),4)</f>
        <v>1.1000000000000001E-3</v>
      </c>
      <c r="D24" s="137" t="str">
        <f>IF(F23&lt;=1,"销售费用×利率×(建设周期÷2)","销售费用×((1+利率)^(建设周期÷2)-1)")</f>
        <v>销售费用×((1+利率)^(建设周期÷2)-1)</v>
      </c>
      <c r="E24" s="293" t="s">
        <v>744</v>
      </c>
      <c r="F24" s="321">
        <f ca="1">'数据-取费表'!B40</f>
        <v>3.4500000000000003E-2</v>
      </c>
      <c r="G24" s="1296"/>
      <c r="H24" s="1021" t="s">
        <v>680</v>
      </c>
      <c r="I24" s="1022" t="s">
        <v>725</v>
      </c>
      <c r="J24" s="1023">
        <f ca="1">ROUND(J5*M24,2)</f>
        <v>0</v>
      </c>
      <c r="K24" s="1024" t="s">
        <v>745</v>
      </c>
      <c r="L24" s="1022" t="s">
        <v>709</v>
      </c>
      <c r="M24" s="1018">
        <f ca="1">INDIRECT("'数据-取费表'!Am"&amp;$G$1)</f>
        <v>5.0000000000000001E-3</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4" t="s">
        <v>746</v>
      </c>
      <c r="B25" s="293" t="s">
        <v>747</v>
      </c>
      <c r="C25" s="21"/>
      <c r="D25" s="122" t="s">
        <v>748</v>
      </c>
      <c r="E25" s="1262"/>
      <c r="F25" s="23"/>
      <c r="G25" s="1285"/>
      <c r="H25" s="1011" t="s">
        <v>394</v>
      </c>
      <c r="I25" s="1026" t="s">
        <v>749</v>
      </c>
      <c r="J25" s="301">
        <f ca="1">J5-J16</f>
        <v>0</v>
      </c>
      <c r="K25" s="1027" t="s">
        <v>750</v>
      </c>
      <c r="L25" s="1028"/>
      <c r="M25" s="1029"/>
    </row>
    <row r="26" spans="1:37">
      <c r="A26" s="924" t="s">
        <v>397</v>
      </c>
      <c r="B26" s="293" t="s">
        <v>751</v>
      </c>
      <c r="C26" s="21">
        <f ca="1">ROUND((C19+C20)*F26,0)</f>
        <v>1</v>
      </c>
      <c r="D26" s="314" t="s">
        <v>752</v>
      </c>
      <c r="E26" s="304" t="s">
        <v>753</v>
      </c>
      <c r="F26" s="303">
        <f ca="1">INDIRECT("'数据-取费表'!q"&amp;$G$1)</f>
        <v>0.05</v>
      </c>
      <c r="G26" s="1285"/>
      <c r="H26" s="290" t="s">
        <v>395</v>
      </c>
      <c r="I26" s="291" t="s">
        <v>754</v>
      </c>
      <c r="J26" s="292">
        <f ca="1">IF(J5&lt;&gt;0,ROUND(J25*(1-((1+M28)/(1+M26))^M27)/(M26-M28),0),0)</f>
        <v>0</v>
      </c>
      <c r="K26" s="315" t="s">
        <v>755</v>
      </c>
      <c r="L26" s="293" t="s">
        <v>756</v>
      </c>
      <c r="M26" s="303">
        <f ca="1">INDIRECT("'数据-取费表'!I"&amp;$G$1)</f>
        <v>5.5E-2</v>
      </c>
    </row>
    <row r="27" spans="1:37" ht="18" customHeight="1">
      <c r="A27" s="924" t="s">
        <v>399</v>
      </c>
      <c r="B27" s="293" t="s">
        <v>757</v>
      </c>
      <c r="C27" s="21">
        <f ca="1">ROUND(F21*F26,4)</f>
        <v>1.2999999999999999E-3</v>
      </c>
      <c r="D27" s="314" t="s">
        <v>758</v>
      </c>
      <c r="E27" s="311"/>
      <c r="F27" s="312"/>
      <c r="G27" s="1285"/>
      <c r="H27" s="295"/>
      <c r="I27" s="296"/>
      <c r="J27" s="297"/>
      <c r="K27" s="322" t="s">
        <v>759</v>
      </c>
      <c r="L27" s="293" t="s">
        <v>760</v>
      </c>
      <c r="M27" s="323">
        <f ca="1">INDIRECT("'数据-取费表'!ag"&amp;$G$1)</f>
        <v>0</v>
      </c>
    </row>
    <row r="28" spans="1:37" s="1297" customFormat="1" ht="18" customHeight="1">
      <c r="A28" s="924" t="s">
        <v>400</v>
      </c>
      <c r="B28" s="293" t="s">
        <v>761</v>
      </c>
      <c r="C28" s="21">
        <f>ROUND(F28/(1+'数据-取费表'!C42),4)</f>
        <v>5.2400000000000002E-2</v>
      </c>
      <c r="D28" s="314" t="s">
        <v>762</v>
      </c>
      <c r="E28" s="293" t="s">
        <v>709</v>
      </c>
      <c r="F28" s="313">
        <f>'数据-取费表'!B41</f>
        <v>5.5000000000000007E-2</v>
      </c>
      <c r="G28" s="1296"/>
      <c r="H28" s="299"/>
      <c r="I28" s="300"/>
      <c r="J28" s="301"/>
      <c r="K28" s="318"/>
      <c r="L28" s="293" t="s">
        <v>763</v>
      </c>
      <c r="M28" s="303">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1" t="s">
        <v>401</v>
      </c>
      <c r="B29" s="1022" t="s">
        <v>764</v>
      </c>
      <c r="C29" s="1023">
        <f ca="1">ROUND((C19+C20+C23+C26)/(1-F21-C24-C27-C28),0)</f>
        <v>34</v>
      </c>
      <c r="D29" s="1024"/>
      <c r="E29" s="1022"/>
      <c r="F29" s="1025"/>
      <c r="G29" s="1296"/>
      <c r="H29" s="324" t="s">
        <v>396</v>
      </c>
      <c r="I29" s="325" t="s">
        <v>765</v>
      </c>
      <c r="J29" s="326">
        <f ca="1">ROUND(J26/(1+F40)^F41,0)</f>
        <v>0</v>
      </c>
      <c r="K29" s="327" t="s">
        <v>766</v>
      </c>
      <c r="L29" s="328"/>
      <c r="M29" s="329">
        <f ca="1">INDIRECT("'数据-取费表'!k"&amp;$G$1)</f>
        <v>52.93</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1" t="s">
        <v>393</v>
      </c>
      <c r="B30" s="1012" t="s">
        <v>711</v>
      </c>
      <c r="C30" s="301">
        <f ca="1">ROUND(C31+C36+C37+C38,0)</f>
        <v>0</v>
      </c>
      <c r="D30" s="1019" t="s">
        <v>712</v>
      </c>
      <c r="E30" s="1020"/>
      <c r="F30" s="1004"/>
      <c r="G30" s="1285"/>
      <c r="H30" s="2464"/>
      <c r="I30" s="1298"/>
      <c r="J30" s="1299"/>
      <c r="K30" s="120"/>
      <c r="L30" s="2465"/>
      <c r="M30" s="2466"/>
    </row>
    <row r="31" spans="1:37" ht="18" customHeight="1">
      <c r="A31" s="924" t="s">
        <v>398</v>
      </c>
      <c r="B31" s="293" t="s">
        <v>716</v>
      </c>
      <c r="C31" s="2133">
        <f ca="1">ROUND(IF(AND(项目基本情况!B11="自然人",项目基本情况!B10="北京市"),C6*F31/(1+'数据-取费表'!C42),C32+C33+C34),2)</f>
        <v>0.16</v>
      </c>
      <c r="D31" s="1250" t="s">
        <v>717</v>
      </c>
      <c r="E31" s="1249" t="s">
        <v>767</v>
      </c>
      <c r="F31" s="2132" t="str">
        <f>IF(项目基本情况!B11="企业","——",IF(M47="住宅",IF(F6*F7*F8/12/(1+'数据-取费表'!F30)&gt;100000,4%,2.5%),IF(F6*F7*F8/12/(1+'数据-取费表'!F30)&gt;100000,12%,7%)))</f>
        <v>——</v>
      </c>
      <c r="G31" s="1285"/>
      <c r="H31" s="2563" t="s">
        <v>2295</v>
      </c>
      <c r="I31" s="1298"/>
      <c r="J31" s="1299"/>
      <c r="K31" s="120"/>
      <c r="L31" s="2465"/>
      <c r="M31" s="2466"/>
    </row>
    <row r="32" spans="1:37" ht="18" customHeight="1">
      <c r="A32" s="924" t="s">
        <v>397</v>
      </c>
      <c r="B32" s="293" t="s">
        <v>720</v>
      </c>
      <c r="C32" s="21">
        <f ca="1">IF(项目基本情况!B11="自然人","——",ROUND(C6*F32/(1+'数据-取费表'!C42),2))</f>
        <v>0.05</v>
      </c>
      <c r="D32" s="1249" t="s">
        <v>721</v>
      </c>
      <c r="E32" s="293" t="s">
        <v>709</v>
      </c>
      <c r="F32" s="321">
        <f>'数据-取费表'!B41</f>
        <v>5.5000000000000007E-2</v>
      </c>
      <c r="G32" s="1285"/>
      <c r="H32" s="2464"/>
      <c r="I32" s="1298"/>
      <c r="J32" s="1299"/>
      <c r="K32" s="120"/>
      <c r="L32" s="2465"/>
      <c r="M32" s="2466"/>
    </row>
    <row r="33" spans="1:18" ht="18" customHeight="1">
      <c r="A33" s="924" t="s">
        <v>399</v>
      </c>
      <c r="B33" s="293" t="s">
        <v>724</v>
      </c>
      <c r="C33" s="21">
        <f ca="1">IF(项目基本情况!B11="自然人","——",IF(D33="按租金收入计税",ROUND(C6*F33/(1+'数据-取费表'!C42),2),IF(D33="按房产原值计税",ROUND(C29*F33*0.7,2),INDIRECT("'数据-取费表'!Aj"&amp;$G$1))))</f>
        <v>0.11</v>
      </c>
      <c r="D33" s="1271" t="s">
        <v>3324</v>
      </c>
      <c r="E33" s="293" t="s">
        <v>709</v>
      </c>
      <c r="F33" s="313">
        <f>IF(D33="按票据","——",IF(D33="按租金收入计税",'数据-取费表'!B51,'数据-取费表'!B50))</f>
        <v>0.12</v>
      </c>
      <c r="G33" s="1285"/>
      <c r="H33" s="2467"/>
      <c r="I33" s="1298"/>
      <c r="J33" s="1299"/>
      <c r="K33" s="2468"/>
      <c r="L33" s="2467"/>
      <c r="M33" s="2467"/>
    </row>
    <row r="34" spans="1:18" ht="18" customHeight="1">
      <c r="A34" s="1001" t="s">
        <v>677</v>
      </c>
      <c r="B34" s="146" t="s">
        <v>727</v>
      </c>
      <c r="C34" s="22">
        <f ca="1">IF(项目基本情况!B11="自然人","——",ROUND(F34*F35/10000,2))</f>
        <v>0</v>
      </c>
      <c r="D34" s="315" t="s">
        <v>728</v>
      </c>
      <c r="E34" s="293" t="s">
        <v>729</v>
      </c>
      <c r="F34" s="316">
        <f>'数据-取费表'!B52</f>
        <v>1.5</v>
      </c>
      <c r="G34" s="1285"/>
      <c r="H34" s="2464"/>
      <c r="I34" s="1298"/>
      <c r="J34" s="1299"/>
      <c r="K34" s="2469"/>
      <c r="L34" s="2470"/>
      <c r="M34" s="2470"/>
    </row>
    <row r="35" spans="1:18" ht="18" customHeight="1">
      <c r="A35" s="1035"/>
      <c r="B35" s="1033"/>
      <c r="C35" s="26"/>
      <c r="D35" s="318"/>
      <c r="E35" s="293" t="s">
        <v>733</v>
      </c>
      <c r="F35" s="294">
        <f ca="1">INDIRECT("'数据-取费表'!r"&amp;$G$1)</f>
        <v>6.53</v>
      </c>
      <c r="G35" s="1285"/>
      <c r="H35" s="2464"/>
      <c r="I35" s="1298"/>
      <c r="J35" s="1299"/>
      <c r="K35" s="2468"/>
      <c r="L35" s="2467"/>
      <c r="M35" s="2467"/>
    </row>
    <row r="36" spans="1:18" ht="18" customHeight="1">
      <c r="A36" s="1034" t="s">
        <v>402</v>
      </c>
      <c r="B36" s="293" t="s">
        <v>735</v>
      </c>
      <c r="C36" s="21">
        <f ca="1">ROUND(C29*F36,2)</f>
        <v>7.0000000000000007E-2</v>
      </c>
      <c r="D36" s="1249" t="s">
        <v>768</v>
      </c>
      <c r="E36" s="293" t="s">
        <v>709</v>
      </c>
      <c r="F36" s="319">
        <f ca="1">INDIRECT("'数据-取费表'!Ak"&amp;$G$1)</f>
        <v>2E-3</v>
      </c>
      <c r="G36" s="1285"/>
      <c r="H36" s="2467"/>
      <c r="I36" s="1298"/>
      <c r="J36" s="1299"/>
      <c r="K36" s="2324"/>
      <c r="L36" s="2467"/>
      <c r="M36" s="2467"/>
    </row>
    <row r="37" spans="1:18" ht="18" customHeight="1">
      <c r="A37" s="924" t="s">
        <v>437</v>
      </c>
      <c r="B37" s="293" t="s">
        <v>739</v>
      </c>
      <c r="C37" s="21">
        <f ca="1">ROUND(C13*F37,2)</f>
        <v>0.03</v>
      </c>
      <c r="D37" s="1249" t="s">
        <v>740</v>
      </c>
      <c r="E37" s="293" t="s">
        <v>709</v>
      </c>
      <c r="F37" s="320">
        <f ca="1">INDIRECT("'数据-取费表'!Al"&amp;$G$1)</f>
        <v>1E-3</v>
      </c>
      <c r="G37" s="1285"/>
      <c r="H37" s="2467"/>
      <c r="I37" s="1298"/>
      <c r="J37" s="1299"/>
      <c r="K37" s="2324"/>
      <c r="L37" s="2467"/>
      <c r="M37" s="2467"/>
    </row>
    <row r="38" spans="1:18" ht="18" customHeight="1" thickBot="1">
      <c r="A38" s="1021" t="s">
        <v>680</v>
      </c>
      <c r="B38" s="1022" t="s">
        <v>725</v>
      </c>
      <c r="C38" s="1023">
        <f ca="1">ROUND(C5*F38,2)</f>
        <v>0.01</v>
      </c>
      <c r="D38" s="1024" t="s">
        <v>745</v>
      </c>
      <c r="E38" s="1022" t="s">
        <v>709</v>
      </c>
      <c r="F38" s="1018">
        <f ca="1">INDIRECT("'数据-取费表'!Am"&amp;$G$1)</f>
        <v>5.0000000000000001E-3</v>
      </c>
      <c r="G38" s="1285"/>
      <c r="H38" s="2467"/>
      <c r="I38" s="1298"/>
      <c r="J38" s="1299"/>
      <c r="K38" s="2465"/>
      <c r="L38" s="2467"/>
      <c r="M38" s="2467"/>
    </row>
    <row r="39" spans="1:18" ht="24.6" customHeight="1" thickTop="1">
      <c r="A39" s="1011" t="s">
        <v>394</v>
      </c>
      <c r="B39" s="1026" t="s">
        <v>749</v>
      </c>
      <c r="C39" s="301">
        <f ca="1">C5-C30</f>
        <v>1</v>
      </c>
      <c r="D39" s="1027" t="s">
        <v>750</v>
      </c>
      <c r="E39" s="1028"/>
      <c r="F39" s="1029"/>
      <c r="G39" s="1285"/>
      <c r="H39" s="2467"/>
      <c r="I39" s="1298"/>
      <c r="J39" s="1299"/>
      <c r="K39" s="2465"/>
      <c r="L39" s="2467"/>
      <c r="M39" s="2467"/>
    </row>
    <row r="40" spans="1:18" ht="18" customHeight="1">
      <c r="A40" s="290" t="s">
        <v>395</v>
      </c>
      <c r="B40" s="291" t="s">
        <v>771</v>
      </c>
      <c r="C40" s="292">
        <f ca="1">ROUND(C39*(1-((1+F42)/(1+F40))^F41)/(F40-F42),0)</f>
        <v>20</v>
      </c>
      <c r="D40" s="315" t="s">
        <v>755</v>
      </c>
      <c r="E40" s="293" t="s">
        <v>756</v>
      </c>
      <c r="F40" s="303">
        <f ca="1">INDIRECT("'数据-取费表'!I"&amp;$G$1)</f>
        <v>5.5E-2</v>
      </c>
      <c r="G40" s="1285"/>
      <c r="H40" s="1359"/>
      <c r="I40" s="1298"/>
      <c r="J40" s="1299"/>
      <c r="K40" s="2465"/>
      <c r="L40" s="1359"/>
      <c r="M40" s="1359"/>
    </row>
    <row r="41" spans="1:18" ht="18" customHeight="1">
      <c r="A41" s="295"/>
      <c r="B41" s="296"/>
      <c r="C41" s="297"/>
      <c r="D41" s="322" t="s">
        <v>772</v>
      </c>
      <c r="E41" s="293" t="s">
        <v>760</v>
      </c>
      <c r="F41" s="323">
        <f ca="1">IF(INDIRECT("'数据-取费表'!af"&amp;$G$1)=0,INDIRECT("'数据-取费表'!ae"&amp;$G$1),INDIRECT("'数据-取费表'!af"&amp;$G$1))</f>
        <v>41.47</v>
      </c>
      <c r="G41" s="1285"/>
      <c r="H41" s="120"/>
      <c r="I41" s="1298"/>
      <c r="J41" s="1299"/>
      <c r="K41" s="2324"/>
      <c r="L41" s="120"/>
      <c r="M41" s="120"/>
    </row>
    <row r="42" spans="1:18" ht="18" customHeight="1">
      <c r="A42" s="299"/>
      <c r="B42" s="300"/>
      <c r="C42" s="301"/>
      <c r="D42" s="318"/>
      <c r="E42" s="293" t="s">
        <v>763</v>
      </c>
      <c r="F42" s="303">
        <f ca="1">INDIRECT("'数据-取费表'!v"&amp;$G$1)</f>
        <v>1.4999999999999999E-2</v>
      </c>
      <c r="G42" s="1285"/>
      <c r="H42" s="120"/>
      <c r="I42" s="1298"/>
      <c r="J42" s="1299"/>
      <c r="K42" s="2324"/>
      <c r="L42" s="120"/>
      <c r="M42" s="120"/>
    </row>
    <row r="43" spans="1:18" ht="18" customHeight="1" thickBot="1">
      <c r="A43" s="324" t="s">
        <v>396</v>
      </c>
      <c r="B43" s="325" t="s">
        <v>773</v>
      </c>
      <c r="C43" s="326">
        <f ca="1">ROUND(C40*10000/F43,0)</f>
        <v>3779</v>
      </c>
      <c r="D43" s="327" t="s">
        <v>774</v>
      </c>
      <c r="E43" s="328" t="s">
        <v>775</v>
      </c>
      <c r="F43" s="329">
        <f ca="1">INDIRECT("'数据-取费表'!k"&amp;$G$1)</f>
        <v>52.93</v>
      </c>
      <c r="G43" s="1285"/>
      <c r="H43" s="120"/>
      <c r="I43" s="120"/>
      <c r="J43" s="120"/>
      <c r="K43" s="2324"/>
      <c r="L43" s="120"/>
      <c r="M43" s="120"/>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3"/>
      <c r="O45" s="2471" t="s">
        <v>805</v>
      </c>
      <c r="P45" s="1359"/>
      <c r="Q45" s="1359"/>
      <c r="R45" s="1359"/>
    </row>
    <row r="46" spans="1:18" s="1285" customFormat="1" ht="13.5" thickBot="1">
      <c r="A46" s="1304" t="s">
        <v>806</v>
      </c>
      <c r="C46" s="1305">
        <f ca="1">C68-C40</f>
        <v>-20</v>
      </c>
      <c r="D46" s="1306" t="str">
        <f>C2</f>
        <v>万元</v>
      </c>
      <c r="E46" s="1300"/>
      <c r="F46" s="1300"/>
      <c r="I46" s="1307" t="s">
        <v>807</v>
      </c>
      <c r="J46" s="1308"/>
      <c r="K46" s="1309"/>
      <c r="L46" s="1310">
        <f ca="1">IF(M47="住宅",0,IF(L48&gt;J51,L60,J60))</f>
        <v>1</v>
      </c>
      <c r="O46" s="1311" t="s">
        <v>808</v>
      </c>
      <c r="P46" s="1312" t="s">
        <v>809</v>
      </c>
      <c r="Q46" s="1313" t="s">
        <v>810</v>
      </c>
      <c r="R46" s="1313" t="s">
        <v>811</v>
      </c>
    </row>
    <row r="47" spans="1:18" s="1285" customFormat="1" ht="13.5" thickBot="1">
      <c r="A47" s="888" t="s">
        <v>684</v>
      </c>
      <c r="B47" s="920" t="s">
        <v>685</v>
      </c>
      <c r="C47" s="1049" t="s">
        <v>686</v>
      </c>
      <c r="D47" s="920" t="s">
        <v>687</v>
      </c>
      <c r="E47" s="990" t="s">
        <v>688</v>
      </c>
      <c r="F47" s="991"/>
      <c r="G47" s="679"/>
      <c r="I47" s="1314" t="s">
        <v>812</v>
      </c>
      <c r="J47" s="1315" t="s">
        <v>4184</v>
      </c>
      <c r="K47" s="1316" t="s">
        <v>813</v>
      </c>
      <c r="L47" s="1317">
        <f ca="1">INDIRECT("'数据-取费表'!d"&amp;$G$1)</f>
        <v>50</v>
      </c>
      <c r="M47" s="1281" t="str">
        <f>IF(ISNUMBER(FIND("住宅",C1)),"住宅","非住宅")</f>
        <v>非住宅</v>
      </c>
      <c r="O47" s="1318" t="s">
        <v>403</v>
      </c>
      <c r="P47" s="1319" t="s">
        <v>814</v>
      </c>
      <c r="Q47" s="1320">
        <f ca="1">C40+J29</f>
        <v>20</v>
      </c>
      <c r="R47" s="1320" t="s">
        <v>815</v>
      </c>
    </row>
    <row r="48" spans="1:18" s="1285" customFormat="1" ht="28.5" thickBot="1">
      <c r="A48" s="1042" t="s">
        <v>438</v>
      </c>
      <c r="B48" s="291" t="s">
        <v>689</v>
      </c>
      <c r="C48" s="1261">
        <f ca="1">C49+C53+C55</f>
        <v>0</v>
      </c>
      <c r="D48" s="1044"/>
      <c r="E48" s="1045"/>
      <c r="F48" s="904"/>
      <c r="G48" s="679"/>
      <c r="H48" s="680"/>
      <c r="I48" s="1321" t="s">
        <v>816</v>
      </c>
      <c r="J48" s="1322" t="s">
        <v>4185</v>
      </c>
      <c r="K48" s="1323" t="s">
        <v>817</v>
      </c>
      <c r="L48" s="1324">
        <f ca="1">INDIRECT("'数据-取费表'!f"&amp;$G$1)</f>
        <v>41.47</v>
      </c>
      <c r="O48" s="1318" t="s">
        <v>404</v>
      </c>
      <c r="P48" s="1319" t="s">
        <v>818</v>
      </c>
      <c r="Q48" s="1320">
        <f ca="1">J60</f>
        <v>1</v>
      </c>
      <c r="R48" s="1320" t="s">
        <v>819</v>
      </c>
    </row>
    <row r="49" spans="1:18" s="1285" customFormat="1" ht="13.5" thickBot="1">
      <c r="A49" s="917" t="s">
        <v>439</v>
      </c>
      <c r="B49" s="1272" t="s">
        <v>776</v>
      </c>
      <c r="C49" s="1046">
        <f ca="1">ROUND(F49*F51*F50*(1-F52)/10000,0)</f>
        <v>0</v>
      </c>
      <c r="D49" s="987" t="s">
        <v>2104</v>
      </c>
      <c r="E49" s="1273" t="s">
        <v>777</v>
      </c>
      <c r="F49" s="992"/>
      <c r="H49" s="680"/>
      <c r="I49" s="1321" t="s">
        <v>820</v>
      </c>
      <c r="J49" s="1325">
        <v>2023</v>
      </c>
      <c r="K49" s="1323" t="s">
        <v>821</v>
      </c>
      <c r="L49" s="1326"/>
      <c r="O49" s="1327" t="s">
        <v>405</v>
      </c>
      <c r="P49" s="1319" t="s">
        <v>822</v>
      </c>
      <c r="Q49" s="1320">
        <f ca="1">C29</f>
        <v>34</v>
      </c>
      <c r="R49" s="1320" t="s">
        <v>815</v>
      </c>
    </row>
    <row r="50" spans="1:18" s="1285" customFormat="1" ht="13.5" thickBot="1">
      <c r="A50" s="918"/>
      <c r="B50" s="921"/>
      <c r="C50" s="1050"/>
      <c r="D50" s="895"/>
      <c r="E50" s="988" t="s">
        <v>694</v>
      </c>
      <c r="F50" s="989">
        <f ca="1">F7</f>
        <v>1</v>
      </c>
      <c r="H50" s="680"/>
      <c r="I50" s="1321" t="s">
        <v>823</v>
      </c>
      <c r="J50" s="1328">
        <f>SUMPRODUCT((I63:I65=J47)*(J62:L62=J48)*(J63:L65))</f>
        <v>60</v>
      </c>
      <c r="K50" s="1323" t="s">
        <v>824</v>
      </c>
      <c r="L50" s="1326"/>
      <c r="M50" s="1329"/>
      <c r="O50" s="1327" t="s">
        <v>406</v>
      </c>
      <c r="P50" s="1319" t="s">
        <v>825</v>
      </c>
      <c r="Q50" s="1330">
        <f ca="1">J58</f>
        <v>0.4</v>
      </c>
      <c r="R50" s="1320"/>
    </row>
    <row r="51" spans="1:18" s="1285" customFormat="1" ht="13.5" thickBot="1">
      <c r="A51" s="919"/>
      <c r="B51" s="921"/>
      <c r="C51" s="922"/>
      <c r="D51" s="895"/>
      <c r="E51" s="923" t="s">
        <v>695</v>
      </c>
      <c r="F51" s="294">
        <f ca="1">F8</f>
        <v>12</v>
      </c>
      <c r="I51" s="1331" t="s">
        <v>826</v>
      </c>
      <c r="J51" s="1324">
        <f>IF(J49="",J50,J49+J50-YEAR('数据-取费表'!B2))</f>
        <v>59</v>
      </c>
      <c r="K51" s="1332" t="s">
        <v>827</v>
      </c>
      <c r="L51" s="1333">
        <f ca="1">ROUND(-PV(INDIRECT("'数据-取费表'!h"&amp;$G$1),J51,(C39-C13*C76),0),0)</f>
        <v>-25</v>
      </c>
      <c r="M51" s="1334"/>
      <c r="O51" s="1327" t="s">
        <v>407</v>
      </c>
      <c r="P51" s="1319" t="s">
        <v>828</v>
      </c>
      <c r="Q51" s="1330">
        <f>J52</f>
        <v>7.4999999999999997E-2</v>
      </c>
      <c r="R51" s="1320"/>
    </row>
    <row r="52" spans="1:18" s="1285" customFormat="1" ht="13.5" thickBot="1">
      <c r="A52" s="919"/>
      <c r="B52" s="921"/>
      <c r="C52" s="922"/>
      <c r="D52" s="895"/>
      <c r="E52" s="923" t="s">
        <v>696</v>
      </c>
      <c r="F52" s="986"/>
      <c r="I52" s="1335" t="s">
        <v>829</v>
      </c>
      <c r="J52" s="1336">
        <v>7.4999999999999997E-2</v>
      </c>
      <c r="K52" s="1335" t="s">
        <v>830</v>
      </c>
      <c r="L52" s="1336"/>
      <c r="O52" s="1327" t="s">
        <v>408</v>
      </c>
      <c r="P52" s="1319" t="s">
        <v>831</v>
      </c>
      <c r="Q52" s="1320">
        <f ca="1">J53</f>
        <v>41.47</v>
      </c>
      <c r="R52" s="1320" t="s">
        <v>832</v>
      </c>
    </row>
    <row r="53" spans="1:18" s="1285" customFormat="1" ht="24.75" thickBot="1">
      <c r="A53" s="1074" t="s">
        <v>440</v>
      </c>
      <c r="B53" s="1274" t="s">
        <v>697</v>
      </c>
      <c r="C53" s="307">
        <f ca="1">ROUND(IF(F53="押一",C49/12*F11,IF(F53="押二",C49/12*2*F11,IF(F53="押三",C49/12*3*F11,C54*F11))),0)</f>
        <v>0</v>
      </c>
      <c r="D53" s="149" t="s">
        <v>2112</v>
      </c>
      <c r="E53" s="304" t="s">
        <v>698</v>
      </c>
      <c r="F53" s="1048"/>
      <c r="I53" s="1337" t="s">
        <v>833</v>
      </c>
      <c r="J53" s="1999">
        <f ca="1">IF(M47="住宅",IF(D1="——",MAX(J51,L48),MAX(J51,L48-'数据-取费表'!B24)),IF(D1="——",MIN(J51,L48),MIN(J51,L48-'数据-取费表'!B24)))</f>
        <v>41.47</v>
      </c>
      <c r="K53" s="3407" t="s">
        <v>834</v>
      </c>
      <c r="L53" s="3408"/>
      <c r="O53" s="1318" t="s">
        <v>409</v>
      </c>
      <c r="P53" s="1319" t="s">
        <v>835</v>
      </c>
      <c r="Q53" s="1320">
        <f ca="1">Q47+Q48</f>
        <v>21</v>
      </c>
      <c r="R53" s="1320" t="s">
        <v>410</v>
      </c>
    </row>
    <row r="54" spans="1:18" s="1285" customFormat="1" ht="13.5" thickBot="1">
      <c r="A54" s="1075"/>
      <c r="B54" s="1268" t="s">
        <v>676</v>
      </c>
      <c r="C54" s="901"/>
      <c r="D54" s="149"/>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836</v>
      </c>
      <c r="P54" s="1282"/>
      <c r="Q54" s="1282"/>
      <c r="R54" s="1282"/>
    </row>
    <row r="55" spans="1:18" s="1285" customFormat="1" ht="13.5" thickBot="1">
      <c r="A55" s="1015" t="s">
        <v>437</v>
      </c>
      <c r="B55" s="1270" t="s">
        <v>700</v>
      </c>
      <c r="C55" s="1016"/>
      <c r="D55" s="149"/>
      <c r="E55" s="1275"/>
      <c r="F55" s="1338"/>
      <c r="I55" s="1341" t="s">
        <v>837</v>
      </c>
      <c r="J55" s="1342">
        <f ca="1">ROUND(IF(J47="钢混",J57/J50,1-(1-2%)*(J50-J57)/J50),3)</f>
        <v>0.29199999999999998</v>
      </c>
      <c r="K55" s="1343" t="s">
        <v>838</v>
      </c>
      <c r="L55" s="1344"/>
      <c r="O55" s="1311" t="s">
        <v>808</v>
      </c>
      <c r="P55" s="1312" t="s">
        <v>809</v>
      </c>
      <c r="Q55" s="1313" t="s">
        <v>810</v>
      </c>
      <c r="R55" s="1313" t="s">
        <v>811</v>
      </c>
    </row>
    <row r="56" spans="1:18" s="1285" customFormat="1" ht="25.5" thickTop="1" thickBot="1">
      <c r="A56" s="899">
        <v>2</v>
      </c>
      <c r="B56" s="900" t="s">
        <v>701</v>
      </c>
      <c r="C56" s="223">
        <f ca="1">C13</f>
        <v>33</v>
      </c>
      <c r="D56" s="1345"/>
      <c r="E56" s="1346"/>
      <c r="F56" s="1338"/>
      <c r="I56" s="1347" t="s">
        <v>839</v>
      </c>
      <c r="J56" s="1348" t="s">
        <v>4156</v>
      </c>
      <c r="K56" s="1321" t="s">
        <v>840</v>
      </c>
      <c r="L56" s="1324" t="str">
        <f ca="1">IF(L48&lt;J51,"——",L48-J53)</f>
        <v>——</v>
      </c>
      <c r="O56" s="1318" t="s">
        <v>403</v>
      </c>
      <c r="P56" s="1319" t="s">
        <v>814</v>
      </c>
      <c r="Q56" s="1320">
        <f ca="1">C40+J29</f>
        <v>20</v>
      </c>
      <c r="R56" s="1320" t="s">
        <v>815</v>
      </c>
    </row>
    <row r="57" spans="1:18" s="1285" customFormat="1" ht="24.75" thickBot="1">
      <c r="A57" s="1349"/>
      <c r="B57" s="892" t="s">
        <v>764</v>
      </c>
      <c r="C57" s="229">
        <f ca="1">C29</f>
        <v>34</v>
      </c>
      <c r="D57" s="1350"/>
      <c r="E57" s="1351"/>
      <c r="F57" s="1352"/>
      <c r="I57" s="1353" t="s">
        <v>841</v>
      </c>
      <c r="J57" s="1354">
        <f ca="1">IF(OR(M47="住宅",J51&lt;L48,J56="是"),"——",J51-L48)</f>
        <v>17.53</v>
      </c>
      <c r="K57" s="1321" t="s">
        <v>842</v>
      </c>
      <c r="L57" s="1324" t="str">
        <f ca="1">IF(L48&lt;J51,"——",IF(L55="比较法",L49,IF(L55="基准地价",L50,L51)))</f>
        <v>——</v>
      </c>
      <c r="O57" s="1318" t="s">
        <v>404</v>
      </c>
      <c r="P57" s="1319" t="s">
        <v>843</v>
      </c>
      <c r="Q57" s="1320">
        <f ca="1">L60</f>
        <v>0</v>
      </c>
      <c r="R57" s="1320" t="s">
        <v>844</v>
      </c>
    </row>
    <row r="58" spans="1:18" s="1285" customFormat="1" ht="24.75" thickBot="1">
      <c r="A58" s="306" t="s">
        <v>393</v>
      </c>
      <c r="B58" s="900" t="s">
        <v>711</v>
      </c>
      <c r="C58" s="307">
        <f ca="1">ROUND(C59+C64+C65+C66,0)</f>
        <v>0</v>
      </c>
      <c r="D58" s="902" t="s">
        <v>712</v>
      </c>
      <c r="E58" s="903"/>
      <c r="F58" s="904"/>
      <c r="I58" s="1353" t="s">
        <v>845</v>
      </c>
      <c r="J58" s="1355">
        <f ca="1">IF(J55&lt;0.4,0.4,J55)</f>
        <v>0.4</v>
      </c>
      <c r="K58" s="1332" t="s">
        <v>846</v>
      </c>
      <c r="L58" s="1324" t="e">
        <f ca="1">ROUND(POWER(1+L52,L47-L48)*(POWER(1+L52,L48)-1)/(POWER(1+L52,L47)-1),4)</f>
        <v>#DIV/0!</v>
      </c>
      <c r="O58" s="1327" t="s">
        <v>405</v>
      </c>
      <c r="P58" s="1319" t="s">
        <v>847</v>
      </c>
      <c r="Q58" s="1320">
        <f>IF(L55="比较法",L49,IF(L55="基准地价",L50,0))</f>
        <v>0</v>
      </c>
      <c r="R58" s="1320" t="s">
        <v>815</v>
      </c>
    </row>
    <row r="59" spans="1:18" s="1285" customFormat="1" ht="24.75" thickBot="1">
      <c r="A59" s="924" t="s">
        <v>398</v>
      </c>
      <c r="B59" s="892" t="s">
        <v>716</v>
      </c>
      <c r="C59" s="2133">
        <f ca="1">ROUND(IF(AND(项目基本情况!B11="自然人",项目基本情况!B10="北京市"),C49*F59/(1+'数据-取费表'!C42),C60+C61+C62),0)</f>
        <v>0</v>
      </c>
      <c r="D59" s="905" t="s">
        <v>717</v>
      </c>
      <c r="E59" s="906" t="s">
        <v>718</v>
      </c>
      <c r="F59" s="2132" t="str">
        <f>IF(项目基本情况!B11="企业","——",IF('数据-取费表'!B10="住宅",IF(F49*F50*F51/12/(1+'数据-取费表'!F30)&gt;100000,4%,2.5%),IF(F49*F50*F51/12/(1+'数据-取费表'!F30)&gt;100000,12%,7%)))</f>
        <v>——</v>
      </c>
      <c r="I59" s="1353" t="s">
        <v>848</v>
      </c>
      <c r="J59" s="1354">
        <f ca="1">IF(OR(M47="住宅",J51&lt;L48,J56="是"),"——",ROUND(C29*J58,0))</f>
        <v>14</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849</v>
      </c>
      <c r="Q59" s="1330">
        <f>L52</f>
        <v>0</v>
      </c>
      <c r="R59" s="1320"/>
    </row>
    <row r="60" spans="1:18" s="1285" customFormat="1" ht="16.5" thickBot="1">
      <c r="A60" s="924" t="s">
        <v>397</v>
      </c>
      <c r="B60" s="892" t="s">
        <v>720</v>
      </c>
      <c r="C60" s="21">
        <f ca="1">IF(项目基本情况!B11="自然人","——",ROUND(C48*F60/(1+'数据-取费表'!C42),2))</f>
        <v>0</v>
      </c>
      <c r="D60" s="906" t="s">
        <v>721</v>
      </c>
      <c r="E60" s="892" t="s">
        <v>709</v>
      </c>
      <c r="F60" s="321">
        <f t="shared" ref="F60:F66" si="0">F32</f>
        <v>5.5000000000000007E-2</v>
      </c>
      <c r="I60" s="1356" t="s">
        <v>850</v>
      </c>
      <c r="J60" s="1357">
        <f ca="1">IF(OR(M47="住宅",J51&lt;L48,J56="是"),"0",ROUND(J59/(1+J52)^J53,0))</f>
        <v>1</v>
      </c>
      <c r="K60" s="1358" t="s">
        <v>851</v>
      </c>
      <c r="L60" s="1357">
        <f ca="1">IF(OR(M47="住宅",L48&lt;J51),0,ROUND(L57*(L58/L59-1),0))</f>
        <v>0</v>
      </c>
      <c r="O60" s="1327" t="s">
        <v>407</v>
      </c>
      <c r="P60" s="1319" t="s">
        <v>852</v>
      </c>
      <c r="Q60" s="1320" t="e">
        <f ca="1">L58</f>
        <v>#DIV/0!</v>
      </c>
      <c r="R60" s="1320" t="s">
        <v>853</v>
      </c>
    </row>
    <row r="61" spans="1:18" s="1285" customFormat="1" ht="13.5" thickBot="1">
      <c r="A61" s="924" t="s">
        <v>778</v>
      </c>
      <c r="B61" s="892" t="s">
        <v>724</v>
      </c>
      <c r="C61" s="21">
        <f ca="1">IF(项目基本情况!B11="自然人","——",IF(D61="按租金收入计税",ROUND(C49*F61/(1+'数据-取费表'!C42),2),IF(D61="按房产原值计税",ROUND(C57*F61*0.7,2),INDIRECT("'数据-取费表'!Aj"&amp;$G$1))))</f>
        <v>0</v>
      </c>
      <c r="D61" s="1271" t="s">
        <v>3324</v>
      </c>
      <c r="E61" s="892" t="s">
        <v>709</v>
      </c>
      <c r="F61" s="313">
        <f t="shared" si="0"/>
        <v>0.12</v>
      </c>
      <c r="I61" s="1359"/>
      <c r="J61" s="1359"/>
      <c r="K61" s="1359"/>
      <c r="L61" s="1359"/>
      <c r="O61" s="1327" t="s">
        <v>408</v>
      </c>
      <c r="P61" s="1319" t="str">
        <f>K59</f>
        <v>建筑物剩余耐用年限下的土地年期修正系数Kn</v>
      </c>
      <c r="Q61" s="1320" t="e">
        <f ca="1">L59</f>
        <v>#DIV/0!</v>
      </c>
      <c r="R61" s="1320" t="s">
        <v>854</v>
      </c>
    </row>
    <row r="62" spans="1:18" s="1285" customFormat="1" ht="13.5" thickBot="1">
      <c r="A62" s="924" t="s">
        <v>781</v>
      </c>
      <c r="B62" s="891" t="s">
        <v>727</v>
      </c>
      <c r="C62" s="22">
        <f ca="1">IF(项目基本情况!B11="自然人","——",ROUND(F62*F63/10000,2))</f>
        <v>0</v>
      </c>
      <c r="D62" s="907" t="s">
        <v>728</v>
      </c>
      <c r="E62" s="892" t="s">
        <v>729</v>
      </c>
      <c r="F62" s="316">
        <f t="shared" si="0"/>
        <v>1.5</v>
      </c>
      <c r="I62" s="1360" t="s">
        <v>855</v>
      </c>
      <c r="J62" s="608" t="s">
        <v>856</v>
      </c>
      <c r="K62" s="608" t="s">
        <v>857</v>
      </c>
      <c r="L62" s="608" t="s">
        <v>858</v>
      </c>
      <c r="M62" s="1361" t="s">
        <v>859</v>
      </c>
      <c r="O62" s="1318" t="s">
        <v>409</v>
      </c>
      <c r="P62" s="1319" t="s">
        <v>835</v>
      </c>
      <c r="Q62" s="1320">
        <f ca="1">Q56+Q57</f>
        <v>20</v>
      </c>
      <c r="R62" s="1320" t="s">
        <v>410</v>
      </c>
    </row>
    <row r="63" spans="1:18" s="1285" customFormat="1" ht="13.5" thickBot="1">
      <c r="A63" s="317"/>
      <c r="B63" s="898"/>
      <c r="C63" s="26"/>
      <c r="D63" s="908"/>
      <c r="E63" s="892" t="s">
        <v>733</v>
      </c>
      <c r="F63" s="294">
        <f t="shared" ca="1" si="0"/>
        <v>6.53</v>
      </c>
      <c r="I63" s="1360" t="s">
        <v>861</v>
      </c>
      <c r="J63" s="608">
        <v>70</v>
      </c>
      <c r="K63" s="608">
        <v>50</v>
      </c>
      <c r="L63" s="608">
        <v>80</v>
      </c>
      <c r="M63" s="1362">
        <v>0.02</v>
      </c>
      <c r="O63" s="1303" t="s">
        <v>862</v>
      </c>
      <c r="P63" s="1282"/>
      <c r="Q63" s="1282"/>
      <c r="R63" s="1282"/>
    </row>
    <row r="64" spans="1:18" s="1285" customFormat="1" ht="13.5" thickBot="1">
      <c r="A64" s="924" t="s">
        <v>402</v>
      </c>
      <c r="B64" s="892" t="s">
        <v>735</v>
      </c>
      <c r="C64" s="21">
        <f ca="1">ROUND(C57*F64,2)</f>
        <v>7.0000000000000007E-2</v>
      </c>
      <c r="D64" s="906" t="s">
        <v>768</v>
      </c>
      <c r="E64" s="892" t="s">
        <v>709</v>
      </c>
      <c r="F64" s="319">
        <f t="shared" ca="1" si="0"/>
        <v>2E-3</v>
      </c>
      <c r="I64" s="1360" t="s">
        <v>863</v>
      </c>
      <c r="J64" s="608">
        <v>50</v>
      </c>
      <c r="K64" s="608">
        <v>35</v>
      </c>
      <c r="L64" s="608">
        <v>60</v>
      </c>
      <c r="M64" s="1361">
        <v>0</v>
      </c>
      <c r="O64" s="1311" t="s">
        <v>808</v>
      </c>
      <c r="P64" s="1312" t="s">
        <v>809</v>
      </c>
      <c r="Q64" s="1313" t="s">
        <v>810</v>
      </c>
      <c r="R64" s="1313" t="s">
        <v>811</v>
      </c>
    </row>
    <row r="65" spans="1:18" s="1285" customFormat="1" ht="13.5" thickBot="1">
      <c r="A65" s="924" t="s">
        <v>789</v>
      </c>
      <c r="B65" s="892" t="s">
        <v>739</v>
      </c>
      <c r="C65" s="21">
        <f ca="1">ROUND(C56*F65,2)</f>
        <v>0.03</v>
      </c>
      <c r="D65" s="906" t="s">
        <v>740</v>
      </c>
      <c r="E65" s="892" t="s">
        <v>709</v>
      </c>
      <c r="F65" s="320">
        <f t="shared" ca="1" si="0"/>
        <v>1E-3</v>
      </c>
      <c r="I65" s="1360" t="s">
        <v>864</v>
      </c>
      <c r="J65" s="608">
        <v>40</v>
      </c>
      <c r="K65" s="608">
        <v>30</v>
      </c>
      <c r="L65" s="608">
        <v>50</v>
      </c>
      <c r="M65" s="1362">
        <v>0.02</v>
      </c>
      <c r="O65" s="1318" t="s">
        <v>403</v>
      </c>
      <c r="P65" s="1319" t="s">
        <v>814</v>
      </c>
      <c r="Q65" s="1320">
        <f ca="1">C40+J29</f>
        <v>20</v>
      </c>
      <c r="R65" s="1320" t="s">
        <v>815</v>
      </c>
    </row>
    <row r="66" spans="1:18" s="1285" customFormat="1" ht="16.5" thickBot="1">
      <c r="A66" s="924" t="s">
        <v>790</v>
      </c>
      <c r="B66" s="892" t="s">
        <v>725</v>
      </c>
      <c r="C66" s="21">
        <f ca="1">ROUND(C48*F66,2)</f>
        <v>0</v>
      </c>
      <c r="D66" s="906" t="s">
        <v>745</v>
      </c>
      <c r="E66" s="892" t="s">
        <v>709</v>
      </c>
      <c r="F66" s="303">
        <f t="shared" ca="1" si="0"/>
        <v>5.0000000000000001E-3</v>
      </c>
      <c r="O66" s="1318" t="s">
        <v>404</v>
      </c>
      <c r="P66" s="1319" t="s">
        <v>843</v>
      </c>
      <c r="Q66" s="1320">
        <f ca="1">L60</f>
        <v>0</v>
      </c>
      <c r="R66" s="1320" t="s">
        <v>866</v>
      </c>
    </row>
    <row r="67" spans="1:18" s="1285" customFormat="1" ht="16.5" thickBot="1">
      <c r="A67" s="899" t="s">
        <v>394</v>
      </c>
      <c r="B67" s="909" t="s">
        <v>749</v>
      </c>
      <c r="C67" s="307">
        <f ca="1">C48-C58</f>
        <v>0</v>
      </c>
      <c r="D67" s="905" t="s">
        <v>750</v>
      </c>
      <c r="E67" s="910"/>
      <c r="F67" s="911"/>
      <c r="O67" s="1327" t="s">
        <v>405</v>
      </c>
      <c r="P67" s="1319" t="s">
        <v>847</v>
      </c>
      <c r="Q67" s="1363">
        <f ca="1">L51</f>
        <v>-25</v>
      </c>
      <c r="R67" s="1320" t="s">
        <v>867</v>
      </c>
    </row>
    <row r="68" spans="1:18" s="1285" customFormat="1" ht="16.5" thickBot="1">
      <c r="A68" s="889" t="s">
        <v>395</v>
      </c>
      <c r="B68" s="890" t="s">
        <v>771</v>
      </c>
      <c r="C68" s="292">
        <f ca="1">ROUND(C67*(1-((1+F70)/(1+F68))^F69)/(F68-F70),0)</f>
        <v>0</v>
      </c>
      <c r="D68" s="907" t="s">
        <v>755</v>
      </c>
      <c r="E68" s="892" t="s">
        <v>756</v>
      </c>
      <c r="F68" s="303">
        <f ca="1">F40</f>
        <v>5.5E-2</v>
      </c>
      <c r="O68" s="1327" t="s">
        <v>406</v>
      </c>
      <c r="P68" s="1364" t="s">
        <v>868</v>
      </c>
      <c r="Q68" s="1320">
        <f ca="1">ROUND(Q69-Q70*Q71,0)</f>
        <v>-1</v>
      </c>
      <c r="R68" s="1320" t="s">
        <v>414</v>
      </c>
    </row>
    <row r="69" spans="1:18" s="1285" customFormat="1" ht="13.5" thickBot="1">
      <c r="A69" s="893"/>
      <c r="B69" s="894"/>
      <c r="C69" s="297"/>
      <c r="D69" s="912" t="s">
        <v>759</v>
      </c>
      <c r="E69" s="892" t="s">
        <v>760</v>
      </c>
      <c r="F69" s="323">
        <f ca="1">F41</f>
        <v>41.47</v>
      </c>
      <c r="O69" s="1327" t="s">
        <v>411</v>
      </c>
      <c r="P69" s="1364" t="s">
        <v>869</v>
      </c>
      <c r="Q69" s="1320">
        <f ca="1">C39</f>
        <v>1</v>
      </c>
      <c r="R69" s="1320" t="s">
        <v>815</v>
      </c>
    </row>
    <row r="70" spans="1:18" s="1285" customFormat="1" ht="13.5" thickBot="1">
      <c r="A70" s="896"/>
      <c r="B70" s="897"/>
      <c r="C70" s="301"/>
      <c r="D70" s="908"/>
      <c r="E70" s="892" t="s">
        <v>763</v>
      </c>
      <c r="F70" s="986"/>
      <c r="O70" s="1327" t="s">
        <v>412</v>
      </c>
      <c r="P70" s="1364" t="s">
        <v>870</v>
      </c>
      <c r="Q70" s="1320">
        <f ca="1">C13</f>
        <v>33</v>
      </c>
      <c r="R70" s="1320" t="s">
        <v>815</v>
      </c>
    </row>
    <row r="71" spans="1:18" s="1285" customFormat="1" ht="13.5" thickBot="1">
      <c r="A71" s="913" t="s">
        <v>396</v>
      </c>
      <c r="B71" s="914" t="s">
        <v>773</v>
      </c>
      <c r="C71" s="326">
        <f ca="1">ROUND(C68*10000/F71,0)</f>
        <v>0</v>
      </c>
      <c r="D71" s="915" t="s">
        <v>774</v>
      </c>
      <c r="E71" s="916" t="s">
        <v>775</v>
      </c>
      <c r="F71" s="329">
        <f ca="1">F43</f>
        <v>52.93</v>
      </c>
      <c r="O71" s="1327" t="s">
        <v>413</v>
      </c>
      <c r="P71" s="1364" t="s">
        <v>871</v>
      </c>
      <c r="Q71" s="1330">
        <f ca="1">C76</f>
        <v>7.0000000000000007E-2</v>
      </c>
      <c r="R71" s="1320"/>
    </row>
    <row r="72" spans="1:18" s="1285" customFormat="1" ht="13.5" thickBot="1">
      <c r="B72" s="683"/>
      <c r="C72" s="683"/>
      <c r="O72" s="1327" t="s">
        <v>407</v>
      </c>
      <c r="P72" s="1319" t="s">
        <v>849</v>
      </c>
      <c r="Q72" s="1330">
        <f>L52</f>
        <v>0</v>
      </c>
      <c r="R72" s="1320"/>
    </row>
    <row r="73" spans="1:18" ht="16.5" thickBot="1">
      <c r="A73" s="1285"/>
      <c r="B73" s="683"/>
      <c r="C73" s="683"/>
      <c r="D73" s="1285"/>
      <c r="E73" s="1285"/>
      <c r="F73" s="1285"/>
      <c r="O73" s="1327" t="s">
        <v>408</v>
      </c>
      <c r="P73" s="1319" t="s">
        <v>852</v>
      </c>
      <c r="Q73" s="1320" t="e">
        <f ca="1">L58</f>
        <v>#DIV/0!</v>
      </c>
      <c r="R73" s="1320" t="s">
        <v>853</v>
      </c>
    </row>
    <row r="74" spans="1:18" ht="13.5" thickBot="1">
      <c r="A74" s="1285"/>
      <c r="B74" s="264" t="s">
        <v>872</v>
      </c>
      <c r="C74" s="1366"/>
      <c r="D74" s="1285"/>
      <c r="E74" s="1285"/>
      <c r="F74" s="1285"/>
      <c r="O74" s="1327" t="s">
        <v>415</v>
      </c>
      <c r="P74" s="1319" t="str">
        <f>K59</f>
        <v>建筑物剩余耐用年限下的土地年期修正系数Kn</v>
      </c>
      <c r="Q74" s="1320" t="e">
        <f ca="1">L59</f>
        <v>#DIV/0!</v>
      </c>
      <c r="R74" s="1320" t="s">
        <v>854</v>
      </c>
    </row>
    <row r="75" spans="1:18" ht="13.5" thickBot="1">
      <c r="A75" s="1285"/>
      <c r="B75" s="330" t="s">
        <v>792</v>
      </c>
      <c r="C75" s="331">
        <f ca="1">ROUND(C13*C76,0)</f>
        <v>2</v>
      </c>
      <c r="D75" s="1285"/>
      <c r="E75" s="1285"/>
      <c r="F75" s="1285"/>
      <c r="K75" s="1302"/>
      <c r="L75" s="1285"/>
      <c r="O75" s="1318" t="s">
        <v>409</v>
      </c>
      <c r="P75" s="1319" t="s">
        <v>835</v>
      </c>
      <c r="Q75" s="1320">
        <f ca="1">Q65+Q66</f>
        <v>20</v>
      </c>
      <c r="R75" s="1320" t="s">
        <v>410</v>
      </c>
    </row>
    <row r="76" spans="1:18">
      <c r="B76" s="332" t="s">
        <v>793</v>
      </c>
      <c r="C76" s="333">
        <f ca="1">INDIRECT("'数据-取费表'!j"&amp;$G$1)</f>
        <v>7.0000000000000007E-2</v>
      </c>
      <c r="I76" s="1285"/>
      <c r="J76" s="1285"/>
      <c r="K76" s="1302"/>
      <c r="L76" s="1285"/>
    </row>
    <row r="77" spans="1:18">
      <c r="B77" s="334" t="s">
        <v>794</v>
      </c>
      <c r="C77" s="335"/>
      <c r="I77" s="1285"/>
      <c r="J77" s="1285"/>
      <c r="K77" s="1302"/>
      <c r="L77" s="1285"/>
    </row>
    <row r="78" spans="1:18">
      <c r="B78" s="261" t="s">
        <v>795</v>
      </c>
      <c r="C78" s="336"/>
    </row>
    <row r="79" spans="1:18">
      <c r="B79" s="330" t="s">
        <v>796</v>
      </c>
      <c r="C79" s="265">
        <f ca="1">1-C80</f>
        <v>-1</v>
      </c>
    </row>
    <row r="80" spans="1:18">
      <c r="B80" s="330" t="s">
        <v>797</v>
      </c>
      <c r="C80" s="265">
        <f ca="1">ROUND(C75/C39,3)</f>
        <v>2</v>
      </c>
    </row>
    <row r="81" spans="2:3">
      <c r="B81" s="261" t="s">
        <v>798</v>
      </c>
      <c r="C81" s="229"/>
    </row>
    <row r="82" spans="2:3">
      <c r="B82" s="264" t="s">
        <v>799</v>
      </c>
      <c r="C82" s="266">
        <f ca="1">1-C83</f>
        <v>-0.64999999999999991</v>
      </c>
    </row>
    <row r="83" spans="2:3">
      <c r="B83" s="264" t="s">
        <v>800</v>
      </c>
      <c r="C83" s="265">
        <f ca="1">ROUND(C13/C40,3)</f>
        <v>1.65</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46" priority="3">
      <formula>$F$10="自定义"</formula>
    </cfRule>
  </conditionalFormatting>
  <conditionalFormatting sqref="C54">
    <cfRule type="expression" dxfId="45" priority="1">
      <formula>$F$53="自定义"</formula>
    </cfRule>
  </conditionalFormatting>
  <conditionalFormatting sqref="I55 I60">
    <cfRule type="expression" dxfId="44" priority="5">
      <formula>$J$51&gt;$L$48</formula>
    </cfRule>
  </conditionalFormatting>
  <conditionalFormatting sqref="J11">
    <cfRule type="expression" dxfId="43" priority="2">
      <formula>$M$10="自定义"</formula>
    </cfRule>
  </conditionalFormatting>
  <conditionalFormatting sqref="K55 K60">
    <cfRule type="expression" dxfId="42" priority="4">
      <formula>$L$48&gt;$J$51</formula>
    </cfRule>
  </conditionalFormatting>
  <dataValidations count="9">
    <dataValidation type="list" allowBlank="1" showInputMessage="1" showErrorMessage="1" sqref="K19" xr:uid="{00000000-0002-0000-3000-000000000000}">
      <formula1>"按租金收入计税,按房产原值计税"</formula1>
    </dataValidation>
    <dataValidation type="list" allowBlank="1" showInputMessage="1" showErrorMessage="1" sqref="D33 D61" xr:uid="{00000000-0002-0000-3000-000001000000}">
      <formula1>"按租金收入计税,按房产原值计税,按票据"</formula1>
    </dataValidation>
    <dataValidation type="list" allowBlank="1" showInputMessage="1" showErrorMessage="1" sqref="C1" xr:uid="{00000000-0002-0000-3000-000002000000}">
      <formula1>项目类型</formula1>
    </dataValidation>
    <dataValidation type="list" allowBlank="1" showInputMessage="1" showErrorMessage="1" sqref="J47" xr:uid="{00000000-0002-0000-3000-000003000000}">
      <formula1>"钢,钢混,砖混"</formula1>
    </dataValidation>
    <dataValidation type="list" allowBlank="1" showInputMessage="1" showErrorMessage="1" sqref="J48" xr:uid="{00000000-0002-0000-3000-000004000000}">
      <formula1>"非生产用房,生产用房,受腐蚀的生产用房"</formula1>
    </dataValidation>
    <dataValidation type="list" allowBlank="1" showInputMessage="1" showErrorMessage="1" sqref="J56" xr:uid="{00000000-0002-0000-3000-000005000000}">
      <formula1>估价范围判定</formula1>
    </dataValidation>
    <dataValidation type="list" allowBlank="1" showInputMessage="1" showErrorMessage="1" sqref="L55" xr:uid="{00000000-0002-0000-3000-000006000000}">
      <formula1>"比较法,基准地价,收益还原"</formula1>
    </dataValidation>
    <dataValidation type="list" allowBlank="1" showInputMessage="1" showErrorMessage="1" sqref="M10 F10 F53"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1828</v>
      </c>
      <c r="B1" s="1135" t="s">
        <v>3322</v>
      </c>
      <c r="C1" s="1136" t="s">
        <v>1659</v>
      </c>
      <c r="D1" s="1137"/>
      <c r="E1" s="3125"/>
      <c r="F1" s="1728"/>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1459</v>
      </c>
      <c r="B2" s="1080" t="b">
        <f>IF(E1="项目模式",IF(C2="——",ROUND(C37*D3/10000,0),ROUND(C37*D3/10000,0)-D2),IF(E1="单套模式",IF(C2="——",ROUND(C37*D3/10000,4),ROUND(C37*D3/10000,4)-D2)))</f>
        <v>0</v>
      </c>
      <c r="C2" s="1730"/>
      <c r="D2" s="850" t="e">
        <f ca="1">IF(E1="项目模式",SUMIF(INDIRECT("'"&amp;F2&amp;"'"&amp;"!A:A"),"承租人权益价值",INDIRECT("'"&amp;F2&amp;"'"&amp;"!c:c")),SUMIF(INDIRECT("'"&amp;F2&amp;"'"&amp;"!A:A"),"承租人权益价值（单套）",INDIRECT("'"&amp;F2&amp;"'"&amp;"!c:c")))</f>
        <v>#REF!</v>
      </c>
      <c r="E2" s="1731" t="s">
        <v>1460</v>
      </c>
      <c r="F2" s="1732"/>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1461</v>
      </c>
      <c r="B3" s="535" t="e">
        <f>IF(C2="——",C37,ROUND(B2*10000/D3,0))</f>
        <v>#DIV/0!</v>
      </c>
      <c r="C3" s="343" t="s">
        <v>1765</v>
      </c>
      <c r="D3" s="342">
        <f>SUMIF('数据-汇总表'!$C19:$C33,D1,'数据-汇总表'!$E19:$E33)</f>
        <v>0</v>
      </c>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55" t="s">
        <v>1772</v>
      </c>
      <c r="Q4" s="3456"/>
      <c r="R4" s="3461" t="s">
        <v>1768</v>
      </c>
      <c r="S4" s="3462"/>
      <c r="T4" s="3461" t="s">
        <v>1769</v>
      </c>
      <c r="U4" s="3462"/>
      <c r="V4" s="3437" t="s">
        <v>1770</v>
      </c>
      <c r="W4" s="3437"/>
      <c r="X4" s="1258"/>
      <c r="Y4" s="3461" t="s">
        <v>1772</v>
      </c>
      <c r="Z4" s="3462"/>
      <c r="AA4" s="3448" t="s">
        <v>1768</v>
      </c>
      <c r="AB4" s="3449" t="s">
        <v>1769</v>
      </c>
      <c r="AC4" s="3448" t="s">
        <v>1770</v>
      </c>
    </row>
    <row r="5" spans="1:29" ht="15">
      <c r="A5" s="347"/>
      <c r="B5" s="348"/>
      <c r="C5" s="3469" t="s">
        <v>1670</v>
      </c>
      <c r="D5" s="3470"/>
      <c r="E5" s="3476" t="s">
        <v>1671</v>
      </c>
      <c r="F5" s="3477"/>
      <c r="G5" s="3469" t="s">
        <v>1672</v>
      </c>
      <c r="H5" s="3470"/>
      <c r="I5" s="3469" t="s">
        <v>1673</v>
      </c>
      <c r="J5" s="3470"/>
      <c r="K5" s="536"/>
      <c r="L5" s="2480"/>
      <c r="M5" s="2481"/>
      <c r="N5" s="2481"/>
      <c r="O5" s="2481"/>
      <c r="P5" s="3457"/>
      <c r="Q5" s="3458"/>
      <c r="R5" s="3463"/>
      <c r="S5" s="3464"/>
      <c r="T5" s="3463"/>
      <c r="U5" s="3464"/>
      <c r="V5" s="3437"/>
      <c r="W5" s="3437"/>
      <c r="X5" s="1258"/>
      <c r="Y5" s="3463"/>
      <c r="Z5" s="3464"/>
      <c r="AA5" s="3449"/>
      <c r="AB5" s="3449"/>
      <c r="AC5" s="3449"/>
    </row>
    <row r="6" spans="1:29" ht="15.75" thickBot="1">
      <c r="A6" s="349"/>
      <c r="B6" s="350"/>
      <c r="C6" s="3467" t="s">
        <v>1674</v>
      </c>
      <c r="D6" s="3468"/>
      <c r="E6" s="3474" t="s">
        <v>1674</v>
      </c>
      <c r="F6" s="3475"/>
      <c r="G6" s="3467" t="s">
        <v>1674</v>
      </c>
      <c r="H6" s="3468"/>
      <c r="I6" s="3467" t="s">
        <v>1674</v>
      </c>
      <c r="J6" s="3468"/>
      <c r="K6" s="536" t="s">
        <v>1675</v>
      </c>
      <c r="L6" s="2480"/>
      <c r="M6" s="2481"/>
      <c r="N6" s="2481"/>
      <c r="O6" s="2481"/>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SUMIF(46:46,YEAR(E7)&amp;"-"&amp;MONTH(E7),47:47)</f>
        <v>0</v>
      </c>
      <c r="G7" s="1815"/>
      <c r="H7" s="354">
        <f>SUMIF(46:46,YEAR(G7)&amp;"-"&amp;MONTH(G7),47:47)</f>
        <v>0</v>
      </c>
      <c r="I7" s="355"/>
      <c r="J7" s="354">
        <f>SUMIF(46:46,YEAR(I7)&amp;"-"&amp;MONTH(I7),47:47)</f>
        <v>0</v>
      </c>
      <c r="K7" s="38"/>
      <c r="L7" s="2482"/>
      <c r="M7" s="2433"/>
      <c r="N7" s="2433"/>
      <c r="O7" s="2433"/>
      <c r="P7" s="3471" t="s">
        <v>1677</v>
      </c>
      <c r="Q7" s="3473"/>
      <c r="R7" s="662" t="s">
        <v>14</v>
      </c>
      <c r="S7" s="663">
        <f t="shared" ref="S7:S14" si="0">F7</f>
        <v>0</v>
      </c>
      <c r="T7" s="662" t="s">
        <v>14</v>
      </c>
      <c r="U7" s="663">
        <f t="shared" ref="U7:U14" si="1">H7</f>
        <v>0</v>
      </c>
      <c r="V7" s="662" t="s">
        <v>14</v>
      </c>
      <c r="W7" s="663">
        <f t="shared" ref="W7:W14" si="2">J7</f>
        <v>0</v>
      </c>
      <c r="X7" s="664"/>
      <c r="Y7" s="3471" t="s">
        <v>1677</v>
      </c>
      <c r="Z7" s="3472"/>
      <c r="AA7" s="50" t="e">
        <f>D7/F7</f>
        <v>#DIV/0!</v>
      </c>
      <c r="AB7" s="50" t="e">
        <f>D7/H7</f>
        <v>#DIV/0!</v>
      </c>
      <c r="AC7" s="50" t="e">
        <f>D7/J7</f>
        <v>#DIV/0!</v>
      </c>
    </row>
    <row r="8" spans="1:29" s="102"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82"/>
      <c r="M8" s="2433"/>
      <c r="N8" s="2433"/>
      <c r="O8" s="2433"/>
      <c r="P8" s="3471" t="s">
        <v>1680</v>
      </c>
      <c r="Q8" s="3472"/>
      <c r="R8" s="662" t="s">
        <v>14</v>
      </c>
      <c r="S8" s="663">
        <f t="shared" si="0"/>
        <v>100</v>
      </c>
      <c r="T8" s="662" t="s">
        <v>14</v>
      </c>
      <c r="U8" s="663">
        <f t="shared" si="1"/>
        <v>100</v>
      </c>
      <c r="V8" s="662" t="s">
        <v>14</v>
      </c>
      <c r="W8" s="663">
        <f t="shared" si="2"/>
        <v>100</v>
      </c>
      <c r="X8" s="664"/>
      <c r="Y8" s="3471" t="s">
        <v>1680</v>
      </c>
      <c r="Z8" s="3472"/>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82"/>
      <c r="M9" s="2433"/>
      <c r="N9" s="2433"/>
      <c r="O9" s="2534"/>
      <c r="P9" s="3436" t="s">
        <v>1683</v>
      </c>
      <c r="Q9" s="529" t="str">
        <f t="shared" ref="Q9:Q14" si="6">B9</f>
        <v>用途</v>
      </c>
      <c r="R9" s="662" t="s">
        <v>14</v>
      </c>
      <c r="S9" s="663">
        <f t="shared" si="0"/>
        <v>100</v>
      </c>
      <c r="T9" s="662" t="s">
        <v>14</v>
      </c>
      <c r="U9" s="663">
        <f t="shared" si="1"/>
        <v>100</v>
      </c>
      <c r="V9" s="662" t="s">
        <v>14</v>
      </c>
      <c r="W9" s="663">
        <f t="shared" si="2"/>
        <v>100</v>
      </c>
      <c r="X9" s="664"/>
      <c r="Y9" s="3292" t="s">
        <v>1684</v>
      </c>
      <c r="Z9" s="50" t="str">
        <f t="shared" ref="Z9:Z14" si="7">Q9</f>
        <v>用途</v>
      </c>
      <c r="AA9" s="50">
        <f t="shared" si="3"/>
        <v>1</v>
      </c>
      <c r="AB9" s="50">
        <f t="shared" si="4"/>
        <v>1</v>
      </c>
      <c r="AC9" s="50">
        <f t="shared" si="5"/>
        <v>1</v>
      </c>
    </row>
    <row r="10" spans="1:29" s="365" customFormat="1" ht="27">
      <c r="A10" s="362"/>
      <c r="B10" s="363" t="s">
        <v>1685</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36"/>
      <c r="Q10" s="529"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36"/>
      <c r="Q11" s="529">
        <f t="shared" si="6"/>
        <v>111</v>
      </c>
      <c r="R11" s="662" t="s">
        <v>14</v>
      </c>
      <c r="S11" s="663">
        <f t="shared" si="0"/>
        <v>100</v>
      </c>
      <c r="T11" s="662" t="s">
        <v>14</v>
      </c>
      <c r="U11" s="663">
        <f t="shared" si="1"/>
        <v>100</v>
      </c>
      <c r="V11" s="662" t="s">
        <v>14</v>
      </c>
      <c r="W11" s="663">
        <f t="shared" si="2"/>
        <v>100</v>
      </c>
      <c r="X11" s="664"/>
      <c r="Y11" s="329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3"/>
      <c r="N12" s="2433"/>
      <c r="O12" s="2534"/>
      <c r="P12" s="3436"/>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6"/>
      <c r="M13" s="2481"/>
      <c r="N13" s="2481"/>
      <c r="O13" s="2536"/>
      <c r="P13" s="3436"/>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
      <c r="A14" s="378" t="s">
        <v>1687</v>
      </c>
      <c r="B14" s="58" t="s">
        <v>1830</v>
      </c>
      <c r="C14" s="1812">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38" t="s">
        <v>1688</v>
      </c>
      <c r="Q14" s="1256" t="str">
        <f t="shared" si="6"/>
        <v>交通便捷度</v>
      </c>
      <c r="R14" s="665" t="s">
        <v>14</v>
      </c>
      <c r="S14" s="666">
        <f t="shared" si="0"/>
        <v>100</v>
      </c>
      <c r="T14" s="665" t="s">
        <v>14</v>
      </c>
      <c r="U14" s="666">
        <f t="shared" si="1"/>
        <v>100</v>
      </c>
      <c r="V14" s="665" t="s">
        <v>14</v>
      </c>
      <c r="W14" s="666">
        <f t="shared" si="2"/>
        <v>100</v>
      </c>
      <c r="X14" s="1258"/>
      <c r="Y14" s="3438" t="s">
        <v>1688</v>
      </c>
      <c r="Z14" s="1257" t="str">
        <f t="shared" si="7"/>
        <v>交通便捷度</v>
      </c>
      <c r="AA14" s="1257">
        <f t="shared" si="3"/>
        <v>1</v>
      </c>
      <c r="AB14" s="1257">
        <f t="shared" si="4"/>
        <v>1</v>
      </c>
      <c r="AC14" s="1257">
        <f t="shared" si="5"/>
        <v>1</v>
      </c>
    </row>
    <row r="15" spans="1:29" ht="15">
      <c r="A15" s="366"/>
      <c r="B15" s="384"/>
      <c r="C15" s="385"/>
      <c r="D15" s="386"/>
      <c r="E15" s="385"/>
      <c r="F15" s="387"/>
      <c r="G15" s="385"/>
      <c r="H15" s="388"/>
      <c r="I15" s="385"/>
      <c r="J15" s="386"/>
      <c r="K15" s="540"/>
      <c r="L15" s="2486"/>
      <c r="M15" s="2481"/>
      <c r="N15" s="2481"/>
      <c r="O15" s="2536"/>
      <c r="P15" s="3439"/>
      <c r="Q15" s="1256"/>
      <c r="R15" s="665"/>
      <c r="S15" s="666"/>
      <c r="T15" s="665"/>
      <c r="U15" s="666"/>
      <c r="V15" s="665"/>
      <c r="W15" s="666"/>
      <c r="X15" s="1258"/>
      <c r="Y15" s="3439"/>
      <c r="Z15" s="1257"/>
      <c r="AA15" s="1257">
        <v>1</v>
      </c>
      <c r="AB15" s="1257">
        <v>1</v>
      </c>
      <c r="AC15" s="1257">
        <v>1</v>
      </c>
    </row>
    <row r="16" spans="1:29" ht="15">
      <c r="A16" s="366"/>
      <c r="B16" s="389" t="s">
        <v>1809</v>
      </c>
      <c r="C16" s="1747">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39"/>
      <c r="Q16" s="1256" t="str">
        <f>B16</f>
        <v>公共配套设施</v>
      </c>
      <c r="R16" s="665" t="s">
        <v>14</v>
      </c>
      <c r="S16" s="666">
        <f>F16</f>
        <v>100</v>
      </c>
      <c r="T16" s="665" t="s">
        <v>14</v>
      </c>
      <c r="U16" s="666">
        <f>H16</f>
        <v>100</v>
      </c>
      <c r="V16" s="665" t="s">
        <v>14</v>
      </c>
      <c r="W16" s="666">
        <f>J16</f>
        <v>100</v>
      </c>
      <c r="X16" s="1258"/>
      <c r="Y16" s="3439"/>
      <c r="Z16" s="1257" t="str">
        <f>Q16</f>
        <v>公共配套设施</v>
      </c>
      <c r="AA16" s="1257">
        <f t="shared" si="3"/>
        <v>1</v>
      </c>
      <c r="AB16" s="1257">
        <f t="shared" si="4"/>
        <v>1</v>
      </c>
      <c r="AC16" s="1257">
        <f t="shared" si="5"/>
        <v>1</v>
      </c>
    </row>
    <row r="17" spans="1:29" ht="15">
      <c r="A17" s="366"/>
      <c r="B17" s="394"/>
      <c r="C17" s="1748"/>
      <c r="D17" s="386"/>
      <c r="E17" s="385"/>
      <c r="F17" s="387"/>
      <c r="G17" s="385"/>
      <c r="H17" s="386"/>
      <c r="I17" s="385"/>
      <c r="J17" s="386"/>
      <c r="K17" s="540"/>
      <c r="L17" s="2486"/>
      <c r="M17" s="2481"/>
      <c r="N17" s="2481"/>
      <c r="O17" s="2536"/>
      <c r="P17" s="3439"/>
      <c r="Q17" s="1256"/>
      <c r="R17" s="665"/>
      <c r="S17" s="666"/>
      <c r="T17" s="665"/>
      <c r="U17" s="666"/>
      <c r="V17" s="665"/>
      <c r="W17" s="666"/>
      <c r="X17" s="1258"/>
      <c r="Y17" s="3439"/>
      <c r="Z17" s="1257"/>
      <c r="AA17" s="1257">
        <v>1</v>
      </c>
      <c r="AB17" s="1257">
        <v>1</v>
      </c>
      <c r="AC17" s="1257">
        <v>1</v>
      </c>
    </row>
    <row r="18" spans="1:29" ht="15">
      <c r="A18" s="366"/>
      <c r="B18" s="584" t="s">
        <v>1810</v>
      </c>
      <c r="C18" s="1747">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39"/>
      <c r="Q18" s="1256" t="str">
        <f>B18</f>
        <v>基础设施水平</v>
      </c>
      <c r="R18" s="665" t="s">
        <v>14</v>
      </c>
      <c r="S18" s="666">
        <f>F18</f>
        <v>100</v>
      </c>
      <c r="T18" s="665" t="s">
        <v>14</v>
      </c>
      <c r="U18" s="666">
        <f>H18</f>
        <v>100</v>
      </c>
      <c r="V18" s="665" t="s">
        <v>14</v>
      </c>
      <c r="W18" s="666">
        <f>J18</f>
        <v>100</v>
      </c>
      <c r="X18" s="1258"/>
      <c r="Y18" s="3439"/>
      <c r="Z18" s="1257" t="str">
        <f>Q18</f>
        <v>基础设施水平</v>
      </c>
      <c r="AA18" s="1257">
        <f t="shared" ref="AA18" si="8">D18/F18</f>
        <v>1</v>
      </c>
      <c r="AB18" s="1257">
        <f t="shared" ref="AB18" si="9">D18/H18</f>
        <v>1</v>
      </c>
      <c r="AC18" s="1257">
        <f t="shared" ref="AC18" si="10">D18/J18</f>
        <v>1</v>
      </c>
    </row>
    <row r="19" spans="1:29" ht="15">
      <c r="A19" s="366"/>
      <c r="B19" s="584"/>
      <c r="C19" s="1748"/>
      <c r="D19" s="388"/>
      <c r="E19" s="1748"/>
      <c r="F19" s="391"/>
      <c r="G19" s="1748"/>
      <c r="H19" s="386"/>
      <c r="I19" s="385"/>
      <c r="J19" s="386"/>
      <c r="K19" s="1059"/>
      <c r="L19" s="2486"/>
      <c r="M19" s="2481"/>
      <c r="N19" s="2481"/>
      <c r="O19" s="2536"/>
      <c r="P19" s="3439"/>
      <c r="Q19" s="1256"/>
      <c r="R19" s="665"/>
      <c r="S19" s="666"/>
      <c r="T19" s="665"/>
      <c r="U19" s="666"/>
      <c r="V19" s="665"/>
      <c r="W19" s="666"/>
      <c r="X19" s="1258"/>
      <c r="Y19" s="3439"/>
      <c r="Z19" s="1257"/>
      <c r="AA19" s="1257">
        <v>1</v>
      </c>
      <c r="AB19" s="1257">
        <v>1</v>
      </c>
      <c r="AC19" s="1257">
        <v>1</v>
      </c>
    </row>
    <row r="20" spans="1:29" ht="15">
      <c r="A20" s="366"/>
      <c r="B20" s="389" t="s">
        <v>1831</v>
      </c>
      <c r="C20" s="1747">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39"/>
      <c r="Q20" s="1256" t="str">
        <f>B20</f>
        <v>自然及人文环境</v>
      </c>
      <c r="R20" s="665" t="s">
        <v>14</v>
      </c>
      <c r="S20" s="666">
        <f>F20</f>
        <v>100</v>
      </c>
      <c r="T20" s="665" t="s">
        <v>14</v>
      </c>
      <c r="U20" s="666">
        <f>H20</f>
        <v>100</v>
      </c>
      <c r="V20" s="665" t="s">
        <v>14</v>
      </c>
      <c r="W20" s="666">
        <f>J20</f>
        <v>100</v>
      </c>
      <c r="X20" s="1258"/>
      <c r="Y20" s="3439"/>
      <c r="Z20" s="1257" t="str">
        <f>Q20</f>
        <v>自然及人文环境</v>
      </c>
      <c r="AA20" s="1257">
        <f t="shared" si="3"/>
        <v>1</v>
      </c>
      <c r="AB20" s="1257">
        <f t="shared" si="4"/>
        <v>1</v>
      </c>
      <c r="AC20" s="1257">
        <f t="shared" si="5"/>
        <v>1</v>
      </c>
    </row>
    <row r="21" spans="1:29" ht="15">
      <c r="A21" s="366"/>
      <c r="B21" s="394"/>
      <c r="C21" s="385"/>
      <c r="D21" s="386"/>
      <c r="E21" s="385"/>
      <c r="F21" s="387"/>
      <c r="G21" s="385"/>
      <c r="H21" s="386"/>
      <c r="I21" s="385"/>
      <c r="J21" s="386"/>
      <c r="K21" s="540"/>
      <c r="L21" s="2486"/>
      <c r="M21" s="2481"/>
      <c r="N21" s="2481"/>
      <c r="O21" s="2536"/>
      <c r="P21" s="3439"/>
      <c r="Q21" s="1256"/>
      <c r="R21" s="665"/>
      <c r="S21" s="666"/>
      <c r="T21" s="665"/>
      <c r="U21" s="666"/>
      <c r="V21" s="665"/>
      <c r="W21" s="666"/>
      <c r="X21" s="1258"/>
      <c r="Y21" s="3439"/>
      <c r="Z21" s="1257"/>
      <c r="AA21" s="1257">
        <v>1</v>
      </c>
      <c r="AB21" s="1257">
        <v>1</v>
      </c>
      <c r="AC21" s="1257">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39"/>
      <c r="Q22" s="1256" t="str">
        <f>B22</f>
        <v>楼层</v>
      </c>
      <c r="R22" s="665" t="s">
        <v>14</v>
      </c>
      <c r="S22" s="666">
        <f>F22</f>
        <v>100</v>
      </c>
      <c r="T22" s="665" t="s">
        <v>14</v>
      </c>
      <c r="U22" s="666">
        <f>H22</f>
        <v>100</v>
      </c>
      <c r="V22" s="665" t="s">
        <v>14</v>
      </c>
      <c r="W22" s="666">
        <f>J22</f>
        <v>100</v>
      </c>
      <c r="X22" s="1258"/>
      <c r="Y22" s="3439"/>
      <c r="Z22" s="1257" t="str">
        <f>Q22</f>
        <v>楼层</v>
      </c>
      <c r="AA22" s="1257">
        <f t="shared" si="3"/>
        <v>1</v>
      </c>
      <c r="AB22" s="1257">
        <f t="shared" si="4"/>
        <v>1</v>
      </c>
      <c r="AC22" s="1257">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39"/>
      <c r="Q23" s="1256">
        <f>B23</f>
        <v>111</v>
      </c>
      <c r="R23" s="665" t="s">
        <v>14</v>
      </c>
      <c r="S23" s="666">
        <f>F23</f>
        <v>100</v>
      </c>
      <c r="T23" s="665" t="s">
        <v>14</v>
      </c>
      <c r="U23" s="666">
        <f>H23</f>
        <v>100</v>
      </c>
      <c r="V23" s="665" t="s">
        <v>14</v>
      </c>
      <c r="W23" s="666">
        <f>J23</f>
        <v>100</v>
      </c>
      <c r="X23" s="1258"/>
      <c r="Y23" s="3439"/>
      <c r="Z23" s="1257">
        <f>Q23</f>
        <v>111</v>
      </c>
      <c r="AA23" s="1257">
        <f t="shared" si="3"/>
        <v>1</v>
      </c>
      <c r="AB23" s="1257">
        <f t="shared" si="4"/>
        <v>1</v>
      </c>
      <c r="AC23" s="1257">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39"/>
      <c r="Q24" s="1256">
        <f t="shared" ref="Q24:Q34" si="11">B24</f>
        <v>111</v>
      </c>
      <c r="R24" s="665" t="s">
        <v>14</v>
      </c>
      <c r="S24" s="666">
        <f>F24</f>
        <v>100</v>
      </c>
      <c r="T24" s="665" t="s">
        <v>14</v>
      </c>
      <c r="U24" s="666">
        <f>H24</f>
        <v>100</v>
      </c>
      <c r="V24" s="665" t="s">
        <v>14</v>
      </c>
      <c r="W24" s="666">
        <f>J24</f>
        <v>100</v>
      </c>
      <c r="X24" s="1258"/>
      <c r="Y24" s="3439"/>
      <c r="Z24" s="1257">
        <f>Q24</f>
        <v>111</v>
      </c>
      <c r="AA24" s="1257">
        <f t="shared" si="3"/>
        <v>1</v>
      </c>
      <c r="AB24" s="1257">
        <f t="shared" si="4"/>
        <v>1</v>
      </c>
      <c r="AC24" s="1257">
        <f t="shared" si="5"/>
        <v>1</v>
      </c>
    </row>
    <row r="25" spans="1:29" s="102"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82"/>
      <c r="M25" s="2433"/>
      <c r="N25" s="2433"/>
      <c r="O25" s="2534"/>
      <c r="P25" s="3439"/>
      <c r="Q25" s="529">
        <f t="shared" si="11"/>
        <v>111</v>
      </c>
      <c r="R25" s="662" t="s">
        <v>14</v>
      </c>
      <c r="S25" s="663">
        <f>F25</f>
        <v>100</v>
      </c>
      <c r="T25" s="662" t="s">
        <v>14</v>
      </c>
      <c r="U25" s="663">
        <f>H25</f>
        <v>100</v>
      </c>
      <c r="V25" s="662" t="s">
        <v>14</v>
      </c>
      <c r="W25" s="663">
        <f>J25</f>
        <v>100</v>
      </c>
      <c r="X25" s="664"/>
      <c r="Y25" s="3439"/>
      <c r="Z25" s="50">
        <f>Q25</f>
        <v>111</v>
      </c>
      <c r="AA25" s="1257">
        <f>D25/F25</f>
        <v>1</v>
      </c>
      <c r="AB25" s="1257">
        <f>D25/H25</f>
        <v>1</v>
      </c>
      <c r="AC25" s="1257">
        <f>D25/J25</f>
        <v>1</v>
      </c>
    </row>
    <row r="26" spans="1:29" ht="28.5">
      <c r="A26" s="403" t="s">
        <v>1691</v>
      </c>
      <c r="B26" s="60" t="s">
        <v>1835</v>
      </c>
      <c r="C26" s="1757"/>
      <c r="D26" s="404">
        <v>100</v>
      </c>
      <c r="E26" s="1757"/>
      <c r="F26" s="585">
        <f>SUMIF(77:77,E26,78:78)-SUMIF(77:77,C26,78:78)+100</f>
        <v>100</v>
      </c>
      <c r="G26" s="1757"/>
      <c r="H26" s="404">
        <f>SUMIF(77:77,G26,78:78)-SUMIF(77:77,C26,78:78)+100</f>
        <v>100</v>
      </c>
      <c r="I26" s="1757"/>
      <c r="J26" s="404">
        <f>SUMIF(77:77,I26,78:78)-SUMIF(77:77,C26,78:78)+100</f>
        <v>100</v>
      </c>
      <c r="K26" s="537"/>
      <c r="L26" s="2486"/>
      <c r="M26" s="2481"/>
      <c r="N26" s="2481"/>
      <c r="O26" s="2536"/>
      <c r="P26" s="3486" t="s">
        <v>1693</v>
      </c>
      <c r="Q26" s="1256" t="str">
        <f t="shared" si="11"/>
        <v>公共部分装修</v>
      </c>
      <c r="R26" s="665" t="s">
        <v>14</v>
      </c>
      <c r="S26" s="666">
        <f t="shared" ref="S26:S34" si="12">F26</f>
        <v>100</v>
      </c>
      <c r="T26" s="665" t="s">
        <v>14</v>
      </c>
      <c r="U26" s="666">
        <f t="shared" ref="U26:U34" si="13">H26</f>
        <v>100</v>
      </c>
      <c r="V26" s="665" t="s">
        <v>14</v>
      </c>
      <c r="W26" s="666">
        <f t="shared" ref="W26:W34" si="14">J26</f>
        <v>100</v>
      </c>
      <c r="X26" s="1258"/>
      <c r="Y26" s="3443" t="s">
        <v>1693</v>
      </c>
      <c r="Z26" s="1257" t="str">
        <f t="shared" ref="Z26:Z34" si="15">Q26</f>
        <v>公共部分装修</v>
      </c>
      <c r="AA26" s="1257">
        <f t="shared" si="3"/>
        <v>1</v>
      </c>
      <c r="AB26" s="1257">
        <f t="shared" si="4"/>
        <v>1</v>
      </c>
      <c r="AC26" s="1257">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43"/>
      <c r="Q27" s="530" t="str">
        <f t="shared" si="11"/>
        <v>成新率</v>
      </c>
      <c r="R27" s="667" t="s">
        <v>14</v>
      </c>
      <c r="S27" s="668" t="e">
        <f t="shared" si="12"/>
        <v>#N/A</v>
      </c>
      <c r="T27" s="667" t="s">
        <v>14</v>
      </c>
      <c r="U27" s="668" t="e">
        <f t="shared" si="13"/>
        <v>#N/A</v>
      </c>
      <c r="V27" s="667" t="s">
        <v>14</v>
      </c>
      <c r="W27" s="668" t="e">
        <f t="shared" si="14"/>
        <v>#N/A</v>
      </c>
      <c r="X27" s="669"/>
      <c r="Y27" s="3443"/>
      <c r="Z27" s="670" t="str">
        <f t="shared" si="15"/>
        <v>成新率</v>
      </c>
      <c r="AA27" s="1257" t="e">
        <f t="shared" si="3"/>
        <v>#N/A</v>
      </c>
      <c r="AB27" s="1257" t="e">
        <f t="shared" si="4"/>
        <v>#N/A</v>
      </c>
      <c r="AC27" s="1257"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43"/>
      <c r="Q28" s="1256" t="str">
        <f t="shared" si="11"/>
        <v>物业等级</v>
      </c>
      <c r="R28" s="665" t="s">
        <v>14</v>
      </c>
      <c r="S28" s="666">
        <f t="shared" si="12"/>
        <v>100</v>
      </c>
      <c r="T28" s="665" t="s">
        <v>14</v>
      </c>
      <c r="U28" s="666">
        <f t="shared" si="13"/>
        <v>100</v>
      </c>
      <c r="V28" s="665" t="s">
        <v>14</v>
      </c>
      <c r="W28" s="666">
        <f t="shared" si="14"/>
        <v>100</v>
      </c>
      <c r="X28" s="1258"/>
      <c r="Y28" s="3443"/>
      <c r="Z28" s="1257" t="str">
        <f t="shared" si="15"/>
        <v>物业等级</v>
      </c>
      <c r="AA28" s="1257">
        <f t="shared" si="3"/>
        <v>1</v>
      </c>
      <c r="AB28" s="1257">
        <f t="shared" si="4"/>
        <v>1</v>
      </c>
      <c r="AC28" s="1257">
        <f t="shared" si="5"/>
        <v>1</v>
      </c>
    </row>
    <row r="29" spans="1:29" ht="15">
      <c r="A29" s="408"/>
      <c r="B29" s="363" t="s">
        <v>1857</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43"/>
      <c r="Q29" s="1256" t="str">
        <f t="shared" si="11"/>
        <v>有无电梯</v>
      </c>
      <c r="R29" s="665" t="s">
        <v>14</v>
      </c>
      <c r="S29" s="666">
        <f t="shared" si="12"/>
        <v>100</v>
      </c>
      <c r="T29" s="665" t="s">
        <v>14</v>
      </c>
      <c r="U29" s="666">
        <f t="shared" si="13"/>
        <v>100</v>
      </c>
      <c r="V29" s="665" t="s">
        <v>14</v>
      </c>
      <c r="W29" s="666">
        <f t="shared" si="14"/>
        <v>100</v>
      </c>
      <c r="X29" s="1258"/>
      <c r="Y29" s="3443"/>
      <c r="Z29" s="1257" t="str">
        <f t="shared" si="15"/>
        <v>有无电梯</v>
      </c>
      <c r="AA29" s="1257">
        <f t="shared" si="3"/>
        <v>1</v>
      </c>
      <c r="AB29" s="1257">
        <f t="shared" si="4"/>
        <v>1</v>
      </c>
      <c r="AC29" s="1257">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43"/>
      <c r="Q30" s="1256" t="str">
        <f t="shared" si="11"/>
        <v>建筑面积</v>
      </c>
      <c r="R30" s="665" t="s">
        <v>14</v>
      </c>
      <c r="S30" s="666" t="e">
        <f t="shared" si="12"/>
        <v>#N/A</v>
      </c>
      <c r="T30" s="665" t="s">
        <v>14</v>
      </c>
      <c r="U30" s="666" t="e">
        <f t="shared" si="13"/>
        <v>#N/A</v>
      </c>
      <c r="V30" s="665" t="s">
        <v>14</v>
      </c>
      <c r="W30" s="666" t="e">
        <f t="shared" si="14"/>
        <v>#N/A</v>
      </c>
      <c r="X30" s="1258"/>
      <c r="Y30" s="3443"/>
      <c r="Z30" s="1257" t="str">
        <f t="shared" si="15"/>
        <v>建筑面积</v>
      </c>
      <c r="AA30" s="1257" t="e">
        <f t="shared" si="3"/>
        <v>#N/A</v>
      </c>
      <c r="AB30" s="1257" t="e">
        <f t="shared" si="4"/>
        <v>#N/A</v>
      </c>
      <c r="AC30" s="1257" t="e">
        <f t="shared" si="5"/>
        <v>#N/A</v>
      </c>
    </row>
    <row r="31" spans="1:29" s="102" customFormat="1" ht="15">
      <c r="A31" s="409"/>
      <c r="B31" s="363" t="s">
        <v>1859</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3"/>
      <c r="N31" s="2433"/>
      <c r="O31" s="2534"/>
      <c r="P31" s="3443"/>
      <c r="Q31" s="529" t="str">
        <f t="shared" si="11"/>
        <v>是否封闭</v>
      </c>
      <c r="R31" s="662" t="s">
        <v>14</v>
      </c>
      <c r="S31" s="663">
        <f t="shared" si="12"/>
        <v>100</v>
      </c>
      <c r="T31" s="662" t="s">
        <v>14</v>
      </c>
      <c r="U31" s="663">
        <f t="shared" si="13"/>
        <v>100</v>
      </c>
      <c r="V31" s="662" t="s">
        <v>14</v>
      </c>
      <c r="W31" s="663">
        <f t="shared" si="14"/>
        <v>100</v>
      </c>
      <c r="X31" s="664"/>
      <c r="Y31" s="344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43" t="s">
        <v>1693</v>
      </c>
      <c r="Q32" s="1256">
        <f t="shared" si="11"/>
        <v>111</v>
      </c>
      <c r="R32" s="665" t="s">
        <v>14</v>
      </c>
      <c r="S32" s="666">
        <f t="shared" si="12"/>
        <v>100</v>
      </c>
      <c r="T32" s="665" t="s">
        <v>14</v>
      </c>
      <c r="U32" s="666">
        <f t="shared" si="13"/>
        <v>100</v>
      </c>
      <c r="V32" s="665" t="s">
        <v>14</v>
      </c>
      <c r="W32" s="666">
        <f t="shared" si="14"/>
        <v>100</v>
      </c>
      <c r="X32" s="1258"/>
      <c r="Y32" s="3443" t="s">
        <v>1693</v>
      </c>
      <c r="Z32" s="1257">
        <f t="shared" si="15"/>
        <v>111</v>
      </c>
      <c r="AA32" s="1257">
        <f t="shared" si="3"/>
        <v>1</v>
      </c>
      <c r="AB32" s="1257">
        <f t="shared" si="4"/>
        <v>1</v>
      </c>
      <c r="AC32" s="1257">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43"/>
      <c r="Q33" s="1256">
        <f t="shared" si="11"/>
        <v>111</v>
      </c>
      <c r="R33" s="665" t="s">
        <v>14</v>
      </c>
      <c r="S33" s="666">
        <f t="shared" si="12"/>
        <v>100</v>
      </c>
      <c r="T33" s="665" t="s">
        <v>14</v>
      </c>
      <c r="U33" s="666">
        <f t="shared" si="13"/>
        <v>100</v>
      </c>
      <c r="V33" s="665" t="s">
        <v>14</v>
      </c>
      <c r="W33" s="666">
        <f t="shared" si="14"/>
        <v>100</v>
      </c>
      <c r="X33" s="1258"/>
      <c r="Y33" s="3443"/>
      <c r="Z33" s="1257">
        <f t="shared" si="15"/>
        <v>111</v>
      </c>
      <c r="AA33" s="1257">
        <f t="shared" si="3"/>
        <v>1</v>
      </c>
      <c r="AB33" s="1257">
        <f t="shared" si="4"/>
        <v>1</v>
      </c>
      <c r="AC33" s="1257">
        <f t="shared" si="5"/>
        <v>1</v>
      </c>
    </row>
    <row r="34" spans="1:30" ht="15.75" thickBot="1">
      <c r="A34" s="414"/>
      <c r="B34" s="1742">
        <v>111</v>
      </c>
      <c r="C34" s="375"/>
      <c r="D34" s="376">
        <v>100</v>
      </c>
      <c r="E34" s="1816"/>
      <c r="F34" s="377">
        <f>SUMIF(95:95,E34,96:96)-SUMIF(95:95,C34,96:96)+100</f>
        <v>100</v>
      </c>
      <c r="G34" s="1816"/>
      <c r="H34" s="376">
        <f>SUMIF(95:95,G34,96:96)-SUMIF(95:95,C34,96:96)+100</f>
        <v>100</v>
      </c>
      <c r="I34" s="1816"/>
      <c r="J34" s="376">
        <f>SUMIF(95:95,I34,96:96)-SUMIF(95:95,C34,96:96)+100</f>
        <v>100</v>
      </c>
      <c r="K34" s="538"/>
      <c r="L34" s="2486"/>
      <c r="M34" s="2481"/>
      <c r="N34" s="2481"/>
      <c r="O34" s="2536"/>
      <c r="P34" s="3443"/>
      <c r="Q34" s="1256">
        <f t="shared" si="11"/>
        <v>111</v>
      </c>
      <c r="R34" s="665" t="s">
        <v>14</v>
      </c>
      <c r="S34" s="666">
        <f t="shared" si="12"/>
        <v>100</v>
      </c>
      <c r="T34" s="665" t="s">
        <v>14</v>
      </c>
      <c r="U34" s="666">
        <f t="shared" si="13"/>
        <v>100</v>
      </c>
      <c r="V34" s="665" t="s">
        <v>14</v>
      </c>
      <c r="W34" s="666">
        <f t="shared" si="14"/>
        <v>100</v>
      </c>
      <c r="X34" s="1258"/>
      <c r="Y34" s="3443"/>
      <c r="Z34" s="1257">
        <f t="shared" si="15"/>
        <v>111</v>
      </c>
      <c r="AA34" s="1257">
        <f t="shared" si="3"/>
        <v>1</v>
      </c>
      <c r="AB34" s="1257">
        <f t="shared" si="4"/>
        <v>1</v>
      </c>
      <c r="AC34" s="1257">
        <f t="shared" si="5"/>
        <v>1</v>
      </c>
    </row>
    <row r="35" spans="1:30" ht="15">
      <c r="A35" s="415" t="s">
        <v>1705</v>
      </c>
      <c r="B35" s="416"/>
      <c r="C35" s="1076" t="s">
        <v>0</v>
      </c>
      <c r="D35" s="417"/>
      <c r="E35" s="418"/>
      <c r="F35" s="419"/>
      <c r="G35" s="420"/>
      <c r="H35" s="421"/>
      <c r="I35" s="418"/>
      <c r="J35" s="421"/>
      <c r="K35" s="672"/>
      <c r="L35" s="2488"/>
      <c r="M35" s="2481"/>
      <c r="N35" s="2481"/>
      <c r="O35" s="2481"/>
      <c r="P35" s="3436" t="str">
        <f>A35</f>
        <v>成交单价（元/平方米）</v>
      </c>
      <c r="Q35" s="3436"/>
      <c r="R35" s="3437">
        <f>E35</f>
        <v>0</v>
      </c>
      <c r="S35" s="3437"/>
      <c r="T35" s="3437">
        <f>G35</f>
        <v>0</v>
      </c>
      <c r="U35" s="3437"/>
      <c r="V35" s="3437">
        <f>I35</f>
        <v>0</v>
      </c>
      <c r="W35" s="3437"/>
      <c r="X35" s="384"/>
      <c r="Y35" s="671"/>
      <c r="Z35" s="384"/>
      <c r="AA35" s="384"/>
      <c r="AB35" s="384"/>
      <c r="AC35" s="384"/>
    </row>
    <row r="36" spans="1:30" ht="15.75" thickBot="1">
      <c r="A36" s="422" t="s">
        <v>1790</v>
      </c>
      <c r="B36" s="423"/>
      <c r="C36" s="1077" t="e">
        <f>R37</f>
        <v>#DIV/0!</v>
      </c>
      <c r="D36" s="2134" t="s">
        <v>2134</v>
      </c>
      <c r="E36" s="1078" t="e">
        <f>R36</f>
        <v>#DIV/0!</v>
      </c>
      <c r="F36" s="2135"/>
      <c r="G36" s="1077" t="e">
        <f>T36</f>
        <v>#DIV/0!</v>
      </c>
      <c r="H36" s="2135"/>
      <c r="I36" s="1078" t="e">
        <f>V36</f>
        <v>#DIV/0!</v>
      </c>
      <c r="J36" s="2135"/>
      <c r="K36" s="2137">
        <f>F36+H36+J36</f>
        <v>0</v>
      </c>
      <c r="L36" s="2488"/>
      <c r="M36" s="2481"/>
      <c r="N36" s="2481"/>
      <c r="O36" s="2481"/>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4"/>
      <c r="Y36" s="384"/>
      <c r="Z36" s="384"/>
      <c r="AA36" s="384"/>
      <c r="AB36" s="384"/>
      <c r="AC36" s="384"/>
    </row>
    <row r="37" spans="1:30" ht="15.75" thickBot="1">
      <c r="A37" s="426" t="s">
        <v>1791</v>
      </c>
      <c r="B37" s="427"/>
      <c r="C37" s="350" t="e">
        <f>R37</f>
        <v>#DIV/0!</v>
      </c>
      <c r="D37" s="350"/>
      <c r="E37" s="350"/>
      <c r="F37" s="350"/>
      <c r="G37" s="350"/>
      <c r="H37" s="350"/>
      <c r="I37" s="350"/>
      <c r="J37" s="350"/>
      <c r="K37" s="673"/>
      <c r="L37" s="2488"/>
      <c r="M37" s="2481"/>
      <c r="N37" s="2481"/>
      <c r="O37" s="2481"/>
      <c r="P37" s="3433" t="str">
        <f>A37</f>
        <v>估价对象XX用房的比较价值（楼面单价，元/平方米）</v>
      </c>
      <c r="Q37" s="3434"/>
      <c r="R37" s="3502" t="e">
        <f>IF(F1="售价",ROUND(IF(D36="简单平均",AVERAGE(R36:W36),R36*F36+T36*H36+V36*J36),0),ROUND(IF(D36="简单平均",AVERAGE(R36:V36),R36*F36+T36*H36+V36*J36),1))</f>
        <v>#DIV/0!</v>
      </c>
      <c r="S37" s="3502"/>
      <c r="T37" s="3502"/>
      <c r="U37" s="3502"/>
      <c r="V37" s="3502"/>
      <c r="W37" s="350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1795</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1676</v>
      </c>
      <c r="B46" s="440"/>
      <c r="C46" s="1098" t="str">
        <f>YEAR(C7)&amp;"-"&amp;MONTH(C7)</f>
        <v>2024-7</v>
      </c>
      <c r="D46" s="1099">
        <f>EDATE(C46,-1)</f>
        <v>45444</v>
      </c>
      <c r="E46" s="1099">
        <f t="shared" ref="E46:O46" si="16">EDATE(D46,-1)</f>
        <v>45413</v>
      </c>
      <c r="F46" s="1099">
        <f t="shared" si="16"/>
        <v>45383</v>
      </c>
      <c r="G46" s="1099">
        <f t="shared" si="16"/>
        <v>45352</v>
      </c>
      <c r="H46" s="1099">
        <f t="shared" si="16"/>
        <v>45323</v>
      </c>
      <c r="I46" s="1099">
        <f t="shared" si="16"/>
        <v>45292</v>
      </c>
      <c r="J46" s="1099">
        <f t="shared" si="16"/>
        <v>45261</v>
      </c>
      <c r="K46" s="1099">
        <f t="shared" si="16"/>
        <v>45231</v>
      </c>
      <c r="L46" s="1099">
        <f t="shared" si="16"/>
        <v>45200</v>
      </c>
      <c r="M46" s="1099">
        <f t="shared" si="16"/>
        <v>45170</v>
      </c>
      <c r="N46" s="1099">
        <f t="shared" si="16"/>
        <v>45139</v>
      </c>
      <c r="O46" s="1099">
        <f t="shared" si="16"/>
        <v>45108</v>
      </c>
      <c r="P46" s="2504"/>
      <c r="Q46" s="2504"/>
      <c r="R46" s="2504"/>
      <c r="S46" s="2504"/>
      <c r="T46" s="2504"/>
      <c r="U46" s="2504"/>
      <c r="V46" s="2504"/>
      <c r="W46" s="2504"/>
      <c r="X46" s="2504"/>
      <c r="Y46" s="2504"/>
      <c r="Z46" s="2504"/>
      <c r="AA46" s="2504"/>
      <c r="AB46" s="2504"/>
      <c r="AC46" s="2504"/>
      <c r="AD46" s="2504"/>
    </row>
    <row r="47" spans="1:30" s="102" customFormat="1" ht="15">
      <c r="A47" s="442"/>
      <c r="B47" s="443"/>
      <c r="C47" s="1097">
        <v>100</v>
      </c>
      <c r="D47" s="445"/>
      <c r="E47" s="445"/>
      <c r="F47" s="445"/>
      <c r="G47" s="445"/>
      <c r="H47" s="445"/>
      <c r="I47" s="445"/>
      <c r="J47" s="445"/>
      <c r="K47" s="445"/>
      <c r="L47" s="445"/>
      <c r="M47" s="446"/>
      <c r="N47" s="445"/>
      <c r="O47" s="447"/>
      <c r="P47" s="2502"/>
      <c r="Q47" s="2433"/>
      <c r="R47" s="2433"/>
      <c r="S47" s="2433"/>
      <c r="T47" s="2433"/>
      <c r="U47" s="2433"/>
      <c r="V47" s="2433"/>
      <c r="W47" s="2433"/>
      <c r="X47" s="2433"/>
      <c r="Y47" s="2433"/>
      <c r="Z47" s="2433"/>
      <c r="AA47" s="2433"/>
      <c r="AB47" s="2433"/>
      <c r="AC47" s="2433"/>
      <c r="AD47" s="2433"/>
    </row>
    <row r="48" spans="1:30" s="102" customFormat="1" ht="15.75" thickBot="1">
      <c r="A48" s="448" t="s">
        <v>1713</v>
      </c>
      <c r="B48" s="449"/>
      <c r="C48" s="450"/>
      <c r="D48" s="451"/>
      <c r="E48" s="451"/>
      <c r="F48" s="451"/>
      <c r="G48" s="451"/>
      <c r="H48" s="451"/>
      <c r="I48" s="451"/>
      <c r="J48" s="451"/>
      <c r="K48" s="451"/>
      <c r="L48" s="451"/>
      <c r="M48" s="452"/>
      <c r="N48" s="451"/>
      <c r="O48" s="453"/>
      <c r="P48" s="2502"/>
      <c r="Q48" s="2502"/>
      <c r="R48" s="2433"/>
      <c r="S48" s="2433"/>
      <c r="T48" s="2433"/>
      <c r="U48" s="2433"/>
      <c r="V48" s="2433"/>
      <c r="W48" s="2433"/>
      <c r="X48" s="2433"/>
      <c r="Y48" s="2433"/>
      <c r="Z48" s="2433"/>
      <c r="AA48" s="2433"/>
      <c r="AB48" s="2433"/>
      <c r="AC48" s="2433"/>
      <c r="AD48" s="2433"/>
    </row>
    <row r="49" spans="1:30" s="102" customFormat="1" ht="15">
      <c r="A49" s="454" t="s">
        <v>1678</v>
      </c>
      <c r="B49" s="443"/>
      <c r="C49" s="455" t="s">
        <v>1773</v>
      </c>
      <c r="D49" s="31"/>
      <c r="E49" s="31"/>
      <c r="F49" s="31"/>
      <c r="G49" s="31"/>
      <c r="H49" s="31"/>
      <c r="I49" s="31"/>
      <c r="J49" s="31"/>
      <c r="K49" s="31"/>
      <c r="L49" s="456"/>
      <c r="M49" s="457"/>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4"/>
      <c r="B50" s="443"/>
      <c r="C50" s="561">
        <v>100</v>
      </c>
      <c r="D50" s="445"/>
      <c r="E50" s="445"/>
      <c r="F50" s="445"/>
      <c r="G50" s="445"/>
      <c r="H50" s="445"/>
      <c r="I50" s="445"/>
      <c r="J50" s="445"/>
      <c r="K50" s="445"/>
      <c r="L50" s="445"/>
      <c r="M50" s="447"/>
      <c r="N50" s="2514"/>
      <c r="O50" s="2514"/>
      <c r="P50" s="2502"/>
      <c r="Q50" s="2502"/>
      <c r="R50" s="2433"/>
      <c r="S50" s="2433"/>
      <c r="T50" s="2433"/>
      <c r="U50" s="2433"/>
      <c r="V50" s="2433"/>
      <c r="W50" s="2433"/>
      <c r="X50" s="2433"/>
      <c r="Y50" s="2433"/>
      <c r="Z50" s="2433"/>
      <c r="AA50" s="2433"/>
      <c r="AB50" s="2433"/>
      <c r="AC50" s="2433"/>
      <c r="AD50" s="2433"/>
    </row>
    <row r="51" spans="1:30">
      <c r="A51" s="378" t="s">
        <v>1716</v>
      </c>
      <c r="B51" s="459" t="s">
        <v>1682</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1685</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1860</v>
      </c>
      <c r="C63" s="508" t="s">
        <v>1718</v>
      </c>
      <c r="D63" s="508" t="s">
        <v>1719</v>
      </c>
      <c r="E63" s="508" t="s">
        <v>1720</v>
      </c>
      <c r="F63" s="508" t="s">
        <v>1721</v>
      </c>
      <c r="G63" s="508" t="s">
        <v>1722</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1810</v>
      </c>
      <c r="C65" s="579" t="s">
        <v>1796</v>
      </c>
      <c r="D65" s="579" t="s">
        <v>1797</v>
      </c>
      <c r="E65" s="579" t="s">
        <v>1798</v>
      </c>
      <c r="F65" s="579" t="s">
        <v>1799</v>
      </c>
      <c r="G65" s="579" t="s">
        <v>1800</v>
      </c>
      <c r="H65" s="469"/>
      <c r="I65" s="469"/>
      <c r="J65" s="469"/>
      <c r="K65" s="469"/>
      <c r="L65" s="469"/>
      <c r="M65" s="1058"/>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1730</v>
      </c>
      <c r="C67" s="508" t="s">
        <v>1718</v>
      </c>
      <c r="D67" s="508" t="s">
        <v>1719</v>
      </c>
      <c r="E67" s="508" t="s">
        <v>1720</v>
      </c>
      <c r="F67" s="508" t="s">
        <v>1721</v>
      </c>
      <c r="G67" s="508" t="s">
        <v>1722</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1849</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69"/>
      <c r="B71" s="468">
        <f>B23</f>
        <v>111</v>
      </c>
      <c r="C71" s="479"/>
      <c r="D71" s="479"/>
      <c r="E71" s="479"/>
      <c r="F71" s="479"/>
      <c r="G71" s="484"/>
      <c r="H71" s="484"/>
      <c r="I71" s="484"/>
      <c r="J71" s="484"/>
      <c r="K71" s="484"/>
      <c r="L71" s="509"/>
      <c r="M71" s="510"/>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69"/>
      <c r="B72" s="473"/>
      <c r="C72" s="490"/>
      <c r="D72" s="466"/>
      <c r="E72" s="466"/>
      <c r="F72" s="466"/>
      <c r="G72" s="466"/>
      <c r="H72" s="466"/>
      <c r="I72" s="466"/>
      <c r="J72" s="466"/>
      <c r="K72" s="466"/>
      <c r="L72" s="466"/>
      <c r="M72" s="467"/>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69"/>
      <c r="B73" s="468">
        <f>B24</f>
        <v>111</v>
      </c>
      <c r="C73" s="479"/>
      <c r="D73" s="479"/>
      <c r="E73" s="479"/>
      <c r="F73" s="479"/>
      <c r="G73" s="484"/>
      <c r="H73" s="484"/>
      <c r="I73" s="484"/>
      <c r="J73" s="484"/>
      <c r="K73" s="484"/>
      <c r="L73" s="484"/>
      <c r="M73" s="510"/>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69"/>
      <c r="B74" s="473"/>
      <c r="C74" s="490"/>
      <c r="D74" s="466"/>
      <c r="E74" s="466"/>
      <c r="F74" s="466"/>
      <c r="G74" s="466"/>
      <c r="H74" s="466"/>
      <c r="I74" s="466"/>
      <c r="J74" s="466"/>
      <c r="K74" s="466"/>
      <c r="L74" s="466"/>
      <c r="M74" s="467"/>
      <c r="N74" s="2516"/>
      <c r="O74" s="2516"/>
      <c r="P74" s="2514"/>
      <c r="Q74" s="2502"/>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1691</v>
      </c>
      <c r="B77" s="459" t="s">
        <v>1737</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1853</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1861</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1863</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3100-000000000000}">
      <formula1>交通便捷度</formula1>
    </dataValidation>
    <dataValidation type="list" allowBlank="1" showInputMessage="1" showErrorMessage="1" sqref="G17 C17 E17 I17" xr:uid="{00000000-0002-0000-3100-000001000000}">
      <formula1>公共配套设施</formula1>
    </dataValidation>
    <dataValidation type="list" allowBlank="1" showInputMessage="1" showErrorMessage="1" sqref="D1" xr:uid="{00000000-0002-0000-3100-000002000000}">
      <formula1>项目类型</formula1>
    </dataValidation>
    <dataValidation type="list" allowBlank="1" showInputMessage="1" showErrorMessage="1" sqref="C8 E8 G8 I8" xr:uid="{00000000-0002-0000-3100-000003000000}">
      <formula1>仓储交易情况</formula1>
    </dataValidation>
    <dataValidation type="list" allowBlank="1" showInputMessage="1" showErrorMessage="1" sqref="E9 G9 I9" xr:uid="{00000000-0002-0000-3100-000004000000}">
      <formula1>仓储用途</formula1>
    </dataValidation>
    <dataValidation type="list" allowBlank="1" showInputMessage="1" showErrorMessage="1" sqref="C21 E21 G21 I21" xr:uid="{00000000-0002-0000-3100-000005000000}">
      <formula1>环境</formula1>
    </dataValidation>
    <dataValidation type="list" allowBlank="1" showInputMessage="1" showErrorMessage="1" sqref="C22 E22 G22 I22" xr:uid="{00000000-0002-0000-3100-000006000000}">
      <formula1>仓储楼层</formula1>
    </dataValidation>
    <dataValidation type="list" allowBlank="1" showInputMessage="1" showErrorMessage="1" sqref="C26 E26 G26 I26" xr:uid="{00000000-0002-0000-3100-000007000000}">
      <formula1>仓储公共部分装修</formula1>
    </dataValidation>
    <dataValidation type="list" allowBlank="1" showInputMessage="1" showErrorMessage="1" sqref="C29 E29 G29 I29" xr:uid="{00000000-0002-0000-3100-000008000000}">
      <formula1>有无电梯</formula1>
    </dataValidation>
    <dataValidation type="list" allowBlank="1" showInputMessage="1" showErrorMessage="1" sqref="C31 E31 G31 I31" xr:uid="{00000000-0002-0000-3100-000009000000}">
      <formula1>是否封闭</formula1>
    </dataValidation>
    <dataValidation type="list" allowBlank="1" showInputMessage="1" showErrorMessage="1" sqref="B1" xr:uid="{00000000-0002-0000-3100-00000A000000}">
      <formula1>地类判定</formula1>
    </dataValidation>
    <dataValidation type="list" allowBlank="1" showInputMessage="1" showErrorMessage="1" sqref="C28 E28 G28 I28" xr:uid="{00000000-0002-0000-3100-00000B000000}">
      <formula1>仓储物业等级</formula1>
    </dataValidation>
    <dataValidation type="list" allowBlank="1" showInputMessage="1" showErrorMessage="1" sqref="C19 E19 G19 I19" xr:uid="{00000000-0002-0000-3100-00000C000000}">
      <formula1>基础设施水平</formula1>
    </dataValidation>
    <dataValidation type="list" allowBlank="1" showInputMessage="1" showErrorMessage="1" sqref="F1" xr:uid="{00000000-0002-0000-3100-00000D000000}">
      <formula1>"售价,租金"</formula1>
    </dataValidation>
    <dataValidation type="list" allowBlank="1" showInputMessage="1" showErrorMessage="1" sqref="C2" xr:uid="{00000000-0002-0000-3100-00000E000000}">
      <formula1>"需扣减承租人权益,——"</formula1>
    </dataValidation>
    <dataValidation type="list" allowBlank="1" showInputMessage="1" showErrorMessage="1" sqref="F2" xr:uid="{00000000-0002-0000-3100-00000F000000}">
      <formula1>估价方法</formula1>
    </dataValidation>
    <dataValidation type="list" allowBlank="1" showInputMessage="1" showErrorMessage="1" sqref="D36" xr:uid="{00000000-0002-0000-3100-000010000000}">
      <formula1>"简单平均,加权平均"</formula1>
    </dataValidation>
    <dataValidation type="list" allowBlank="1" showInputMessage="1" showErrorMessage="1" sqref="E1" xr:uid="{00000000-0002-0000-3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49"/>
      <c r="E1" s="649"/>
      <c r="F1" s="648" t="s">
        <v>1764</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1459</v>
      </c>
      <c r="B2" s="589" t="e">
        <f>F65</f>
        <v>#DIV/0!</v>
      </c>
      <c r="C2" s="850"/>
      <c r="D2" s="850"/>
      <c r="E2" s="851"/>
      <c r="F2" s="852"/>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1461</v>
      </c>
      <c r="B3" s="535" t="e">
        <f>ROUND(IF(D3="",B2*10000/'数据-汇总表'!E3,B2*10000/D3),0)</f>
        <v>#DIV/0!</v>
      </c>
      <c r="C3" s="194" t="s">
        <v>1866</v>
      </c>
      <c r="D3" s="1106"/>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55" t="s">
        <v>1772</v>
      </c>
      <c r="Q4" s="3456"/>
      <c r="R4" s="3461" t="s">
        <v>1768</v>
      </c>
      <c r="S4" s="3462"/>
      <c r="T4" s="3461" t="s">
        <v>1769</v>
      </c>
      <c r="U4" s="3462"/>
      <c r="V4" s="3437" t="s">
        <v>1770</v>
      </c>
      <c r="W4" s="3437"/>
      <c r="X4" s="1258"/>
      <c r="Y4" s="3461" t="s">
        <v>1772</v>
      </c>
      <c r="Z4" s="3462"/>
      <c r="AA4" s="3448" t="s">
        <v>1768</v>
      </c>
      <c r="AB4" s="3449" t="s">
        <v>1769</v>
      </c>
      <c r="AC4" s="3448" t="s">
        <v>1770</v>
      </c>
    </row>
    <row r="5" spans="1:29" ht="15">
      <c r="A5" s="347"/>
      <c r="B5" s="348"/>
      <c r="C5" s="3469" t="s">
        <v>1670</v>
      </c>
      <c r="D5" s="3470"/>
      <c r="E5" s="3476" t="s">
        <v>1671</v>
      </c>
      <c r="F5" s="3477"/>
      <c r="G5" s="3469" t="s">
        <v>1672</v>
      </c>
      <c r="H5" s="3470"/>
      <c r="I5" s="3469" t="s">
        <v>1673</v>
      </c>
      <c r="J5" s="3470"/>
      <c r="K5" s="536"/>
      <c r="L5" s="2480"/>
      <c r="M5" s="2481"/>
      <c r="N5" s="2481"/>
      <c r="O5" s="2481"/>
      <c r="P5" s="3457"/>
      <c r="Q5" s="3458"/>
      <c r="R5" s="3463"/>
      <c r="S5" s="3464"/>
      <c r="T5" s="3463"/>
      <c r="U5" s="3464"/>
      <c r="V5" s="3437"/>
      <c r="W5" s="3437"/>
      <c r="X5" s="1258"/>
      <c r="Y5" s="3463"/>
      <c r="Z5" s="3464"/>
      <c r="AA5" s="3449"/>
      <c r="AB5" s="3449"/>
      <c r="AC5" s="3449"/>
    </row>
    <row r="6" spans="1:29" ht="15.75" thickBot="1">
      <c r="A6" s="349"/>
      <c r="B6" s="350"/>
      <c r="C6" s="3467" t="s">
        <v>1674</v>
      </c>
      <c r="D6" s="3468"/>
      <c r="E6" s="3474" t="s">
        <v>1674</v>
      </c>
      <c r="F6" s="3475"/>
      <c r="G6" s="3467" t="s">
        <v>1674</v>
      </c>
      <c r="H6" s="3468"/>
      <c r="I6" s="3467" t="s">
        <v>1674</v>
      </c>
      <c r="J6" s="3468"/>
      <c r="K6" s="536" t="s">
        <v>1675</v>
      </c>
      <c r="L6" s="2480"/>
      <c r="M6" s="2481"/>
      <c r="N6" s="2481"/>
      <c r="O6" s="2481"/>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SUMIF(69:69,YEAR(E7)&amp;"-"&amp;INT((MONTH(E7)+2)/3),70:70)</f>
        <v>0</v>
      </c>
      <c r="G7" s="1815"/>
      <c r="H7" s="354">
        <f>SUMIF(69:69,YEAR(G7)&amp;"-"&amp;INT((MONTH(G7)+2)/3),70:70)</f>
        <v>0</v>
      </c>
      <c r="I7" s="1815"/>
      <c r="J7" s="354">
        <f>SUMIF(69:69,YEAR(I7)&amp;"-"&amp;INT((MONTH(I7)+2)/3),70:70)</f>
        <v>0</v>
      </c>
      <c r="K7" s="38"/>
      <c r="L7" s="2482"/>
      <c r="M7" s="2433"/>
      <c r="N7" s="2433"/>
      <c r="O7" s="2433"/>
      <c r="P7" s="3471" t="s">
        <v>1677</v>
      </c>
      <c r="Q7" s="3473"/>
      <c r="R7" s="662" t="s">
        <v>14</v>
      </c>
      <c r="S7" s="663">
        <f t="shared" ref="S7:S15" si="0">F7</f>
        <v>0</v>
      </c>
      <c r="T7" s="662" t="s">
        <v>14</v>
      </c>
      <c r="U7" s="663">
        <f t="shared" ref="U7:U15" si="1">H7</f>
        <v>0</v>
      </c>
      <c r="V7" s="662" t="s">
        <v>14</v>
      </c>
      <c r="W7" s="663">
        <f t="shared" ref="W7:W15" si="2">J7</f>
        <v>0</v>
      </c>
      <c r="X7" s="664"/>
      <c r="Y7" s="3471" t="s">
        <v>1677</v>
      </c>
      <c r="Z7" s="3472"/>
      <c r="AA7" s="50" t="e">
        <f>D7/F7</f>
        <v>#DIV/0!</v>
      </c>
      <c r="AB7" s="50" t="e">
        <f>D7/H7</f>
        <v>#DIV/0!</v>
      </c>
      <c r="AC7" s="50" t="e">
        <f>D7/J7</f>
        <v>#DIV/0!</v>
      </c>
    </row>
    <row r="8" spans="1:29" s="102"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82"/>
      <c r="M8" s="2433"/>
      <c r="N8" s="2433"/>
      <c r="O8" s="2433"/>
      <c r="P8" s="3471" t="s">
        <v>1680</v>
      </c>
      <c r="Q8" s="3472"/>
      <c r="R8" s="662" t="s">
        <v>14</v>
      </c>
      <c r="S8" s="663">
        <f t="shared" si="0"/>
        <v>0</v>
      </c>
      <c r="T8" s="662" t="s">
        <v>14</v>
      </c>
      <c r="U8" s="663">
        <f t="shared" si="1"/>
        <v>0</v>
      </c>
      <c r="V8" s="662" t="s">
        <v>14</v>
      </c>
      <c r="W8" s="663">
        <f t="shared" si="2"/>
        <v>0</v>
      </c>
      <c r="X8" s="664"/>
      <c r="Y8" s="3471" t="s">
        <v>1680</v>
      </c>
      <c r="Z8" s="3472"/>
      <c r="AA8" s="50" t="e">
        <f t="shared" ref="AA8:AA45" si="3">D8/F8</f>
        <v>#DIV/0!</v>
      </c>
      <c r="AB8" s="50" t="e">
        <f t="shared" ref="AB8:AB45" si="4">D8/H8</f>
        <v>#DIV/0!</v>
      </c>
      <c r="AC8" s="50" t="e">
        <f t="shared" ref="AC8:AC45" si="5">D8/J8</f>
        <v>#DIV/0!</v>
      </c>
    </row>
    <row r="9" spans="1:29" s="102" customFormat="1">
      <c r="A9" s="358" t="s">
        <v>1681</v>
      </c>
      <c r="B9" s="60" t="s">
        <v>1682</v>
      </c>
      <c r="C9" s="1818"/>
      <c r="D9" s="59">
        <v>100</v>
      </c>
      <c r="E9" s="1818"/>
      <c r="F9" s="59">
        <f>SUMIF(74:74,E9,75:75)-SUMIF(74:74,C9,75:75)+100</f>
        <v>100</v>
      </c>
      <c r="G9" s="1818"/>
      <c r="H9" s="59">
        <f>SUMIF(74:74,G9,75:75)-SUMIF(74:74,C9,75:75)+100</f>
        <v>100</v>
      </c>
      <c r="I9" s="1818"/>
      <c r="J9" s="59">
        <f>SUMIF(74:74,I9,75:75)-SUMIF(74:74,C9,75:75)+100</f>
        <v>100</v>
      </c>
      <c r="K9" s="38"/>
      <c r="L9" s="2482"/>
      <c r="M9" s="2433"/>
      <c r="N9" s="2433"/>
      <c r="O9" s="2534"/>
      <c r="P9" s="3436"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109</v>
      </c>
      <c r="G10" s="401"/>
      <c r="H10" s="118">
        <f>ROUND(100/'数据-取费表'!G16,0)</f>
        <v>109</v>
      </c>
      <c r="I10" s="401"/>
      <c r="J10" s="118">
        <f>ROUND(100/'数据-取费表'!G16,0)</f>
        <v>109</v>
      </c>
      <c r="K10" s="590"/>
      <c r="L10" s="2483"/>
      <c r="M10" s="2484"/>
      <c r="N10" s="2484"/>
      <c r="O10" s="2535"/>
      <c r="P10" s="3436"/>
      <c r="Q10" s="529" t="str">
        <f t="shared" si="6"/>
        <v>土地使用年限（年）</v>
      </c>
      <c r="R10" s="662" t="s">
        <v>14</v>
      </c>
      <c r="S10" s="663">
        <f t="shared" si="0"/>
        <v>109</v>
      </c>
      <c r="T10" s="662" t="s">
        <v>14</v>
      </c>
      <c r="U10" s="663">
        <f t="shared" si="1"/>
        <v>109</v>
      </c>
      <c r="V10" s="662" t="s">
        <v>14</v>
      </c>
      <c r="W10" s="663">
        <f t="shared" si="2"/>
        <v>109</v>
      </c>
      <c r="X10" s="664"/>
      <c r="Y10" s="3292"/>
      <c r="Z10" s="50" t="str">
        <f t="shared" si="7"/>
        <v>土地使用年限（年）</v>
      </c>
      <c r="AA10" s="50">
        <f t="shared" si="3"/>
        <v>0.91743119266055051</v>
      </c>
      <c r="AB10" s="50">
        <f t="shared" si="4"/>
        <v>0.91743119266055051</v>
      </c>
      <c r="AC10" s="50">
        <f t="shared" si="5"/>
        <v>0.91743119266055051</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36"/>
      <c r="Q11" s="529" t="str">
        <f t="shared" si="6"/>
        <v>容积率</v>
      </c>
      <c r="R11" s="662" t="s">
        <v>14</v>
      </c>
      <c r="S11" s="663" t="e">
        <f t="shared" si="0"/>
        <v>#N/A</v>
      </c>
      <c r="T11" s="662" t="s">
        <v>14</v>
      </c>
      <c r="U11" s="663" t="e">
        <f t="shared" si="1"/>
        <v>#N/A</v>
      </c>
      <c r="V11" s="662" t="s">
        <v>14</v>
      </c>
      <c r="W11" s="663" t="e">
        <f t="shared" si="2"/>
        <v>#N/A</v>
      </c>
      <c r="X11" s="664"/>
      <c r="Y11" s="3292"/>
      <c r="Z11" s="50" t="str">
        <f t="shared" si="7"/>
        <v>容积率</v>
      </c>
      <c r="AA11" s="50" t="e">
        <f t="shared" si="3"/>
        <v>#N/A</v>
      </c>
      <c r="AB11" s="50" t="e">
        <f t="shared" si="4"/>
        <v>#N/A</v>
      </c>
      <c r="AC11" s="50" t="e">
        <f t="shared" si="5"/>
        <v>#N/A</v>
      </c>
    </row>
    <row r="12" spans="1:29" s="102"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3"/>
      <c r="N12" s="2433"/>
      <c r="O12" s="2534"/>
      <c r="P12" s="3436"/>
      <c r="Q12" s="529" t="str">
        <f t="shared" si="6"/>
        <v>配建</v>
      </c>
      <c r="R12" s="662" t="s">
        <v>14</v>
      </c>
      <c r="S12" s="663">
        <f t="shared" si="0"/>
        <v>100</v>
      </c>
      <c r="T12" s="662" t="s">
        <v>14</v>
      </c>
      <c r="U12" s="663">
        <f t="shared" si="1"/>
        <v>100</v>
      </c>
      <c r="V12" s="662" t="s">
        <v>14</v>
      </c>
      <c r="W12" s="663">
        <f t="shared" si="2"/>
        <v>100</v>
      </c>
      <c r="X12" s="664"/>
      <c r="Y12" s="329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36"/>
      <c r="Q13" s="529">
        <f t="shared" si="6"/>
        <v>111</v>
      </c>
      <c r="R13" s="662" t="s">
        <v>14</v>
      </c>
      <c r="S13" s="663">
        <f t="shared" si="0"/>
        <v>100</v>
      </c>
      <c r="T13" s="662" t="s">
        <v>14</v>
      </c>
      <c r="U13" s="663">
        <f t="shared" si="1"/>
        <v>100</v>
      </c>
      <c r="V13" s="662" t="s">
        <v>14</v>
      </c>
      <c r="W13" s="663">
        <f t="shared" si="2"/>
        <v>100</v>
      </c>
      <c r="X13" s="664"/>
      <c r="Y13" s="3292"/>
      <c r="Z13" s="50">
        <f t="shared" si="7"/>
        <v>111</v>
      </c>
      <c r="AA13" s="50">
        <f>D13/F13</f>
        <v>1</v>
      </c>
      <c r="AB13" s="50">
        <f>D13/H13</f>
        <v>1</v>
      </c>
      <c r="AC13" s="50">
        <f>D13/J13</f>
        <v>1</v>
      </c>
    </row>
    <row r="14" spans="1:29" ht="15.75" thickBot="1">
      <c r="A14" s="374"/>
      <c r="B14" s="1742">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36"/>
      <c r="Q14" s="529">
        <f t="shared" si="6"/>
        <v>111</v>
      </c>
      <c r="R14" s="662" t="s">
        <v>14</v>
      </c>
      <c r="S14" s="663">
        <f t="shared" si="0"/>
        <v>100</v>
      </c>
      <c r="T14" s="662" t="s">
        <v>14</v>
      </c>
      <c r="U14" s="663">
        <f t="shared" si="1"/>
        <v>100</v>
      </c>
      <c r="V14" s="662" t="s">
        <v>14</v>
      </c>
      <c r="W14" s="663">
        <f t="shared" si="2"/>
        <v>100</v>
      </c>
      <c r="X14" s="664"/>
      <c r="Y14" s="3292"/>
      <c r="Z14" s="50">
        <f t="shared" si="7"/>
        <v>111</v>
      </c>
      <c r="AA14" s="50">
        <f>D14/F14</f>
        <v>1</v>
      </c>
      <c r="AB14" s="50">
        <f>D14/H14</f>
        <v>1</v>
      </c>
      <c r="AC14" s="50">
        <f>D14/J14</f>
        <v>1</v>
      </c>
    </row>
    <row r="15" spans="1:29" ht="15">
      <c r="A15" s="378" t="s">
        <v>1687</v>
      </c>
      <c r="B15" s="58" t="s">
        <v>1254</v>
      </c>
      <c r="C15" s="1743">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38" t="s">
        <v>1688</v>
      </c>
      <c r="Q15" s="1256" t="str">
        <f t="shared" si="6"/>
        <v>居住社区成熟度</v>
      </c>
      <c r="R15" s="665" t="s">
        <v>14</v>
      </c>
      <c r="S15" s="666">
        <f t="shared" si="0"/>
        <v>100</v>
      </c>
      <c r="T15" s="665" t="s">
        <v>14</v>
      </c>
      <c r="U15" s="666">
        <f t="shared" si="1"/>
        <v>100</v>
      </c>
      <c r="V15" s="665" t="s">
        <v>14</v>
      </c>
      <c r="W15" s="666">
        <f t="shared" si="2"/>
        <v>100</v>
      </c>
      <c r="X15" s="1258"/>
      <c r="Y15" s="3438" t="s">
        <v>1688</v>
      </c>
      <c r="Z15" s="1257" t="str">
        <f t="shared" si="7"/>
        <v>居住社区成熟度</v>
      </c>
      <c r="AA15" s="1257">
        <f t="shared" si="3"/>
        <v>1</v>
      </c>
      <c r="AB15" s="1257">
        <f t="shared" si="4"/>
        <v>1</v>
      </c>
      <c r="AC15" s="1257">
        <f t="shared" si="5"/>
        <v>1</v>
      </c>
    </row>
    <row r="16" spans="1:29" ht="15">
      <c r="A16" s="366"/>
      <c r="B16" s="384"/>
      <c r="C16" s="385"/>
      <c r="D16" s="386"/>
      <c r="E16" s="1745"/>
      <c r="F16" s="386"/>
      <c r="G16" s="1745"/>
      <c r="H16" s="388"/>
      <c r="I16" s="1744"/>
      <c r="J16" s="386"/>
      <c r="K16" s="590"/>
      <c r="L16" s="2486"/>
      <c r="M16" s="2481"/>
      <c r="N16" s="2481"/>
      <c r="O16" s="2536"/>
      <c r="P16" s="3439"/>
      <c r="Q16" s="1256"/>
      <c r="R16" s="665"/>
      <c r="S16" s="666"/>
      <c r="T16" s="665"/>
      <c r="U16" s="666"/>
      <c r="V16" s="665"/>
      <c r="W16" s="666"/>
      <c r="X16" s="1258"/>
      <c r="Y16" s="3439"/>
      <c r="Z16" s="1257"/>
      <c r="AA16" s="1257">
        <v>1</v>
      </c>
      <c r="AB16" s="1257">
        <v>1</v>
      </c>
      <c r="AC16" s="1257">
        <v>1</v>
      </c>
    </row>
    <row r="17" spans="1:29" ht="15">
      <c r="A17" s="366"/>
      <c r="B17" s="389" t="s">
        <v>1774</v>
      </c>
      <c r="C17" s="1799">
        <f>估价对象房地状况!C16</f>
        <v>0</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39"/>
      <c r="Q17" s="1256" t="str">
        <f>B17</f>
        <v>商业繁华度</v>
      </c>
      <c r="R17" s="665" t="s">
        <v>14</v>
      </c>
      <c r="S17" s="666">
        <f>F17</f>
        <v>100</v>
      </c>
      <c r="T17" s="665" t="s">
        <v>14</v>
      </c>
      <c r="U17" s="666">
        <f>H17</f>
        <v>100</v>
      </c>
      <c r="V17" s="665" t="s">
        <v>14</v>
      </c>
      <c r="W17" s="666">
        <f>J17</f>
        <v>100</v>
      </c>
      <c r="X17" s="1258"/>
      <c r="Y17" s="3439"/>
      <c r="Z17" s="1257" t="str">
        <f>Q17</f>
        <v>商业繁华度</v>
      </c>
      <c r="AA17" s="1257">
        <f t="shared" si="3"/>
        <v>1</v>
      </c>
      <c r="AB17" s="1257">
        <f t="shared" si="4"/>
        <v>1</v>
      </c>
      <c r="AC17" s="1257">
        <f t="shared" si="5"/>
        <v>1</v>
      </c>
    </row>
    <row r="18" spans="1:29" ht="15">
      <c r="A18" s="366"/>
      <c r="B18" s="394"/>
      <c r="C18" s="1748"/>
      <c r="D18" s="388"/>
      <c r="E18" s="1750"/>
      <c r="F18" s="388"/>
      <c r="G18" s="1750"/>
      <c r="H18" s="386"/>
      <c r="I18" s="1749"/>
      <c r="J18" s="386"/>
      <c r="K18" s="590"/>
      <c r="L18" s="2486"/>
      <c r="M18" s="2481"/>
      <c r="N18" s="2481"/>
      <c r="O18" s="2536"/>
      <c r="P18" s="3439"/>
      <c r="Q18" s="1256"/>
      <c r="R18" s="665"/>
      <c r="S18" s="666"/>
      <c r="T18" s="665"/>
      <c r="U18" s="666"/>
      <c r="V18" s="665"/>
      <c r="W18" s="666"/>
      <c r="X18" s="1258"/>
      <c r="Y18" s="3439"/>
      <c r="Z18" s="1257"/>
      <c r="AA18" s="1257">
        <v>1</v>
      </c>
      <c r="AB18" s="1257">
        <v>1</v>
      </c>
      <c r="AC18" s="1257">
        <v>1</v>
      </c>
    </row>
    <row r="19" spans="1:29" ht="15">
      <c r="A19" s="366"/>
      <c r="B19" s="389" t="s">
        <v>1808</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39"/>
      <c r="Q19" s="1256" t="str">
        <f>B19</f>
        <v>办公集聚程度</v>
      </c>
      <c r="R19" s="665" t="s">
        <v>14</v>
      </c>
      <c r="S19" s="666">
        <f>F19</f>
        <v>100</v>
      </c>
      <c r="T19" s="665" t="s">
        <v>14</v>
      </c>
      <c r="U19" s="666">
        <f>H19</f>
        <v>100</v>
      </c>
      <c r="V19" s="665" t="s">
        <v>14</v>
      </c>
      <c r="W19" s="666">
        <f>J19</f>
        <v>100</v>
      </c>
      <c r="X19" s="1258"/>
      <c r="Y19" s="3439"/>
      <c r="Z19" s="1257" t="str">
        <f>Q19</f>
        <v>办公集聚程度</v>
      </c>
      <c r="AA19" s="1257">
        <f t="shared" si="3"/>
        <v>1</v>
      </c>
      <c r="AB19" s="1257">
        <f t="shared" si="4"/>
        <v>1</v>
      </c>
      <c r="AC19" s="1257">
        <f t="shared" si="5"/>
        <v>1</v>
      </c>
    </row>
    <row r="20" spans="1:29" ht="15">
      <c r="A20" s="366"/>
      <c r="B20" s="394"/>
      <c r="C20" s="385"/>
      <c r="D20" s="386"/>
      <c r="E20" s="1745"/>
      <c r="F20" s="386"/>
      <c r="G20" s="1745"/>
      <c r="H20" s="386"/>
      <c r="I20" s="1744"/>
      <c r="J20" s="386"/>
      <c r="K20" s="590"/>
      <c r="L20" s="2486"/>
      <c r="M20" s="2481"/>
      <c r="N20" s="2481"/>
      <c r="O20" s="2536"/>
      <c r="P20" s="3439"/>
      <c r="Q20" s="1256"/>
      <c r="R20" s="665"/>
      <c r="S20" s="666"/>
      <c r="T20" s="665"/>
      <c r="U20" s="666"/>
      <c r="V20" s="665"/>
      <c r="W20" s="666"/>
      <c r="X20" s="1258"/>
      <c r="Y20" s="3439"/>
      <c r="Z20" s="1257"/>
      <c r="AA20" s="1257">
        <v>1</v>
      </c>
      <c r="AB20" s="1257">
        <v>1</v>
      </c>
      <c r="AC20" s="1257">
        <v>1</v>
      </c>
    </row>
    <row r="21" spans="1:29" ht="15">
      <c r="A21" s="366"/>
      <c r="B21" s="389" t="s">
        <v>1830</v>
      </c>
      <c r="C21" s="1747">
        <f>估价对象房地状况!C18</f>
        <v>0</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39"/>
      <c r="Q21" s="1256" t="str">
        <f>B21</f>
        <v>交通便捷度</v>
      </c>
      <c r="R21" s="665" t="s">
        <v>14</v>
      </c>
      <c r="S21" s="666">
        <f>F21</f>
        <v>100</v>
      </c>
      <c r="T21" s="665" t="s">
        <v>14</v>
      </c>
      <c r="U21" s="666">
        <f>H21</f>
        <v>100</v>
      </c>
      <c r="V21" s="665" t="s">
        <v>14</v>
      </c>
      <c r="W21" s="666">
        <f>J21</f>
        <v>100</v>
      </c>
      <c r="X21" s="1258"/>
      <c r="Y21" s="3439"/>
      <c r="Z21" s="1257" t="str">
        <f>Q21</f>
        <v>交通便捷度</v>
      </c>
      <c r="AA21" s="1257">
        <f t="shared" si="3"/>
        <v>1</v>
      </c>
      <c r="AB21" s="1257">
        <f t="shared" si="4"/>
        <v>1</v>
      </c>
      <c r="AC21" s="1257">
        <f t="shared" si="5"/>
        <v>1</v>
      </c>
    </row>
    <row r="22" spans="1:29" ht="15">
      <c r="A22" s="366"/>
      <c r="B22" s="584"/>
      <c r="C22" s="385"/>
      <c r="D22" s="388"/>
      <c r="E22" s="1745"/>
      <c r="F22" s="386"/>
      <c r="G22" s="1745"/>
      <c r="H22" s="386"/>
      <c r="I22" s="1744"/>
      <c r="J22" s="386"/>
      <c r="K22" s="590"/>
      <c r="L22" s="2486"/>
      <c r="M22" s="2481"/>
      <c r="N22" s="2481"/>
      <c r="O22" s="2536"/>
      <c r="P22" s="3439"/>
      <c r="Q22" s="1256"/>
      <c r="R22" s="665"/>
      <c r="S22" s="666"/>
      <c r="T22" s="665"/>
      <c r="U22" s="666"/>
      <c r="V22" s="665"/>
      <c r="W22" s="666"/>
      <c r="X22" s="1258"/>
      <c r="Y22" s="3439"/>
      <c r="Z22" s="1257"/>
      <c r="AA22" s="1257">
        <v>1</v>
      </c>
      <c r="AB22" s="1257">
        <v>1</v>
      </c>
      <c r="AC22" s="1257">
        <v>1</v>
      </c>
    </row>
    <row r="23" spans="1:29" ht="15">
      <c r="A23" s="347"/>
      <c r="B23" s="389" t="s">
        <v>1868</v>
      </c>
      <c r="C23" s="1064">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39"/>
      <c r="Q23" s="1256" t="str">
        <f t="shared" ref="Q23:Q37" si="8">B23</f>
        <v>区域土地利用方向</v>
      </c>
      <c r="R23" s="665" t="s">
        <v>14</v>
      </c>
      <c r="S23" s="666">
        <f>F23</f>
        <v>100</v>
      </c>
      <c r="T23" s="665" t="s">
        <v>14</v>
      </c>
      <c r="U23" s="666">
        <f>H23</f>
        <v>100</v>
      </c>
      <c r="V23" s="665" t="s">
        <v>14</v>
      </c>
      <c r="W23" s="666">
        <f>J23</f>
        <v>100</v>
      </c>
      <c r="X23" s="1258"/>
      <c r="Y23" s="3439"/>
      <c r="Z23" s="1257" t="str">
        <f>Q23</f>
        <v>区域土地利用方向</v>
      </c>
      <c r="AA23" s="1257">
        <f t="shared" si="3"/>
        <v>1</v>
      </c>
      <c r="AB23" s="1257">
        <f t="shared" si="4"/>
        <v>1</v>
      </c>
      <c r="AC23" s="1257">
        <f t="shared" si="5"/>
        <v>1</v>
      </c>
    </row>
    <row r="24" spans="1:29" ht="15">
      <c r="A24" s="347"/>
      <c r="B24" s="394"/>
      <c r="C24" s="541"/>
      <c r="D24" s="386"/>
      <c r="E24" s="1745"/>
      <c r="F24" s="386"/>
      <c r="G24" s="1744"/>
      <c r="H24" s="386"/>
      <c r="I24" s="1744"/>
      <c r="J24" s="386"/>
      <c r="K24" s="694"/>
      <c r="L24" s="2486"/>
      <c r="M24" s="2481"/>
      <c r="N24" s="2481"/>
      <c r="O24" s="2536"/>
      <c r="P24" s="3439"/>
      <c r="Q24" s="1256"/>
      <c r="R24" s="665"/>
      <c r="S24" s="666"/>
      <c r="T24" s="665"/>
      <c r="U24" s="666"/>
      <c r="V24" s="665"/>
      <c r="W24" s="666"/>
      <c r="X24" s="1258"/>
      <c r="Y24" s="3439"/>
      <c r="Z24" s="1257"/>
      <c r="AA24" s="1257"/>
      <c r="AB24" s="1257"/>
      <c r="AC24" s="1257"/>
    </row>
    <row r="25" spans="1:29" ht="27">
      <c r="A25" s="347"/>
      <c r="B25" s="584" t="s">
        <v>1869</v>
      </c>
      <c r="C25" s="1799">
        <f>估价对象房地状况!C20</f>
        <v>0</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39"/>
      <c r="Q25" s="1256" t="str">
        <f t="shared" si="8"/>
        <v>自然及人文环境状况</v>
      </c>
      <c r="R25" s="665" t="s">
        <v>14</v>
      </c>
      <c r="S25" s="666">
        <f>F25</f>
        <v>100</v>
      </c>
      <c r="T25" s="665" t="s">
        <v>14</v>
      </c>
      <c r="U25" s="666">
        <f>H25</f>
        <v>100</v>
      </c>
      <c r="V25" s="665" t="s">
        <v>14</v>
      </c>
      <c r="W25" s="666">
        <f>J25</f>
        <v>100</v>
      </c>
      <c r="X25" s="1258"/>
      <c r="Y25" s="3439"/>
      <c r="Z25" s="1257" t="str">
        <f>Q25</f>
        <v>自然及人文环境状况</v>
      </c>
      <c r="AA25" s="1257">
        <f t="shared" si="3"/>
        <v>1</v>
      </c>
      <c r="AB25" s="1257">
        <f t="shared" si="4"/>
        <v>1</v>
      </c>
      <c r="AC25" s="1257">
        <f t="shared" si="5"/>
        <v>1</v>
      </c>
    </row>
    <row r="26" spans="1:29" ht="15">
      <c r="A26" s="347"/>
      <c r="B26" s="394"/>
      <c r="C26" s="385"/>
      <c r="D26" s="386"/>
      <c r="E26" s="1751"/>
      <c r="F26" s="386"/>
      <c r="G26" s="1751"/>
      <c r="H26" s="386"/>
      <c r="I26" s="385"/>
      <c r="J26" s="386"/>
      <c r="K26" s="590"/>
      <c r="L26" s="2486"/>
      <c r="M26" s="2481"/>
      <c r="N26" s="2481"/>
      <c r="O26" s="2536"/>
      <c r="P26" s="3439"/>
      <c r="Q26" s="1256"/>
      <c r="R26" s="665"/>
      <c r="S26" s="666"/>
      <c r="T26" s="665"/>
      <c r="U26" s="666"/>
      <c r="V26" s="665"/>
      <c r="W26" s="666"/>
      <c r="X26" s="1258"/>
      <c r="Y26" s="3439"/>
      <c r="Z26" s="1257"/>
      <c r="AA26" s="1257">
        <v>1</v>
      </c>
      <c r="AB26" s="1257">
        <v>1</v>
      </c>
      <c r="AC26" s="1257">
        <v>1</v>
      </c>
    </row>
    <row r="27" spans="1:29" s="102" customFormat="1" ht="15">
      <c r="A27" s="442"/>
      <c r="B27" s="584" t="s">
        <v>1775</v>
      </c>
      <c r="C27" s="1747">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3"/>
      <c r="N27" s="2433"/>
      <c r="O27" s="2534"/>
      <c r="P27" s="3439"/>
      <c r="Q27" s="529" t="str">
        <f t="shared" si="8"/>
        <v>公共配套设施</v>
      </c>
      <c r="R27" s="662" t="s">
        <v>14</v>
      </c>
      <c r="S27" s="663">
        <f>F27</f>
        <v>100</v>
      </c>
      <c r="T27" s="662" t="s">
        <v>14</v>
      </c>
      <c r="U27" s="663">
        <f>H27</f>
        <v>100</v>
      </c>
      <c r="V27" s="662" t="s">
        <v>14</v>
      </c>
      <c r="W27" s="663">
        <f>J27</f>
        <v>100</v>
      </c>
      <c r="X27" s="664"/>
      <c r="Y27" s="3439"/>
      <c r="Z27" s="50" t="str">
        <f>Q27</f>
        <v>公共配套设施</v>
      </c>
      <c r="AA27" s="1257">
        <f>D27/F27</f>
        <v>1</v>
      </c>
      <c r="AB27" s="1257">
        <f>D27/H27</f>
        <v>1</v>
      </c>
      <c r="AC27" s="1257">
        <f>D27/J27</f>
        <v>1</v>
      </c>
    </row>
    <row r="28" spans="1:29" s="102" customFormat="1" ht="15">
      <c r="A28" s="442"/>
      <c r="B28" s="394"/>
      <c r="C28" s="1819"/>
      <c r="D28" s="386"/>
      <c r="E28" s="1751"/>
      <c r="F28" s="386"/>
      <c r="G28" s="1751"/>
      <c r="H28" s="386"/>
      <c r="I28" s="385"/>
      <c r="J28" s="386"/>
      <c r="K28" s="590"/>
      <c r="L28" s="2482"/>
      <c r="M28" s="2433"/>
      <c r="N28" s="2433"/>
      <c r="O28" s="2534"/>
      <c r="P28" s="3439"/>
      <c r="Q28" s="529"/>
      <c r="R28" s="662"/>
      <c r="S28" s="663"/>
      <c r="T28" s="662"/>
      <c r="U28" s="663"/>
      <c r="V28" s="662"/>
      <c r="W28" s="663"/>
      <c r="X28" s="664"/>
      <c r="Y28" s="3439"/>
      <c r="Z28" s="50"/>
      <c r="AA28" s="1257">
        <v>1</v>
      </c>
      <c r="AB28" s="1257">
        <v>1</v>
      </c>
      <c r="AC28" s="1257">
        <v>1</v>
      </c>
    </row>
    <row r="29" spans="1:29" s="102" customFormat="1" ht="15">
      <c r="A29" s="442"/>
      <c r="B29" s="584" t="s">
        <v>1776</v>
      </c>
      <c r="C29" s="1747">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3"/>
      <c r="N29" s="2433"/>
      <c r="O29" s="2534"/>
      <c r="P29" s="3439"/>
      <c r="Q29" s="529" t="str">
        <f t="shared" ref="Q29" si="9">B29</f>
        <v>基础设施水平</v>
      </c>
      <c r="R29" s="662" t="s">
        <v>14</v>
      </c>
      <c r="S29" s="663">
        <f>F29</f>
        <v>100</v>
      </c>
      <c r="T29" s="662" t="s">
        <v>14</v>
      </c>
      <c r="U29" s="663">
        <f>H29</f>
        <v>100</v>
      </c>
      <c r="V29" s="662" t="s">
        <v>14</v>
      </c>
      <c r="W29" s="663">
        <f>J29</f>
        <v>100</v>
      </c>
      <c r="X29" s="664"/>
      <c r="Y29" s="3439"/>
      <c r="Z29" s="50" t="str">
        <f>Q29</f>
        <v>基础设施水平</v>
      </c>
      <c r="AA29" s="1257">
        <f>D29/F29</f>
        <v>1</v>
      </c>
      <c r="AB29" s="1257">
        <f>D29/H29</f>
        <v>1</v>
      </c>
      <c r="AC29" s="1257">
        <f>D29/J29</f>
        <v>1</v>
      </c>
    </row>
    <row r="30" spans="1:29" s="102" customFormat="1" ht="15">
      <c r="A30" s="442"/>
      <c r="B30" s="394"/>
      <c r="C30" s="1819"/>
      <c r="D30" s="386"/>
      <c r="E30" s="1820"/>
      <c r="F30" s="386"/>
      <c r="G30" s="1820"/>
      <c r="H30" s="386"/>
      <c r="I30" s="1820"/>
      <c r="J30" s="386"/>
      <c r="K30" s="590"/>
      <c r="L30" s="2482"/>
      <c r="M30" s="2433"/>
      <c r="N30" s="2433"/>
      <c r="O30" s="2534"/>
      <c r="P30" s="3439"/>
      <c r="Q30" s="529"/>
      <c r="R30" s="662"/>
      <c r="S30" s="663"/>
      <c r="T30" s="662"/>
      <c r="U30" s="663"/>
      <c r="V30" s="662"/>
      <c r="W30" s="663"/>
      <c r="X30" s="664"/>
      <c r="Y30" s="3439"/>
      <c r="Z30" s="50"/>
      <c r="AA30" s="1257">
        <v>1</v>
      </c>
      <c r="AB30" s="1257">
        <v>1</v>
      </c>
      <c r="AC30" s="1257">
        <v>1</v>
      </c>
    </row>
    <row r="31" spans="1:29" ht="15">
      <c r="A31" s="366"/>
      <c r="B31" s="394" t="s">
        <v>1777</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39"/>
      <c r="Q31" s="1256" t="str">
        <f t="shared" si="8"/>
        <v>临街状况</v>
      </c>
      <c r="R31" s="665" t="s">
        <v>14</v>
      </c>
      <c r="S31" s="666">
        <f t="shared" ref="S31:S45" si="10">F31</f>
        <v>100</v>
      </c>
      <c r="T31" s="665" t="s">
        <v>14</v>
      </c>
      <c r="U31" s="666">
        <f t="shared" ref="U31:U45" si="11">H31</f>
        <v>100</v>
      </c>
      <c r="V31" s="665" t="s">
        <v>14</v>
      </c>
      <c r="W31" s="666">
        <f t="shared" ref="W31:W45" si="12">J31</f>
        <v>100</v>
      </c>
      <c r="X31" s="1258"/>
      <c r="Y31" s="3439"/>
      <c r="Z31" s="1257" t="str">
        <f t="shared" ref="Z31:Z45" si="13">Q31</f>
        <v>临街状况</v>
      </c>
      <c r="AA31" s="1257">
        <f t="shared" si="3"/>
        <v>1</v>
      </c>
      <c r="AB31" s="1257">
        <f t="shared" si="4"/>
        <v>1</v>
      </c>
      <c r="AC31" s="1257">
        <f t="shared" si="5"/>
        <v>1</v>
      </c>
    </row>
    <row r="32" spans="1:29" ht="27">
      <c r="A32" s="366"/>
      <c r="B32" s="584"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39"/>
      <c r="Q32" s="1256" t="str">
        <f t="shared" si="8"/>
        <v>毗邻道路的类型与等级</v>
      </c>
      <c r="R32" s="665" t="s">
        <v>14</v>
      </c>
      <c r="S32" s="666">
        <f t="shared" si="10"/>
        <v>100</v>
      </c>
      <c r="T32" s="665" t="s">
        <v>14</v>
      </c>
      <c r="U32" s="666">
        <f t="shared" si="11"/>
        <v>100</v>
      </c>
      <c r="V32" s="665" t="s">
        <v>14</v>
      </c>
      <c r="W32" s="666">
        <f t="shared" si="12"/>
        <v>100</v>
      </c>
      <c r="X32" s="1258"/>
      <c r="Y32" s="3439"/>
      <c r="Z32" s="1257" t="str">
        <f t="shared" si="13"/>
        <v>毗邻道路的类型与等级</v>
      </c>
      <c r="AA32" s="1257">
        <f t="shared" si="3"/>
        <v>1</v>
      </c>
      <c r="AB32" s="1257">
        <f t="shared" si="4"/>
        <v>1</v>
      </c>
      <c r="AC32" s="1257">
        <f t="shared" si="5"/>
        <v>1</v>
      </c>
    </row>
    <row r="33" spans="1:29" ht="15">
      <c r="A33" s="366"/>
      <c r="B33" s="394"/>
      <c r="C33" s="385"/>
      <c r="D33" s="386"/>
      <c r="E33" s="1751"/>
      <c r="F33" s="386"/>
      <c r="G33" s="1751"/>
      <c r="H33" s="386"/>
      <c r="I33" s="385"/>
      <c r="J33" s="386"/>
      <c r="K33" s="538"/>
      <c r="L33" s="2486"/>
      <c r="M33" s="2481"/>
      <c r="N33" s="2481"/>
      <c r="O33" s="2536"/>
      <c r="P33" s="3439"/>
      <c r="Q33" s="1256"/>
      <c r="R33" s="665"/>
      <c r="S33" s="666"/>
      <c r="T33" s="665"/>
      <c r="U33" s="666"/>
      <c r="V33" s="665"/>
      <c r="W33" s="666"/>
      <c r="X33" s="1258"/>
      <c r="Y33" s="3439"/>
      <c r="Z33" s="1257"/>
      <c r="AA33" s="1257">
        <v>1</v>
      </c>
      <c r="AB33" s="1257">
        <v>1</v>
      </c>
      <c r="AC33" s="1257">
        <v>1</v>
      </c>
    </row>
    <row r="34" spans="1:29" ht="15">
      <c r="A34" s="366"/>
      <c r="B34" s="363" t="s">
        <v>1870</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39"/>
      <c r="Q34" s="1256" t="str">
        <f t="shared" si="8"/>
        <v>土地级别</v>
      </c>
      <c r="R34" s="665" t="s">
        <v>14</v>
      </c>
      <c r="S34" s="666">
        <f t="shared" si="10"/>
        <v>100</v>
      </c>
      <c r="T34" s="665" t="s">
        <v>14</v>
      </c>
      <c r="U34" s="666">
        <f t="shared" si="11"/>
        <v>100</v>
      </c>
      <c r="V34" s="665" t="s">
        <v>14</v>
      </c>
      <c r="W34" s="666">
        <f t="shared" si="12"/>
        <v>100</v>
      </c>
      <c r="X34" s="1258"/>
      <c r="Y34" s="3439"/>
      <c r="Z34" s="1257" t="str">
        <f t="shared" si="13"/>
        <v>土地级别</v>
      </c>
      <c r="AA34" s="1257">
        <f t="shared" si="3"/>
        <v>1</v>
      </c>
      <c r="AB34" s="1257">
        <f t="shared" si="4"/>
        <v>1</v>
      </c>
      <c r="AC34" s="1257">
        <f t="shared" si="5"/>
        <v>1</v>
      </c>
    </row>
    <row r="35" spans="1:29" ht="15">
      <c r="A35" s="347"/>
      <c r="B35" s="1061">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39"/>
      <c r="Q35" s="1256">
        <f t="shared" si="8"/>
        <v>111</v>
      </c>
      <c r="R35" s="665" t="s">
        <v>14</v>
      </c>
      <c r="S35" s="666">
        <f t="shared" si="10"/>
        <v>100</v>
      </c>
      <c r="T35" s="665" t="s">
        <v>14</v>
      </c>
      <c r="U35" s="666">
        <f t="shared" si="11"/>
        <v>100</v>
      </c>
      <c r="V35" s="665" t="s">
        <v>14</v>
      </c>
      <c r="W35" s="666">
        <f t="shared" si="12"/>
        <v>100</v>
      </c>
      <c r="X35" s="1258"/>
      <c r="Y35" s="3439"/>
      <c r="Z35" s="1257">
        <f t="shared" si="13"/>
        <v>111</v>
      </c>
      <c r="AA35" s="1257">
        <f t="shared" si="3"/>
        <v>1</v>
      </c>
      <c r="AB35" s="1257">
        <f t="shared" si="4"/>
        <v>1</v>
      </c>
      <c r="AC35" s="1257">
        <f t="shared" si="5"/>
        <v>1</v>
      </c>
    </row>
    <row r="36" spans="1:29" ht="15">
      <c r="A36" s="593"/>
      <c r="B36" s="1062">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6" t="s">
        <v>1693</v>
      </c>
      <c r="Q36" s="1256">
        <f t="shared" si="8"/>
        <v>111</v>
      </c>
      <c r="R36" s="665" t="s">
        <v>14</v>
      </c>
      <c r="S36" s="666">
        <f t="shared" si="10"/>
        <v>100</v>
      </c>
      <c r="T36" s="665" t="s">
        <v>14</v>
      </c>
      <c r="U36" s="666">
        <f t="shared" si="11"/>
        <v>100</v>
      </c>
      <c r="V36" s="665" t="s">
        <v>14</v>
      </c>
      <c r="W36" s="666">
        <f t="shared" si="12"/>
        <v>100</v>
      </c>
      <c r="X36" s="1258"/>
      <c r="Y36" s="3443" t="s">
        <v>1693</v>
      </c>
      <c r="Z36" s="1257">
        <f t="shared" si="13"/>
        <v>111</v>
      </c>
      <c r="AA36" s="1257">
        <f t="shared" si="3"/>
        <v>1</v>
      </c>
      <c r="AB36" s="1257">
        <f t="shared" si="4"/>
        <v>1</v>
      </c>
      <c r="AC36" s="1257">
        <f t="shared" si="5"/>
        <v>1</v>
      </c>
    </row>
    <row r="37" spans="1:29" s="407" customFormat="1" ht="15.75" thickBot="1">
      <c r="A37" s="594"/>
      <c r="B37" s="1063">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43"/>
      <c r="Q37" s="1256">
        <f t="shared" si="8"/>
        <v>111</v>
      </c>
      <c r="R37" s="667" t="s">
        <v>14</v>
      </c>
      <c r="S37" s="668">
        <f t="shared" si="10"/>
        <v>100</v>
      </c>
      <c r="T37" s="667" t="s">
        <v>14</v>
      </c>
      <c r="U37" s="668">
        <f t="shared" si="11"/>
        <v>100</v>
      </c>
      <c r="V37" s="667" t="s">
        <v>14</v>
      </c>
      <c r="W37" s="668">
        <f t="shared" si="12"/>
        <v>100</v>
      </c>
      <c r="X37" s="669"/>
      <c r="Y37" s="3443"/>
      <c r="Z37" s="670">
        <f t="shared" si="13"/>
        <v>111</v>
      </c>
      <c r="AA37" s="1257">
        <f t="shared" si="3"/>
        <v>1</v>
      </c>
      <c r="AB37" s="1257">
        <f t="shared" si="4"/>
        <v>1</v>
      </c>
      <c r="AC37" s="1257">
        <f t="shared" si="5"/>
        <v>1</v>
      </c>
    </row>
    <row r="38" spans="1:29" ht="15">
      <c r="A38" s="408" t="s">
        <v>1691</v>
      </c>
      <c r="B38" s="394" t="s">
        <v>1871</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43"/>
      <c r="Q38" s="1256" t="str">
        <f>B38</f>
        <v>宗地面积</v>
      </c>
      <c r="R38" s="665" t="s">
        <v>14</v>
      </c>
      <c r="S38" s="666" t="e">
        <f t="shared" si="10"/>
        <v>#N/A</v>
      </c>
      <c r="T38" s="665" t="s">
        <v>14</v>
      </c>
      <c r="U38" s="666" t="e">
        <f t="shared" si="11"/>
        <v>#N/A</v>
      </c>
      <c r="V38" s="665" t="s">
        <v>14</v>
      </c>
      <c r="W38" s="666" t="e">
        <f t="shared" si="12"/>
        <v>#N/A</v>
      </c>
      <c r="X38" s="1258"/>
      <c r="Y38" s="3443"/>
      <c r="Z38" s="1257" t="str">
        <f t="shared" si="13"/>
        <v>宗地面积</v>
      </c>
      <c r="AA38" s="1257" t="e">
        <f t="shared" si="3"/>
        <v>#N/A</v>
      </c>
      <c r="AB38" s="1257" t="e">
        <f t="shared" si="4"/>
        <v>#N/A</v>
      </c>
      <c r="AC38" s="1257" t="e">
        <f t="shared" si="5"/>
        <v>#N/A</v>
      </c>
    </row>
    <row r="39" spans="1:29" ht="15">
      <c r="A39" s="408"/>
      <c r="B39" s="363" t="s">
        <v>1872</v>
      </c>
      <c r="C39" s="1753"/>
      <c r="D39" s="373">
        <v>100</v>
      </c>
      <c r="E39" s="1753"/>
      <c r="F39" s="373">
        <f>SUMIF(118:118,E39,119:119)-SUMIF(118:118,C39,119:119)+100</f>
        <v>100</v>
      </c>
      <c r="G39" s="1753"/>
      <c r="H39" s="373">
        <f>SUMIF(118:118,G39,119:119)-SUMIF(118:118,C39,119:119)+100</f>
        <v>100</v>
      </c>
      <c r="I39" s="1753"/>
      <c r="J39" s="373">
        <f>SUMIF(118:118,I39,119:119)-SUMIF(118:118,C39,119:119)+100</f>
        <v>100</v>
      </c>
      <c r="K39" s="537"/>
      <c r="L39" s="2486"/>
      <c r="M39" s="2481"/>
      <c r="N39" s="2481"/>
      <c r="O39" s="2536"/>
      <c r="P39" s="3443"/>
      <c r="Q39" s="1256" t="str">
        <f t="shared" ref="Q39:Q45" si="14">B39</f>
        <v>宗地形状</v>
      </c>
      <c r="R39" s="665" t="s">
        <v>14</v>
      </c>
      <c r="S39" s="666">
        <f t="shared" si="10"/>
        <v>100</v>
      </c>
      <c r="T39" s="665" t="s">
        <v>14</v>
      </c>
      <c r="U39" s="666">
        <f t="shared" si="11"/>
        <v>100</v>
      </c>
      <c r="V39" s="665" t="s">
        <v>14</v>
      </c>
      <c r="W39" s="666">
        <f t="shared" si="12"/>
        <v>100</v>
      </c>
      <c r="X39" s="1258"/>
      <c r="Y39" s="3443"/>
      <c r="Z39" s="1257" t="str">
        <f t="shared" si="13"/>
        <v>宗地形状</v>
      </c>
      <c r="AA39" s="1257">
        <f t="shared" si="3"/>
        <v>1</v>
      </c>
      <c r="AB39" s="1257">
        <f t="shared" si="4"/>
        <v>1</v>
      </c>
      <c r="AC39" s="1257">
        <f t="shared" si="5"/>
        <v>1</v>
      </c>
    </row>
    <row r="40" spans="1:29" ht="15">
      <c r="A40" s="408"/>
      <c r="B40" s="363" t="s">
        <v>1873</v>
      </c>
      <c r="C40" s="1753"/>
      <c r="D40" s="373">
        <v>100</v>
      </c>
      <c r="E40" s="1753"/>
      <c r="F40" s="373">
        <f>SUMIF(120:120,E40,121:121)-SUMIF(120:120,C40,121:121)+100</f>
        <v>100</v>
      </c>
      <c r="G40" s="1753"/>
      <c r="H40" s="373">
        <f>SUMIF(120:120,G40,121:121)-SUMIF(120:120,C40,121:121)+100</f>
        <v>100</v>
      </c>
      <c r="I40" s="1753"/>
      <c r="J40" s="373">
        <f>SUMIF(120:120,I40,121:121)-SUMIF(120:120,C40,121:121)+100</f>
        <v>100</v>
      </c>
      <c r="K40" s="537"/>
      <c r="L40" s="2486"/>
      <c r="M40" s="2481"/>
      <c r="N40" s="2481"/>
      <c r="O40" s="2536"/>
      <c r="P40" s="3443"/>
      <c r="Q40" s="1256" t="str">
        <f t="shared" si="14"/>
        <v>临街宽度及深度</v>
      </c>
      <c r="R40" s="665" t="s">
        <v>14</v>
      </c>
      <c r="S40" s="666">
        <f t="shared" si="10"/>
        <v>100</v>
      </c>
      <c r="T40" s="665" t="s">
        <v>14</v>
      </c>
      <c r="U40" s="666">
        <f t="shared" si="11"/>
        <v>100</v>
      </c>
      <c r="V40" s="665" t="s">
        <v>14</v>
      </c>
      <c r="W40" s="666">
        <f t="shared" si="12"/>
        <v>100</v>
      </c>
      <c r="X40" s="1258"/>
      <c r="Y40" s="3443"/>
      <c r="Z40" s="1257" t="str">
        <f t="shared" si="13"/>
        <v>临街宽度及深度</v>
      </c>
      <c r="AA40" s="1257">
        <f t="shared" si="3"/>
        <v>1</v>
      </c>
      <c r="AB40" s="1257">
        <f t="shared" si="4"/>
        <v>1</v>
      </c>
      <c r="AC40" s="1257">
        <f t="shared" si="5"/>
        <v>1</v>
      </c>
    </row>
    <row r="41" spans="1:29" s="102" customFormat="1" ht="15">
      <c r="A41" s="409"/>
      <c r="B41" s="363" t="s">
        <v>1874</v>
      </c>
      <c r="C41" s="1821"/>
      <c r="D41" s="118">
        <v>100</v>
      </c>
      <c r="E41" s="1821"/>
      <c r="F41" s="373">
        <f>SUMIF(122:122,E41,123:123)-SUMIF(122:122,C41,123:123)+100</f>
        <v>100</v>
      </c>
      <c r="G41" s="1821"/>
      <c r="H41" s="373">
        <f>SUMIF(122:122,G41,123:123)-SUMIF(122:122,C41,123:123)+100</f>
        <v>100</v>
      </c>
      <c r="I41" s="1821"/>
      <c r="J41" s="373">
        <f>SUMIF(122:122,I41,123:123)-SUMIF(122:122,C41,123:123)+100</f>
        <v>100</v>
      </c>
      <c r="K41" s="537"/>
      <c r="L41" s="2482"/>
      <c r="M41" s="2433"/>
      <c r="N41" s="2433"/>
      <c r="O41" s="2534"/>
      <c r="P41" s="3443"/>
      <c r="Q41" s="1256" t="str">
        <f t="shared" si="14"/>
        <v>宗地开发程度</v>
      </c>
      <c r="R41" s="662" t="s">
        <v>14</v>
      </c>
      <c r="S41" s="663">
        <f t="shared" si="10"/>
        <v>100</v>
      </c>
      <c r="T41" s="662" t="s">
        <v>14</v>
      </c>
      <c r="U41" s="663">
        <f t="shared" si="11"/>
        <v>100</v>
      </c>
      <c r="V41" s="662" t="s">
        <v>14</v>
      </c>
      <c r="W41" s="663">
        <f t="shared" si="12"/>
        <v>100</v>
      </c>
      <c r="X41" s="664"/>
      <c r="Y41" s="3443"/>
      <c r="Z41" s="50" t="str">
        <f t="shared" si="13"/>
        <v>宗地开发程度</v>
      </c>
      <c r="AA41" s="50">
        <f t="shared" si="3"/>
        <v>1</v>
      </c>
      <c r="AB41" s="50">
        <f t="shared" si="4"/>
        <v>1</v>
      </c>
      <c r="AC41" s="50">
        <f t="shared" si="5"/>
        <v>1</v>
      </c>
    </row>
    <row r="42" spans="1:29" ht="15">
      <c r="A42" s="408"/>
      <c r="B42" s="363" t="s">
        <v>1875</v>
      </c>
      <c r="C42" s="1753"/>
      <c r="D42" s="373">
        <v>100</v>
      </c>
      <c r="E42" s="1753"/>
      <c r="F42" s="373">
        <f>SUMIF(124:124,E42,125:125)-SUMIF(124:124,C42,125:125)+100</f>
        <v>100</v>
      </c>
      <c r="G42" s="1753"/>
      <c r="H42" s="373">
        <f>SUMIF(124:124,G42,125:125)-SUMIF(124:124,C42,125:125)+100</f>
        <v>100</v>
      </c>
      <c r="I42" s="1753"/>
      <c r="J42" s="373">
        <f>SUMIF(124:124,I42,125:125)-SUMIF(124:124,C42,125:125)+100</f>
        <v>100</v>
      </c>
      <c r="K42" s="537"/>
      <c r="L42" s="2486"/>
      <c r="M42" s="2481"/>
      <c r="N42" s="2481"/>
      <c r="O42" s="2536"/>
      <c r="P42" s="3443" t="s">
        <v>1693</v>
      </c>
      <c r="Q42" s="1256" t="str">
        <f t="shared" si="14"/>
        <v>工程地质条件</v>
      </c>
      <c r="R42" s="665" t="s">
        <v>14</v>
      </c>
      <c r="S42" s="666">
        <f t="shared" si="10"/>
        <v>100</v>
      </c>
      <c r="T42" s="665" t="s">
        <v>14</v>
      </c>
      <c r="U42" s="666">
        <f t="shared" si="11"/>
        <v>100</v>
      </c>
      <c r="V42" s="665" t="s">
        <v>14</v>
      </c>
      <c r="W42" s="666">
        <f t="shared" si="12"/>
        <v>100</v>
      </c>
      <c r="X42" s="1258"/>
      <c r="Y42" s="3443" t="s">
        <v>1693</v>
      </c>
      <c r="Z42" s="1257" t="str">
        <f t="shared" si="13"/>
        <v>工程地质条件</v>
      </c>
      <c r="AA42" s="1257">
        <f t="shared" si="3"/>
        <v>1</v>
      </c>
      <c r="AB42" s="1257">
        <f t="shared" si="4"/>
        <v>1</v>
      </c>
      <c r="AC42" s="1257">
        <f t="shared" si="5"/>
        <v>1</v>
      </c>
    </row>
    <row r="43" spans="1:29" ht="15">
      <c r="A43" s="408"/>
      <c r="B43" s="1062">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43"/>
      <c r="Q43" s="1256">
        <f t="shared" si="14"/>
        <v>111</v>
      </c>
      <c r="R43" s="665" t="s">
        <v>14</v>
      </c>
      <c r="S43" s="666">
        <f t="shared" si="10"/>
        <v>100</v>
      </c>
      <c r="T43" s="665" t="s">
        <v>14</v>
      </c>
      <c r="U43" s="666">
        <f t="shared" si="11"/>
        <v>100</v>
      </c>
      <c r="V43" s="665" t="s">
        <v>14</v>
      </c>
      <c r="W43" s="666">
        <f t="shared" si="12"/>
        <v>100</v>
      </c>
      <c r="X43" s="1258"/>
      <c r="Y43" s="3443"/>
      <c r="Z43" s="1257">
        <f t="shared" si="13"/>
        <v>111</v>
      </c>
      <c r="AA43" s="1257">
        <f t="shared" si="3"/>
        <v>1</v>
      </c>
      <c r="AB43" s="1257">
        <f t="shared" si="4"/>
        <v>1</v>
      </c>
      <c r="AC43" s="1257">
        <f t="shared" si="5"/>
        <v>1</v>
      </c>
    </row>
    <row r="44" spans="1:29" ht="15">
      <c r="A44" s="408"/>
      <c r="B44" s="1062">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43"/>
      <c r="Q44" s="1256">
        <f t="shared" si="14"/>
        <v>111</v>
      </c>
      <c r="R44" s="665" t="s">
        <v>14</v>
      </c>
      <c r="S44" s="666">
        <f t="shared" si="10"/>
        <v>100</v>
      </c>
      <c r="T44" s="665" t="s">
        <v>14</v>
      </c>
      <c r="U44" s="666">
        <f t="shared" si="11"/>
        <v>100</v>
      </c>
      <c r="V44" s="665" t="s">
        <v>14</v>
      </c>
      <c r="W44" s="666">
        <f t="shared" si="12"/>
        <v>100</v>
      </c>
      <c r="X44" s="1258"/>
      <c r="Y44" s="3443"/>
      <c r="Z44" s="1257">
        <f t="shared" si="13"/>
        <v>111</v>
      </c>
      <c r="AA44" s="1257">
        <f t="shared" si="3"/>
        <v>1</v>
      </c>
      <c r="AB44" s="1257">
        <f t="shared" si="4"/>
        <v>1</v>
      </c>
      <c r="AC44" s="1257">
        <f t="shared" si="5"/>
        <v>1</v>
      </c>
    </row>
    <row r="45" spans="1:29" s="407" customFormat="1" ht="15.75" thickBot="1">
      <c r="A45" s="405"/>
      <c r="B45" s="1062">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43"/>
      <c r="Q45" s="1256">
        <f t="shared" si="14"/>
        <v>111</v>
      </c>
      <c r="R45" s="667" t="s">
        <v>14</v>
      </c>
      <c r="S45" s="668">
        <f t="shared" si="10"/>
        <v>100</v>
      </c>
      <c r="T45" s="667" t="s">
        <v>14</v>
      </c>
      <c r="U45" s="668">
        <f t="shared" si="11"/>
        <v>100</v>
      </c>
      <c r="V45" s="667" t="s">
        <v>14</v>
      </c>
      <c r="W45" s="668">
        <f t="shared" si="12"/>
        <v>100</v>
      </c>
      <c r="X45" s="669"/>
      <c r="Y45" s="3443"/>
      <c r="Z45" s="670">
        <f t="shared" si="13"/>
        <v>111</v>
      </c>
      <c r="AA45" s="1257">
        <f t="shared" si="3"/>
        <v>1</v>
      </c>
      <c r="AB45" s="1257">
        <f t="shared" si="4"/>
        <v>1</v>
      </c>
      <c r="AC45" s="1257">
        <f t="shared" si="5"/>
        <v>1</v>
      </c>
    </row>
    <row r="46" spans="1:29" ht="15">
      <c r="A46" s="415" t="s">
        <v>1841</v>
      </c>
      <c r="B46" s="1823" t="s">
        <v>1876</v>
      </c>
      <c r="C46" s="600" t="s">
        <v>0</v>
      </c>
      <c r="D46" s="417"/>
      <c r="E46" s="418"/>
      <c r="F46" s="419"/>
      <c r="G46" s="420"/>
      <c r="H46" s="421"/>
      <c r="I46" s="418"/>
      <c r="J46" s="421"/>
      <c r="K46" s="672"/>
      <c r="L46" s="2488"/>
      <c r="M46" s="2481"/>
      <c r="N46" s="2481"/>
      <c r="O46" s="2481"/>
      <c r="P46" s="3436" t="str">
        <f>A46</f>
        <v>成交单价</v>
      </c>
      <c r="Q46" s="3436"/>
      <c r="R46" s="3437">
        <f>E46</f>
        <v>0</v>
      </c>
      <c r="S46" s="3437"/>
      <c r="T46" s="3437">
        <f>G46</f>
        <v>0</v>
      </c>
      <c r="U46" s="3437"/>
      <c r="V46" s="3437">
        <f>I46</f>
        <v>0</v>
      </c>
      <c r="W46" s="3437"/>
      <c r="X46" s="384"/>
      <c r="Y46" s="671"/>
      <c r="Z46" s="384"/>
      <c r="AA46" s="384"/>
      <c r="AB46" s="384"/>
      <c r="AC46" s="384"/>
    </row>
    <row r="47" spans="1:29" ht="15.75" thickBot="1">
      <c r="A47" s="422" t="s">
        <v>1790</v>
      </c>
      <c r="B47" s="601"/>
      <c r="C47" s="425" t="e">
        <f>R48</f>
        <v>#DIV/0!</v>
      </c>
      <c r="D47" s="2134" t="s">
        <v>2134</v>
      </c>
      <c r="E47" s="425" t="e">
        <f>R47</f>
        <v>#DIV/0!</v>
      </c>
      <c r="F47" s="2135"/>
      <c r="G47" s="424" t="e">
        <f>T47</f>
        <v>#DIV/0!</v>
      </c>
      <c r="H47" s="2135"/>
      <c r="I47" s="425" t="e">
        <f>V47</f>
        <v>#DIV/0!</v>
      </c>
      <c r="J47" s="2135"/>
      <c r="K47" s="2137">
        <f>F47+H47+J47</f>
        <v>0</v>
      </c>
      <c r="L47" s="2488"/>
      <c r="M47" s="2481"/>
      <c r="N47" s="2481"/>
      <c r="O47" s="2481"/>
      <c r="P47" s="3436" t="str">
        <f>A47</f>
        <v>比较价值（元/平方米）</v>
      </c>
      <c r="Q47" s="3436"/>
      <c r="R47" s="3503" t="e">
        <f>ROUND(PRODUCT(R46,AA7:AA45),0)</f>
        <v>#DIV/0!</v>
      </c>
      <c r="S47" s="3503"/>
      <c r="T47" s="3503" t="e">
        <f>ROUND(PRODUCT(T46,AB7:AB45),0)</f>
        <v>#DIV/0!</v>
      </c>
      <c r="U47" s="3503"/>
      <c r="V47" s="3503" t="e">
        <f>ROUND(PRODUCT(V46,AC7:AC45),0)</f>
        <v>#DIV/0!</v>
      </c>
      <c r="W47" s="3503"/>
      <c r="X47" s="384"/>
      <c r="Y47" s="384"/>
      <c r="Z47" s="384"/>
      <c r="AA47" s="384"/>
      <c r="AB47" s="384"/>
      <c r="AC47" s="384"/>
    </row>
    <row r="48" spans="1:29" ht="15.75" thickBot="1">
      <c r="A48" s="426" t="s">
        <v>1877</v>
      </c>
      <c r="B48" s="427"/>
      <c r="C48" s="428" t="e">
        <f>R48</f>
        <v>#DIV/0!</v>
      </c>
      <c r="D48" s="428"/>
      <c r="E48" s="428"/>
      <c r="F48" s="428"/>
      <c r="G48" s="428"/>
      <c r="H48" s="428"/>
      <c r="I48" s="428"/>
      <c r="J48" s="428"/>
      <c r="K48" s="673"/>
      <c r="L48" s="2488"/>
      <c r="M48" s="2481"/>
      <c r="N48" s="2481"/>
      <c r="O48" s="2481"/>
      <c r="P48" s="3433" t="str">
        <f>A48</f>
        <v>估价对象XX用房的比较价值（楼面单价，元/平方米）</v>
      </c>
      <c r="Q48" s="3434"/>
      <c r="R48" s="3504" t="e">
        <f>ROUND(IF(D47="简单平均",AVERAGE(R47:W47),R47*F47+T47*H47+V47*J47),0)</f>
        <v>#DIV/0!</v>
      </c>
      <c r="S48" s="3504"/>
      <c r="T48" s="3504"/>
      <c r="U48" s="3504"/>
      <c r="V48" s="3504"/>
      <c r="W48" s="350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1878</v>
      </c>
      <c r="B55" s="603" t="s">
        <v>1879</v>
      </c>
      <c r="C55" s="1824" t="s">
        <v>1880</v>
      </c>
      <c r="D55" s="1825" t="s">
        <v>1881</v>
      </c>
      <c r="E55" s="604" t="s">
        <v>1882</v>
      </c>
      <c r="F55" s="833" t="s">
        <v>1883</v>
      </c>
      <c r="G55" s="3451" t="s">
        <v>1884</v>
      </c>
      <c r="H55" s="3505"/>
      <c r="I55" s="126" t="s">
        <v>1885</v>
      </c>
      <c r="J55" s="1826">
        <f>项目基本情况!F35</f>
        <v>0</v>
      </c>
      <c r="K55" s="1827" t="s">
        <v>1886</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1887</v>
      </c>
      <c r="B56" s="607" t="e">
        <f>C48</f>
        <v>#DIV/0!</v>
      </c>
      <c r="C56" s="608">
        <v>1</v>
      </c>
      <c r="D56" s="886">
        <v>1</v>
      </c>
      <c r="E56" s="608">
        <f>'数据-汇总表'!E8+'数据-汇总表'!E9</f>
        <v>174099.34999999995</v>
      </c>
      <c r="F56" s="829" t="e">
        <f t="shared" ref="F56:F64" si="15">ROUND(B56*E56/10000,0)</f>
        <v>#DIV/0!</v>
      </c>
      <c r="G56" s="3447"/>
      <c r="H56" s="3436"/>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1888</v>
      </c>
      <c r="B57" s="209" t="e">
        <f>ROUND($C$48*C57*D57,0)</f>
        <v>#DIV/0!</v>
      </c>
      <c r="C57" s="162">
        <f t="shared" ref="C57:C64" si="16">IF($C$55="北京市系数",I57,J57)</f>
        <v>0.6</v>
      </c>
      <c r="D57" s="887">
        <v>0.25</v>
      </c>
      <c r="E57" s="612"/>
      <c r="F57" s="829" t="e">
        <f t="shared" si="15"/>
        <v>#DIV/0!</v>
      </c>
      <c r="G57" s="2744" t="s">
        <v>1889</v>
      </c>
      <c r="H57" s="830" t="str">
        <f>项目基本情况!B37</f>
        <v>七级</v>
      </c>
      <c r="I57" s="834">
        <f>SUMIF(修正!A57:A68,H57,修正!B57:B68)</f>
        <v>0.6</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1890</v>
      </c>
      <c r="B58" s="209" t="e">
        <f t="shared" ref="B58:B64" si="17">ROUND($C$48*C58*D58,0)</f>
        <v>#DIV/0!</v>
      </c>
      <c r="C58" s="162">
        <f t="shared" si="16"/>
        <v>0.3</v>
      </c>
      <c r="D58" s="887">
        <v>0.25</v>
      </c>
      <c r="E58" s="612"/>
      <c r="F58" s="829" t="e">
        <f t="shared" si="15"/>
        <v>#DIV/0!</v>
      </c>
      <c r="G58" s="2745"/>
      <c r="H58" s="830" t="str">
        <f>项目基本情况!B37</f>
        <v>七级</v>
      </c>
      <c r="I58" s="834">
        <f>SUMIF(修正!A57:A68,H58,修正!C57:C68)</f>
        <v>0.3</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1891</v>
      </c>
      <c r="B59" s="209" t="e">
        <f t="shared" si="17"/>
        <v>#DIV/0!</v>
      </c>
      <c r="C59" s="162">
        <f t="shared" si="16"/>
        <v>0.25</v>
      </c>
      <c r="D59" s="887">
        <v>0.25</v>
      </c>
      <c r="E59" s="612"/>
      <c r="F59" s="829" t="e">
        <f t="shared" si="15"/>
        <v>#DIV/0!</v>
      </c>
      <c r="G59" s="2745"/>
      <c r="H59" s="830" t="str">
        <f>项目基本情况!B37</f>
        <v>七级</v>
      </c>
      <c r="I59" s="834">
        <f>SUMIF(修正!A57:A68,H59,修正!D57:D68)</f>
        <v>0.25</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1892</v>
      </c>
      <c r="B60" s="209" t="e">
        <f t="shared" si="17"/>
        <v>#DIV/0!</v>
      </c>
      <c r="C60" s="162">
        <f t="shared" si="16"/>
        <v>0.25</v>
      </c>
      <c r="D60" s="887">
        <v>0.25</v>
      </c>
      <c r="E60" s="208">
        <f>'数据-汇总表'!E11</f>
        <v>0</v>
      </c>
      <c r="F60" s="829" t="e">
        <f t="shared" si="15"/>
        <v>#DIV/0!</v>
      </c>
      <c r="G60" s="1828" t="s">
        <v>1893</v>
      </c>
      <c r="H60" s="830" t="str">
        <f>项目基本情况!C37</f>
        <v>七级</v>
      </c>
      <c r="I60" s="834">
        <f>SUMIF(修正!A57:A68,H60,修正!E57:E68)</f>
        <v>0.25</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1894</v>
      </c>
      <c r="B61" s="209" t="e">
        <f t="shared" si="17"/>
        <v>#DIV/0!</v>
      </c>
      <c r="C61" s="162">
        <f t="shared" si="16"/>
        <v>0.25</v>
      </c>
      <c r="D61" s="887">
        <v>0.25</v>
      </c>
      <c r="E61" s="208">
        <f>'数据-汇总表'!E12</f>
        <v>0</v>
      </c>
      <c r="F61" s="829" t="e">
        <f t="shared" si="15"/>
        <v>#DIV/0!</v>
      </c>
      <c r="G61" s="835" t="s">
        <v>1895</v>
      </c>
      <c r="H61" s="830" t="str">
        <f>IF(G61="商业",项目基本情况!B37,IF(G61="办公",项目基本情况!C37,IF(G61="住宅",项目基本情况!D37,项目基本情况!E37)))</f>
        <v>七级</v>
      </c>
      <c r="I61" s="834">
        <f>SUMIF(修正!A57:A68,H61,修正!F57:F68)</f>
        <v>0.25</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1896</v>
      </c>
      <c r="B62" s="209" t="e">
        <f t="shared" si="17"/>
        <v>#DIV/0!</v>
      </c>
      <c r="C62" s="162">
        <f t="shared" si="16"/>
        <v>0</v>
      </c>
      <c r="D62" s="887">
        <v>0.25</v>
      </c>
      <c r="E62" s="208">
        <f>'数据-汇总表'!E13</f>
        <v>0</v>
      </c>
      <c r="F62" s="829" t="e">
        <f t="shared" si="15"/>
        <v>#DIV/0!</v>
      </c>
      <c r="G62" s="835" t="s">
        <v>1897</v>
      </c>
      <c r="H62" s="830">
        <f>IF(G62="商业",项目基本情况!B37,IF(G62="办公",项目基本情况!C37,IF(G62="住宅",项目基本情况!D37,项目基本情况!E37)))</f>
        <v>0</v>
      </c>
      <c r="I62" s="834">
        <f>SUMIF(修正!A57:A68,H62,修正!G57:G68)</f>
        <v>0</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1898</v>
      </c>
      <c r="B63" s="209" t="e">
        <f t="shared" si="17"/>
        <v>#DIV/0!</v>
      </c>
      <c r="C63" s="162">
        <f t="shared" si="16"/>
        <v>0.15</v>
      </c>
      <c r="D63" s="887">
        <v>0.25</v>
      </c>
      <c r="E63" s="208">
        <f>'数据-汇总表'!E14</f>
        <v>0</v>
      </c>
      <c r="F63" s="829" t="e">
        <f t="shared" si="15"/>
        <v>#DIV/0!</v>
      </c>
      <c r="G63" s="1828" t="s">
        <v>1889</v>
      </c>
      <c r="H63" s="830" t="str">
        <f>项目基本情况!B37</f>
        <v>七级</v>
      </c>
      <c r="I63" s="834">
        <f>SUMIF(修正!A57:A68,H63,修正!G57:G68)</f>
        <v>0.15</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1899</v>
      </c>
      <c r="B64" s="209" t="e">
        <f t="shared" si="17"/>
        <v>#DIV/0!</v>
      </c>
      <c r="C64" s="162">
        <f t="shared" si="16"/>
        <v>0.15</v>
      </c>
      <c r="D64" s="887">
        <v>0.25</v>
      </c>
      <c r="E64" s="208">
        <f>'数据-汇总表'!E15</f>
        <v>0</v>
      </c>
      <c r="F64" s="829" t="e">
        <f t="shared" si="15"/>
        <v>#DIV/0!</v>
      </c>
      <c r="G64" s="1829" t="s">
        <v>1893</v>
      </c>
      <c r="H64" s="840" t="str">
        <f>项目基本情况!C37</f>
        <v>七级</v>
      </c>
      <c r="I64" s="836">
        <f>SUMIF(修正!A57:A68,H64,修正!G57:G68)</f>
        <v>0.15</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1900</v>
      </c>
      <c r="B65" s="614" t="s">
        <v>22</v>
      </c>
      <c r="C65" s="614" t="s">
        <v>23</v>
      </c>
      <c r="D65" s="614" t="s">
        <v>392</v>
      </c>
      <c r="E65" s="614">
        <f>IF(B46="楼面地价",SUM(E56:E64),'数据-汇总表'!D3)</f>
        <v>174099.34999999995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4"/>
      <c r="B67" s="654"/>
      <c r="C67" s="654" t="str">
        <f>YEAR(C7)&amp;"-"&amp;MONTH(C7)&amp;"-1"</f>
        <v>2024-7-1</v>
      </c>
      <c r="D67" s="654">
        <f>EDATE(C67,-3)</f>
        <v>45383</v>
      </c>
      <c r="E67" s="654">
        <f>EDATE(D67,-3)</f>
        <v>45292</v>
      </c>
      <c r="F67" s="654">
        <f t="shared" ref="F67:O67" si="18">EDATE(E67,-3)</f>
        <v>45200</v>
      </c>
      <c r="G67" s="654">
        <f t="shared" si="18"/>
        <v>45108</v>
      </c>
      <c r="H67" s="654">
        <f t="shared" si="18"/>
        <v>45017</v>
      </c>
      <c r="I67" s="654">
        <f t="shared" si="18"/>
        <v>44927</v>
      </c>
      <c r="J67" s="654">
        <f t="shared" si="18"/>
        <v>44835</v>
      </c>
      <c r="K67" s="654">
        <f t="shared" si="18"/>
        <v>44743</v>
      </c>
      <c r="L67" s="654">
        <f t="shared" si="18"/>
        <v>44652</v>
      </c>
      <c r="M67" s="654">
        <f t="shared" si="18"/>
        <v>44562</v>
      </c>
      <c r="N67" s="654">
        <f t="shared" si="18"/>
        <v>44470</v>
      </c>
      <c r="O67" s="654">
        <f t="shared" si="18"/>
        <v>44378</v>
      </c>
      <c r="P67" s="2481"/>
      <c r="Q67" s="2481"/>
      <c r="R67" s="2481"/>
      <c r="S67" s="2481"/>
      <c r="T67" s="2481"/>
      <c r="U67" s="2481"/>
      <c r="V67" s="2481"/>
      <c r="W67" s="2481"/>
      <c r="X67" s="2481"/>
      <c r="Y67" s="2481"/>
      <c r="Z67" s="2481"/>
      <c r="AA67" s="2481"/>
      <c r="AB67" s="2481"/>
      <c r="AC67" s="2481"/>
    </row>
    <row r="68" spans="1:29" ht="21.75" thickBot="1">
      <c r="A68" s="656" t="s">
        <v>1795</v>
      </c>
      <c r="B68" s="384"/>
      <c r="C68" s="657"/>
      <c r="D68" s="657"/>
      <c r="E68" s="657"/>
      <c r="F68" s="658"/>
      <c r="G68" s="658"/>
      <c r="H68" s="657"/>
      <c r="I68" s="657"/>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1" customFormat="1" ht="15">
      <c r="A69" s="1623" t="s">
        <v>1901</v>
      </c>
      <c r="B69" s="1041"/>
      <c r="C69" s="1096" t="str">
        <f>YEAR(C67)&amp;"-"&amp;ROUNDUP(MONTH(C67)/3,0)</f>
        <v>2024-3</v>
      </c>
      <c r="D69" s="1096" t="str">
        <f>YEAR(D67)&amp;"-"&amp;ROUNDUP(MONTH(D67)/3,0)</f>
        <v>2024-2</v>
      </c>
      <c r="E69" s="1096" t="str">
        <f t="shared" ref="E69:O69" si="19">YEAR(E67)&amp;"-"&amp;ROUNDUP(MONTH(E67)/3,0)</f>
        <v>2024-1</v>
      </c>
      <c r="F69" s="1096" t="str">
        <f t="shared" si="19"/>
        <v>2023-4</v>
      </c>
      <c r="G69" s="1096" t="str">
        <f t="shared" si="19"/>
        <v>2023-3</v>
      </c>
      <c r="H69" s="1096" t="str">
        <f t="shared" si="19"/>
        <v>2023-2</v>
      </c>
      <c r="I69" s="1096" t="str">
        <f t="shared" si="19"/>
        <v>2023-1</v>
      </c>
      <c r="J69" s="1096" t="str">
        <f t="shared" si="19"/>
        <v>2022-4</v>
      </c>
      <c r="K69" s="1096" t="str">
        <f t="shared" si="19"/>
        <v>2022-3</v>
      </c>
      <c r="L69" s="1096" t="str">
        <f t="shared" si="19"/>
        <v>2022-2</v>
      </c>
      <c r="M69" s="1096" t="str">
        <f t="shared" si="19"/>
        <v>2022-1</v>
      </c>
      <c r="N69" s="1096" t="str">
        <f t="shared" si="19"/>
        <v>2021-4</v>
      </c>
      <c r="O69" s="1096" t="str">
        <f t="shared" si="19"/>
        <v>2021-3</v>
      </c>
      <c r="P69" s="2504"/>
      <c r="Q69" s="2504"/>
      <c r="R69" s="2504"/>
      <c r="S69" s="2504"/>
      <c r="T69" s="2504"/>
      <c r="U69" s="2504"/>
      <c r="V69" s="2504"/>
      <c r="W69" s="2504"/>
      <c r="X69" s="2504"/>
      <c r="Y69" s="2504"/>
      <c r="Z69" s="2504"/>
      <c r="AA69" s="2504"/>
      <c r="AB69" s="2504"/>
      <c r="AC69" s="2504"/>
    </row>
    <row r="70" spans="1:29" s="102" customFormat="1" ht="30" customHeight="1">
      <c r="A70" s="1830" t="s">
        <v>1902</v>
      </c>
      <c r="B70" s="279" t="str">
        <f>"北京市平均增长率"&amp;TEXT(SUMIF(基准地价修正!N25:N29,A70,基准地价修正!P25:P29),"0.00%")</f>
        <v>北京市平均增长率0.00%</v>
      </c>
      <c r="C70" s="529">
        <v>100</v>
      </c>
      <c r="D70" s="6"/>
      <c r="E70" s="6"/>
      <c r="F70" s="6"/>
      <c r="G70" s="6"/>
      <c r="H70" s="6"/>
      <c r="I70" s="6"/>
      <c r="J70" s="6"/>
      <c r="K70" s="6"/>
      <c r="L70" s="6"/>
      <c r="M70" s="1061"/>
      <c r="N70" s="6"/>
      <c r="O70" s="1093"/>
      <c r="P70" s="2502"/>
      <c r="Q70" s="2433"/>
      <c r="R70" s="2433"/>
      <c r="S70" s="2433"/>
      <c r="T70" s="2433"/>
      <c r="U70" s="2433"/>
      <c r="V70" s="2433"/>
      <c r="W70" s="2433"/>
      <c r="X70" s="2433"/>
      <c r="Y70" s="2433"/>
      <c r="Z70" s="2433"/>
      <c r="AA70" s="2433"/>
      <c r="AB70" s="2433"/>
      <c r="AC70" s="2433"/>
    </row>
    <row r="71" spans="1:29" s="102" customFormat="1" ht="15.75" thickBot="1">
      <c r="A71" s="448" t="s">
        <v>1713</v>
      </c>
      <c r="B71" s="449"/>
      <c r="C71" s="450"/>
      <c r="D71" s="451"/>
      <c r="E71" s="451"/>
      <c r="F71" s="451"/>
      <c r="G71" s="451"/>
      <c r="H71" s="451"/>
      <c r="I71" s="451"/>
      <c r="J71" s="451"/>
      <c r="K71" s="451"/>
      <c r="L71" s="451"/>
      <c r="M71" s="452"/>
      <c r="N71" s="451"/>
      <c r="O71" s="885"/>
      <c r="P71" s="2502"/>
      <c r="Q71" s="2502"/>
      <c r="R71" s="2433"/>
      <c r="S71" s="2433"/>
      <c r="T71" s="2433"/>
      <c r="U71" s="2433"/>
      <c r="V71" s="2433"/>
      <c r="W71" s="2433"/>
      <c r="X71" s="2433"/>
      <c r="Y71" s="2433"/>
      <c r="Z71" s="2433"/>
      <c r="AA71" s="2433"/>
      <c r="AB71" s="2433"/>
      <c r="AC71" s="2433"/>
    </row>
    <row r="72" spans="1:29" s="102" customFormat="1" ht="15">
      <c r="A72" s="454" t="s">
        <v>1678</v>
      </c>
      <c r="B72" s="443"/>
      <c r="C72" s="455" t="s">
        <v>1773</v>
      </c>
      <c r="D72" s="31"/>
      <c r="E72" s="31"/>
      <c r="F72" s="31"/>
      <c r="G72" s="31"/>
      <c r="H72" s="31"/>
      <c r="I72" s="31"/>
      <c r="J72" s="31"/>
      <c r="K72" s="31"/>
      <c r="L72" s="456"/>
      <c r="M72" s="457"/>
      <c r="N72" s="2514"/>
      <c r="O72" s="2514"/>
      <c r="P72" s="2538"/>
      <c r="Q72" s="2502"/>
      <c r="R72" s="2433"/>
      <c r="S72" s="2433"/>
      <c r="T72" s="2433"/>
      <c r="U72" s="2433"/>
      <c r="V72" s="2433"/>
      <c r="W72" s="2433"/>
      <c r="X72" s="2433"/>
      <c r="Y72" s="2433"/>
      <c r="Z72" s="2433"/>
      <c r="AA72" s="2433"/>
      <c r="AB72" s="2433"/>
      <c r="AC72" s="2433"/>
    </row>
    <row r="73" spans="1:29" s="102" customFormat="1" ht="15.75" thickBot="1">
      <c r="A73" s="454"/>
      <c r="B73" s="443"/>
      <c r="C73" s="561">
        <v>100</v>
      </c>
      <c r="D73" s="445"/>
      <c r="E73" s="445"/>
      <c r="F73" s="445"/>
      <c r="G73" s="445"/>
      <c r="H73" s="445"/>
      <c r="I73" s="445"/>
      <c r="J73" s="445"/>
      <c r="K73" s="445"/>
      <c r="L73" s="445"/>
      <c r="M73" s="447"/>
      <c r="N73" s="2514"/>
      <c r="O73" s="2514"/>
      <c r="P73" s="2502"/>
      <c r="Q73" s="2502"/>
      <c r="R73" s="2433"/>
      <c r="S73" s="2433"/>
      <c r="T73" s="2433"/>
      <c r="U73" s="2433"/>
      <c r="V73" s="2433"/>
      <c r="W73" s="2433"/>
      <c r="X73" s="2433"/>
      <c r="Y73" s="2433"/>
      <c r="Z73" s="2433"/>
      <c r="AA73" s="2433"/>
      <c r="AB73" s="2433"/>
      <c r="AC73" s="2433"/>
    </row>
    <row r="74" spans="1:29">
      <c r="A74" s="378" t="s">
        <v>1716</v>
      </c>
      <c r="B74" s="459" t="s">
        <v>1682</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1685</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1687</v>
      </c>
      <c r="B87" s="459" t="s">
        <v>1717</v>
      </c>
      <c r="C87" s="503" t="s">
        <v>1718</v>
      </c>
      <c r="D87" s="503" t="s">
        <v>1719</v>
      </c>
      <c r="E87" s="503" t="s">
        <v>1720</v>
      </c>
      <c r="F87" s="503" t="s">
        <v>1721</v>
      </c>
      <c r="G87" s="503" t="s">
        <v>1722</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1903</v>
      </c>
      <c r="C89" s="508" t="s">
        <v>1718</v>
      </c>
      <c r="D89" s="508" t="s">
        <v>1719</v>
      </c>
      <c r="E89" s="508" t="s">
        <v>1720</v>
      </c>
      <c r="F89" s="508" t="s">
        <v>1721</v>
      </c>
      <c r="G89" s="508" t="s">
        <v>1722</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1818</v>
      </c>
      <c r="C91" s="508" t="s">
        <v>1718</v>
      </c>
      <c r="D91" s="508" t="s">
        <v>1719</v>
      </c>
      <c r="E91" s="508" t="s">
        <v>1720</v>
      </c>
      <c r="F91" s="508" t="s">
        <v>1721</v>
      </c>
      <c r="G91" s="508" t="s">
        <v>1722</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1723</v>
      </c>
      <c r="C93" s="508" t="s">
        <v>1718</v>
      </c>
      <c r="D93" s="508" t="s">
        <v>1719</v>
      </c>
      <c r="E93" s="508" t="s">
        <v>1720</v>
      </c>
      <c r="F93" s="508" t="s">
        <v>1721</v>
      </c>
      <c r="G93" s="508" t="s">
        <v>1722</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2" customFormat="1" ht="15.75" thickTop="1">
      <c r="A95" s="369"/>
      <c r="B95" s="468" t="s">
        <v>1904</v>
      </c>
      <c r="C95" s="508" t="s">
        <v>1718</v>
      </c>
      <c r="D95" s="508" t="s">
        <v>1719</v>
      </c>
      <c r="E95" s="508" t="s">
        <v>1720</v>
      </c>
      <c r="F95" s="508" t="s">
        <v>1721</v>
      </c>
      <c r="G95" s="508" t="s">
        <v>1722</v>
      </c>
      <c r="H95" s="508"/>
      <c r="I95" s="508"/>
      <c r="J95" s="508"/>
      <c r="K95" s="508"/>
      <c r="L95" s="616"/>
      <c r="M95" s="545"/>
      <c r="N95" s="2514"/>
      <c r="O95" s="2514"/>
      <c r="P95" s="2514"/>
      <c r="Q95" s="2502"/>
      <c r="R95" s="2433"/>
      <c r="S95" s="2433"/>
      <c r="T95" s="2433"/>
      <c r="U95" s="2433"/>
      <c r="V95" s="2433"/>
      <c r="W95" s="2433"/>
      <c r="X95" s="2433"/>
      <c r="Y95" s="2433"/>
      <c r="Z95" s="2433"/>
      <c r="AA95" s="2433"/>
      <c r="AB95" s="2433"/>
      <c r="AC95" s="2433"/>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3"/>
      <c r="S96" s="2433"/>
      <c r="T96" s="2433"/>
      <c r="U96" s="2433"/>
      <c r="V96" s="2433"/>
      <c r="W96" s="2433"/>
      <c r="X96" s="2433"/>
      <c r="Y96" s="2433"/>
      <c r="Z96" s="2433"/>
      <c r="AA96" s="2433"/>
      <c r="AB96" s="2433"/>
      <c r="AC96" s="2433"/>
    </row>
    <row r="97" spans="1:29" s="102" customFormat="1" ht="27.75" thickTop="1">
      <c r="A97" s="369"/>
      <c r="B97" s="468" t="s">
        <v>1905</v>
      </c>
      <c r="C97" s="503" t="s">
        <v>1718</v>
      </c>
      <c r="D97" s="503" t="s">
        <v>1719</v>
      </c>
      <c r="E97" s="503" t="s">
        <v>1720</v>
      </c>
      <c r="F97" s="503" t="s">
        <v>1721</v>
      </c>
      <c r="G97" s="503" t="s">
        <v>1722</v>
      </c>
      <c r="H97" s="508"/>
      <c r="I97" s="508"/>
      <c r="J97" s="508"/>
      <c r="K97" s="508"/>
      <c r="L97" s="508"/>
      <c r="M97" s="545"/>
      <c r="N97" s="2514"/>
      <c r="O97" s="2514"/>
      <c r="P97" s="2514"/>
      <c r="Q97" s="2502"/>
      <c r="R97" s="2433"/>
      <c r="S97" s="2433"/>
      <c r="T97" s="2433"/>
      <c r="U97" s="2433"/>
      <c r="V97" s="2433"/>
      <c r="W97" s="2433"/>
      <c r="X97" s="2433"/>
      <c r="Y97" s="2433"/>
      <c r="Z97" s="2433"/>
      <c r="AA97" s="2433"/>
      <c r="AB97" s="2433"/>
      <c r="AC97" s="2433"/>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3"/>
      <c r="S98" s="2433"/>
      <c r="T98" s="2433"/>
      <c r="U98" s="2433"/>
      <c r="V98" s="2433"/>
      <c r="W98" s="2433"/>
      <c r="X98" s="2433"/>
      <c r="Y98" s="2433"/>
      <c r="Z98" s="2433"/>
      <c r="AA98" s="2433"/>
      <c r="AB98" s="2433"/>
      <c r="AC98" s="2433"/>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1776</v>
      </c>
      <c r="C101" s="579" t="s">
        <v>1796</v>
      </c>
      <c r="D101" s="579" t="s">
        <v>1797</v>
      </c>
      <c r="E101" s="579" t="s">
        <v>1798</v>
      </c>
      <c r="F101" s="579" t="s">
        <v>1799</v>
      </c>
      <c r="G101" s="579" t="s">
        <v>1800</v>
      </c>
      <c r="H101" s="526"/>
      <c r="I101" s="526"/>
      <c r="J101" s="526"/>
      <c r="K101" s="526"/>
      <c r="L101" s="526"/>
      <c r="M101" s="1060"/>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0"/>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1812</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1870</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1911</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1912</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1913</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1914</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200-000000000000}">
      <formula1>住宅朝向</formula1>
    </dataValidation>
    <dataValidation type="list" allowBlank="1" showInputMessage="1" showErrorMessage="1" sqref="E28 C28 G28 I28" xr:uid="{00000000-0002-0000-3200-000001000000}">
      <formula1>公共配套设施</formula1>
    </dataValidation>
    <dataValidation type="list" allowBlank="1" showInputMessage="1" showErrorMessage="1" sqref="E22 C22 G22 I22" xr:uid="{00000000-0002-0000-3200-000002000000}">
      <formula1>交通便捷度</formula1>
    </dataValidation>
    <dataValidation type="list" allowBlank="1" showInputMessage="1" showErrorMessage="1" sqref="E16 G16 I16 C16" xr:uid="{00000000-0002-0000-3200-000003000000}">
      <formula1>居住社区成熟度</formula1>
    </dataValidation>
    <dataValidation type="list" allowBlank="1" showInputMessage="1" showErrorMessage="1" sqref="C26 E26 G26 I26" xr:uid="{00000000-0002-0000-3200-000004000000}">
      <formula1>环境</formula1>
    </dataValidation>
    <dataValidation type="list" allowBlank="1" showInputMessage="1" showErrorMessage="1" sqref="B46" xr:uid="{00000000-0002-0000-3200-000005000000}">
      <formula1>单价内涵</formula1>
    </dataValidation>
    <dataValidation type="list" allowBlank="1" showInputMessage="1" showErrorMessage="1" sqref="C8 E8 G8 I8" xr:uid="{00000000-0002-0000-3200-000006000000}">
      <formula1>套综交易情况</formula1>
    </dataValidation>
    <dataValidation type="list" allowBlank="1" showInputMessage="1" showErrorMessage="1" sqref="C9 E9 G9 I9" xr:uid="{00000000-0002-0000-3200-000007000000}">
      <formula1>套综用途</formula1>
    </dataValidation>
    <dataValidation type="list" allowBlank="1" showInputMessage="1" showErrorMessage="1" sqref="E18 C18 G18 I18" xr:uid="{00000000-0002-0000-3200-000008000000}">
      <formula1>商业繁华度</formula1>
    </dataValidation>
    <dataValidation type="list" allowBlank="1" showInputMessage="1" showErrorMessage="1" sqref="E20 C20 G20 I20" xr:uid="{00000000-0002-0000-3200-000009000000}">
      <formula1>办公集聚程度</formula1>
    </dataValidation>
    <dataValidation type="list" allowBlank="1" showInputMessage="1" showErrorMessage="1" sqref="C33 E33 G33 I33" xr:uid="{00000000-0002-0000-3200-00000A000000}">
      <formula1>套综道路等级</formula1>
    </dataValidation>
    <dataValidation type="list" allowBlank="1" showInputMessage="1" showErrorMessage="1" sqref="C34 E34 G34 I34" xr:uid="{00000000-0002-0000-3200-00000B000000}">
      <formula1>套综土地级别</formula1>
    </dataValidation>
    <dataValidation type="list" allowBlank="1" showInputMessage="1" showErrorMessage="1" sqref="C39 E39 G39 I39" xr:uid="{00000000-0002-0000-3200-00000C000000}">
      <formula1>套综宗地形状</formula1>
    </dataValidation>
    <dataValidation type="list" allowBlank="1" showInputMessage="1" showErrorMessage="1" sqref="C40 E40 G40 I40" xr:uid="{00000000-0002-0000-3200-00000D000000}">
      <formula1>套综临街宽度及深度</formula1>
    </dataValidation>
    <dataValidation type="list" allowBlank="1" showInputMessage="1" showErrorMessage="1" sqref="C41 E41 G41 I41" xr:uid="{00000000-0002-0000-3200-00000E000000}">
      <formula1>套综宗地内开发程度</formula1>
    </dataValidation>
    <dataValidation type="list" allowBlank="1" showInputMessage="1" showErrorMessage="1" sqref="C42 E42 G42 I42" xr:uid="{00000000-0002-0000-3200-00000F000000}">
      <formula1>套综工程地质条件</formula1>
    </dataValidation>
    <dataValidation type="list" allowBlank="1" showInputMessage="1" showErrorMessage="1" sqref="C31 E31 G31 I31" xr:uid="{00000000-0002-0000-3200-000010000000}">
      <formula1>临街状况</formula1>
    </dataValidation>
    <dataValidation type="list" allowBlank="1" showInputMessage="1" showErrorMessage="1" sqref="E24 G24 I24 C24" xr:uid="{00000000-0002-0000-3200-000011000000}">
      <formula1>区域土地利用方向</formula1>
    </dataValidation>
    <dataValidation type="list" allowBlank="1" showInputMessage="1" showErrorMessage="1" sqref="C55" xr:uid="{00000000-0002-0000-3200-000012000000}">
      <formula1>"北京市系数,其他省市系数"</formula1>
    </dataValidation>
    <dataValidation type="list" allowBlank="1" showInputMessage="1" showErrorMessage="1" sqref="G61" xr:uid="{00000000-0002-0000-3200-000013000000}">
      <formula1>"商业,办公,住宅,工业"</formula1>
    </dataValidation>
    <dataValidation type="list" allowBlank="1" showInputMessage="1" showErrorMessage="1" sqref="G62" xr:uid="{00000000-0002-0000-3200-000014000000}">
      <formula1>"住宅,工业"</formula1>
    </dataValidation>
    <dataValidation type="list" allowBlank="1" showInputMessage="1" showErrorMessage="1" sqref="C30 E30 G30 I30" xr:uid="{00000000-0002-0000-3200-000015000000}">
      <formula1>基础设施水平</formula1>
    </dataValidation>
    <dataValidation type="list" allowBlank="1" showInputMessage="1" showErrorMessage="1" sqref="A70" xr:uid="{00000000-0002-0000-3200-000016000000}">
      <formula1>"综合,商业,办公,住宅"</formula1>
    </dataValidation>
    <dataValidation type="list" allowBlank="1" showInputMessage="1" showErrorMessage="1" sqref="D47" xr:uid="{00000000-0002-0000-3200-000017000000}">
      <formula1>"简单平均,加权平均"</formula1>
    </dataValidation>
    <dataValidation type="list" allowBlank="1" showInputMessage="1" showErrorMessage="1" sqref="D57:D64" xr:uid="{00000000-0002-0000-3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49"/>
      <c r="E1" s="649"/>
      <c r="F1" s="648" t="s">
        <v>1764</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1459</v>
      </c>
      <c r="B2" s="589" t="e">
        <f>F61</f>
        <v>#DIV/0!</v>
      </c>
      <c r="C2" s="851"/>
      <c r="D2" s="851"/>
      <c r="E2" s="851"/>
      <c r="F2" s="852"/>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1461</v>
      </c>
      <c r="B3" s="535" t="e">
        <f>ROUND(IF(D3="",B2*10000/'数据-汇总表'!E3,B2*10000/D3),0)</f>
        <v>#DIV/0!</v>
      </c>
      <c r="C3" s="194" t="s">
        <v>1866</v>
      </c>
      <c r="D3" s="1106"/>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1766</v>
      </c>
      <c r="B4" s="345"/>
      <c r="C4" s="3451" t="s">
        <v>1767</v>
      </c>
      <c r="D4" s="3452"/>
      <c r="E4" s="3453" t="s">
        <v>1768</v>
      </c>
      <c r="F4" s="3454"/>
      <c r="G4" s="3451" t="s">
        <v>1769</v>
      </c>
      <c r="H4" s="3452"/>
      <c r="I4" s="3451" t="s">
        <v>1770</v>
      </c>
      <c r="J4" s="3452"/>
      <c r="K4" s="536" t="s">
        <v>1771</v>
      </c>
      <c r="L4" s="2480"/>
      <c r="M4" s="2481"/>
      <c r="N4" s="2481"/>
      <c r="O4" s="2481"/>
      <c r="P4" s="3455" t="s">
        <v>1772</v>
      </c>
      <c r="Q4" s="3456"/>
      <c r="R4" s="3461" t="s">
        <v>1768</v>
      </c>
      <c r="S4" s="3462"/>
      <c r="T4" s="3461" t="s">
        <v>1769</v>
      </c>
      <c r="U4" s="3462"/>
      <c r="V4" s="3437" t="s">
        <v>1770</v>
      </c>
      <c r="W4" s="3437"/>
      <c r="X4" s="1258"/>
      <c r="Y4" s="3461" t="s">
        <v>1772</v>
      </c>
      <c r="Z4" s="3462"/>
      <c r="AA4" s="3448" t="s">
        <v>1768</v>
      </c>
      <c r="AB4" s="3449" t="s">
        <v>1769</v>
      </c>
      <c r="AC4" s="3448" t="s">
        <v>1770</v>
      </c>
    </row>
    <row r="5" spans="1:29" ht="15">
      <c r="A5" s="347"/>
      <c r="B5" s="348"/>
      <c r="C5" s="3469" t="s">
        <v>1670</v>
      </c>
      <c r="D5" s="3470"/>
      <c r="E5" s="3476" t="s">
        <v>1671</v>
      </c>
      <c r="F5" s="3477"/>
      <c r="G5" s="3469" t="s">
        <v>1672</v>
      </c>
      <c r="H5" s="3470"/>
      <c r="I5" s="3469" t="s">
        <v>1673</v>
      </c>
      <c r="J5" s="3470"/>
      <c r="K5" s="536"/>
      <c r="L5" s="2480"/>
      <c r="M5" s="2481"/>
      <c r="N5" s="2481"/>
      <c r="O5" s="2481"/>
      <c r="P5" s="3457"/>
      <c r="Q5" s="3458"/>
      <c r="R5" s="3463"/>
      <c r="S5" s="3464"/>
      <c r="T5" s="3463"/>
      <c r="U5" s="3464"/>
      <c r="V5" s="3437"/>
      <c r="W5" s="3437"/>
      <c r="X5" s="1258"/>
      <c r="Y5" s="3463"/>
      <c r="Z5" s="3464"/>
      <c r="AA5" s="3449"/>
      <c r="AB5" s="3449"/>
      <c r="AC5" s="3449"/>
    </row>
    <row r="6" spans="1:29" ht="15.75" thickBot="1">
      <c r="A6" s="349"/>
      <c r="B6" s="350"/>
      <c r="C6" s="3506" t="s">
        <v>1916</v>
      </c>
      <c r="D6" s="3507"/>
      <c r="E6" s="3508" t="s">
        <v>1916</v>
      </c>
      <c r="F6" s="3509"/>
      <c r="G6" s="3506" t="s">
        <v>1916</v>
      </c>
      <c r="H6" s="3507"/>
      <c r="I6" s="3506" t="s">
        <v>1916</v>
      </c>
      <c r="J6" s="3507"/>
      <c r="K6" s="536" t="s">
        <v>1675</v>
      </c>
      <c r="L6" s="2480"/>
      <c r="M6" s="2481"/>
      <c r="N6" s="2481"/>
      <c r="O6" s="2481"/>
      <c r="P6" s="3459"/>
      <c r="Q6" s="3460"/>
      <c r="R6" s="3463"/>
      <c r="S6" s="3464"/>
      <c r="T6" s="3465"/>
      <c r="U6" s="3466"/>
      <c r="V6" s="3437"/>
      <c r="W6" s="3437"/>
      <c r="X6" s="1258"/>
      <c r="Y6" s="3465"/>
      <c r="Z6" s="3466"/>
      <c r="AA6" s="3450"/>
      <c r="AB6" s="3450"/>
      <c r="AC6" s="3450"/>
    </row>
    <row r="7" spans="1:29" s="102" customFormat="1" ht="15.75" thickBot="1">
      <c r="A7" s="351" t="s">
        <v>1676</v>
      </c>
      <c r="B7" s="352"/>
      <c r="C7" s="353">
        <f>'数据-取费表'!B2</f>
        <v>45492</v>
      </c>
      <c r="D7" s="354">
        <v>100</v>
      </c>
      <c r="E7" s="355"/>
      <c r="F7" s="356">
        <f>SUMIF(65:65,YEAR(E7)&amp;"-"&amp;INT((MONTH(E7)+2)/3),66:66)</f>
        <v>0</v>
      </c>
      <c r="G7" s="1815"/>
      <c r="H7" s="354">
        <f>SUMIF(65:65,YEAR(G7)&amp;"-"&amp;INT((MONTH(G7)+2)/3),66:66)</f>
        <v>0</v>
      </c>
      <c r="I7" s="1815"/>
      <c r="J7" s="354">
        <f>SUMIF(65:65,YEAR(I7)&amp;"-"&amp;INT((MONTH(I7)+2)/3),66:66)</f>
        <v>0</v>
      </c>
      <c r="K7" s="38"/>
      <c r="L7" s="2482"/>
      <c r="M7" s="2433"/>
      <c r="N7" s="2433"/>
      <c r="O7" s="2433"/>
      <c r="P7" s="3471" t="s">
        <v>1677</v>
      </c>
      <c r="Q7" s="3473"/>
      <c r="R7" s="662" t="s">
        <v>14</v>
      </c>
      <c r="S7" s="663">
        <f t="shared" ref="S7:S15" si="0">F7</f>
        <v>0</v>
      </c>
      <c r="T7" s="662" t="s">
        <v>14</v>
      </c>
      <c r="U7" s="663">
        <f t="shared" ref="U7:U15" si="1">H7</f>
        <v>0</v>
      </c>
      <c r="V7" s="662" t="s">
        <v>14</v>
      </c>
      <c r="W7" s="663">
        <f t="shared" ref="W7:W15" si="2">J7</f>
        <v>0</v>
      </c>
      <c r="X7" s="664"/>
      <c r="Y7" s="3471" t="s">
        <v>1677</v>
      </c>
      <c r="Z7" s="3472"/>
      <c r="AA7" s="50" t="e">
        <f>D7/F7</f>
        <v>#DIV/0!</v>
      </c>
      <c r="AB7" s="50" t="e">
        <f>D7/H7</f>
        <v>#DIV/0!</v>
      </c>
      <c r="AC7" s="50" t="e">
        <f>D7/J7</f>
        <v>#DIV/0!</v>
      </c>
    </row>
    <row r="8" spans="1:29" s="102"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82"/>
      <c r="M8" s="2433"/>
      <c r="N8" s="2433"/>
      <c r="O8" s="2433"/>
      <c r="P8" s="3471" t="s">
        <v>1680</v>
      </c>
      <c r="Q8" s="3472"/>
      <c r="R8" s="662" t="s">
        <v>14</v>
      </c>
      <c r="S8" s="663">
        <f t="shared" si="0"/>
        <v>0</v>
      </c>
      <c r="T8" s="662" t="s">
        <v>14</v>
      </c>
      <c r="U8" s="663">
        <f t="shared" si="1"/>
        <v>0</v>
      </c>
      <c r="V8" s="662" t="s">
        <v>14</v>
      </c>
      <c r="W8" s="663">
        <f t="shared" si="2"/>
        <v>0</v>
      </c>
      <c r="X8" s="664"/>
      <c r="Y8" s="3471" t="s">
        <v>1680</v>
      </c>
      <c r="Z8" s="3472"/>
      <c r="AA8" s="50" t="e">
        <f t="shared" ref="AA8:AA40" si="3">D8/F8</f>
        <v>#DIV/0!</v>
      </c>
      <c r="AB8" s="50" t="e">
        <f t="shared" ref="AB8:AB40" si="4">D8/H8</f>
        <v>#DIV/0!</v>
      </c>
      <c r="AC8" s="50" t="e">
        <f t="shared" ref="AC8:AC40" si="5">D8/J8</f>
        <v>#DIV/0!</v>
      </c>
    </row>
    <row r="9" spans="1:29" s="102" customFormat="1">
      <c r="A9" s="358" t="s">
        <v>1681</v>
      </c>
      <c r="B9" s="60" t="s">
        <v>1682</v>
      </c>
      <c r="C9" s="1818"/>
      <c r="D9" s="59">
        <v>100</v>
      </c>
      <c r="E9" s="1818"/>
      <c r="F9" s="59">
        <f>SUMIF(70:70,E9,71:71)-SUMIF(70:70,C9,71:71)+100</f>
        <v>100</v>
      </c>
      <c r="G9" s="1818"/>
      <c r="H9" s="59">
        <f>SUMIF(70:70,G9,71:71)-SUMIF(70:70,C9,71:71)+100</f>
        <v>100</v>
      </c>
      <c r="I9" s="1818"/>
      <c r="J9" s="59">
        <f>SUMIF(70:70,I9,71:71)-SUMIF(70:70,C9,71:71)+100</f>
        <v>100</v>
      </c>
      <c r="K9" s="38"/>
      <c r="L9" s="2482"/>
      <c r="M9" s="2433"/>
      <c r="N9" s="2433"/>
      <c r="O9" s="2534"/>
      <c r="P9" s="3436" t="s">
        <v>1683</v>
      </c>
      <c r="Q9" s="529" t="str">
        <f t="shared" ref="Q9:Q15" si="6">B9</f>
        <v>用途</v>
      </c>
      <c r="R9" s="662" t="s">
        <v>14</v>
      </c>
      <c r="S9" s="663">
        <f t="shared" si="0"/>
        <v>100</v>
      </c>
      <c r="T9" s="662" t="s">
        <v>14</v>
      </c>
      <c r="U9" s="663">
        <f t="shared" si="1"/>
        <v>100</v>
      </c>
      <c r="V9" s="662" t="s">
        <v>14</v>
      </c>
      <c r="W9" s="663">
        <f t="shared" si="2"/>
        <v>100</v>
      </c>
      <c r="X9" s="664"/>
      <c r="Y9" s="3292"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109</v>
      </c>
      <c r="G10" s="370"/>
      <c r="H10" s="118">
        <f>ROUND(100/'数据-取费表'!G16,0)</f>
        <v>109</v>
      </c>
      <c r="I10" s="370"/>
      <c r="J10" s="118">
        <f>ROUND(100/'数据-取费表'!G16,0)</f>
        <v>109</v>
      </c>
      <c r="K10" s="590"/>
      <c r="L10" s="2483"/>
      <c r="M10" s="2484"/>
      <c r="N10" s="2484"/>
      <c r="O10" s="2535"/>
      <c r="P10" s="3436"/>
      <c r="Q10" s="529" t="str">
        <f t="shared" si="6"/>
        <v>土地使用年限（年）</v>
      </c>
      <c r="R10" s="662" t="s">
        <v>14</v>
      </c>
      <c r="S10" s="663">
        <f t="shared" si="0"/>
        <v>109</v>
      </c>
      <c r="T10" s="662" t="s">
        <v>14</v>
      </c>
      <c r="U10" s="663">
        <f t="shared" si="1"/>
        <v>109</v>
      </c>
      <c r="V10" s="662" t="s">
        <v>14</v>
      </c>
      <c r="W10" s="663">
        <f t="shared" si="2"/>
        <v>109</v>
      </c>
      <c r="X10" s="664"/>
      <c r="Y10" s="3292"/>
      <c r="Z10" s="50" t="str">
        <f t="shared" si="7"/>
        <v>土地使用年限（年）</v>
      </c>
      <c r="AA10" s="50">
        <f t="shared" si="3"/>
        <v>0.91743119266055051</v>
      </c>
      <c r="AB10" s="50">
        <f t="shared" si="4"/>
        <v>0.91743119266055051</v>
      </c>
      <c r="AC10" s="50">
        <f t="shared" si="5"/>
        <v>0.91743119266055051</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36"/>
      <c r="Q11" s="529" t="str">
        <f t="shared" si="6"/>
        <v>容积率</v>
      </c>
      <c r="R11" s="662" t="s">
        <v>14</v>
      </c>
      <c r="S11" s="663" t="e">
        <f t="shared" si="0"/>
        <v>#N/A</v>
      </c>
      <c r="T11" s="662" t="s">
        <v>14</v>
      </c>
      <c r="U11" s="663" t="e">
        <f t="shared" si="1"/>
        <v>#N/A</v>
      </c>
      <c r="V11" s="662" t="s">
        <v>14</v>
      </c>
      <c r="W11" s="663" t="e">
        <f t="shared" si="2"/>
        <v>#N/A</v>
      </c>
      <c r="X11" s="664"/>
      <c r="Y11" s="329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3"/>
      <c r="N12" s="2433"/>
      <c r="O12" s="2534"/>
      <c r="P12" s="3436"/>
      <c r="Q12" s="529">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36"/>
      <c r="Q13" s="529">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thickBot="1">
      <c r="A14" s="374"/>
      <c r="B14" s="1742">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36"/>
      <c r="Q14" s="529">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8" t="s">
        <v>1687</v>
      </c>
      <c r="B15" s="552" t="s">
        <v>1917</v>
      </c>
      <c r="C15" s="1812">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38" t="s">
        <v>1688</v>
      </c>
      <c r="Q15" s="1256" t="str">
        <f t="shared" si="6"/>
        <v>产业集聚程度</v>
      </c>
      <c r="R15" s="665" t="s">
        <v>14</v>
      </c>
      <c r="S15" s="666">
        <f t="shared" si="0"/>
        <v>100</v>
      </c>
      <c r="T15" s="665" t="s">
        <v>14</v>
      </c>
      <c r="U15" s="666">
        <f t="shared" si="1"/>
        <v>100</v>
      </c>
      <c r="V15" s="665" t="s">
        <v>14</v>
      </c>
      <c r="W15" s="666">
        <f t="shared" si="2"/>
        <v>100</v>
      </c>
      <c r="X15" s="1258"/>
      <c r="Y15" s="3438" t="s">
        <v>1688</v>
      </c>
      <c r="Z15" s="1257" t="str">
        <f t="shared" si="7"/>
        <v>产业集聚程度</v>
      </c>
      <c r="AA15" s="1257">
        <f t="shared" si="3"/>
        <v>1</v>
      </c>
      <c r="AB15" s="1257">
        <f t="shared" si="4"/>
        <v>1</v>
      </c>
      <c r="AC15" s="1257">
        <f t="shared" si="5"/>
        <v>1</v>
      </c>
    </row>
    <row r="16" spans="1:29" ht="15">
      <c r="A16" s="366"/>
      <c r="B16" s="553"/>
      <c r="C16" s="385"/>
      <c r="D16" s="386"/>
      <c r="E16" s="1751"/>
      <c r="F16" s="386"/>
      <c r="G16" s="1751"/>
      <c r="H16" s="388"/>
      <c r="I16" s="1751"/>
      <c r="J16" s="386"/>
      <c r="K16" s="590"/>
      <c r="L16" s="2486"/>
      <c r="M16" s="2481"/>
      <c r="N16" s="2481"/>
      <c r="O16" s="2536"/>
      <c r="P16" s="3439"/>
      <c r="Q16" s="1256"/>
      <c r="R16" s="665"/>
      <c r="S16" s="666"/>
      <c r="T16" s="665"/>
      <c r="U16" s="666"/>
      <c r="V16" s="665"/>
      <c r="W16" s="666"/>
      <c r="X16" s="1258"/>
      <c r="Y16" s="3439"/>
      <c r="Z16" s="1257"/>
      <c r="AA16" s="1257">
        <v>1</v>
      </c>
      <c r="AB16" s="1257">
        <v>1</v>
      </c>
      <c r="AC16" s="1257">
        <v>1</v>
      </c>
    </row>
    <row r="17" spans="1:29" ht="15">
      <c r="A17" s="366"/>
      <c r="B17" s="554" t="s">
        <v>1830</v>
      </c>
      <c r="C17" s="1747">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39"/>
      <c r="Q17" s="1256" t="str">
        <f>B17</f>
        <v>交通便捷度</v>
      </c>
      <c r="R17" s="665" t="s">
        <v>14</v>
      </c>
      <c r="S17" s="666">
        <f>F17</f>
        <v>100</v>
      </c>
      <c r="T17" s="665" t="s">
        <v>14</v>
      </c>
      <c r="U17" s="666">
        <f>H17</f>
        <v>100</v>
      </c>
      <c r="V17" s="665" t="s">
        <v>14</v>
      </c>
      <c r="W17" s="666">
        <f>J17</f>
        <v>100</v>
      </c>
      <c r="X17" s="1258"/>
      <c r="Y17" s="3439"/>
      <c r="Z17" s="1257" t="str">
        <f>Q17</f>
        <v>交通便捷度</v>
      </c>
      <c r="AA17" s="1257">
        <f t="shared" si="3"/>
        <v>1</v>
      </c>
      <c r="AB17" s="1257">
        <f t="shared" si="4"/>
        <v>1</v>
      </c>
      <c r="AC17" s="1257">
        <f t="shared" si="5"/>
        <v>1</v>
      </c>
    </row>
    <row r="18" spans="1:29" ht="15">
      <c r="A18" s="366"/>
      <c r="B18" s="400"/>
      <c r="C18" s="385"/>
      <c r="D18" s="386"/>
      <c r="E18" s="1745"/>
      <c r="F18" s="386"/>
      <c r="G18" s="1745"/>
      <c r="H18" s="386"/>
      <c r="I18" s="1744"/>
      <c r="J18" s="386"/>
      <c r="K18" s="590"/>
      <c r="L18" s="2486"/>
      <c r="M18" s="2481"/>
      <c r="N18" s="2481"/>
      <c r="O18" s="2536"/>
      <c r="P18" s="3439"/>
      <c r="Q18" s="1256"/>
      <c r="R18" s="665"/>
      <c r="S18" s="666"/>
      <c r="T18" s="665"/>
      <c r="U18" s="666"/>
      <c r="V18" s="665"/>
      <c r="W18" s="666"/>
      <c r="X18" s="1258"/>
      <c r="Y18" s="3439"/>
      <c r="Z18" s="1257"/>
      <c r="AA18" s="1257">
        <v>1</v>
      </c>
      <c r="AB18" s="1257">
        <v>1</v>
      </c>
      <c r="AC18" s="1257">
        <v>1</v>
      </c>
    </row>
    <row r="19" spans="1:29" ht="15">
      <c r="A19" s="366"/>
      <c r="B19" s="554" t="s">
        <v>1868</v>
      </c>
      <c r="C19" s="1747">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39"/>
      <c r="Q19" s="1256" t="str">
        <f t="shared" ref="Q19:Q33" si="8">B19</f>
        <v>区域土地利用方向</v>
      </c>
      <c r="R19" s="665" t="s">
        <v>14</v>
      </c>
      <c r="S19" s="666">
        <f>F19</f>
        <v>100</v>
      </c>
      <c r="T19" s="665" t="s">
        <v>14</v>
      </c>
      <c r="U19" s="666">
        <f>H19</f>
        <v>100</v>
      </c>
      <c r="V19" s="665" t="s">
        <v>14</v>
      </c>
      <c r="W19" s="666">
        <f>J19</f>
        <v>100</v>
      </c>
      <c r="X19" s="1258"/>
      <c r="Y19" s="3439"/>
      <c r="Z19" s="1257" t="str">
        <f>Q19</f>
        <v>区域土地利用方向</v>
      </c>
      <c r="AA19" s="1257">
        <f t="shared" si="3"/>
        <v>1</v>
      </c>
      <c r="AB19" s="1257">
        <f t="shared" si="4"/>
        <v>1</v>
      </c>
      <c r="AC19" s="1257">
        <f t="shared" si="5"/>
        <v>1</v>
      </c>
    </row>
    <row r="20" spans="1:29" ht="15">
      <c r="A20" s="347"/>
      <c r="B20" s="400"/>
      <c r="C20" s="385"/>
      <c r="D20" s="386"/>
      <c r="E20" s="1745"/>
      <c r="F20" s="386"/>
      <c r="G20" s="1745"/>
      <c r="H20" s="386"/>
      <c r="I20" s="1745"/>
      <c r="J20" s="386"/>
      <c r="K20" s="694"/>
      <c r="L20" s="2486"/>
      <c r="M20" s="2481"/>
      <c r="N20" s="2481"/>
      <c r="O20" s="2536"/>
      <c r="P20" s="3439"/>
      <c r="Q20" s="1256"/>
      <c r="R20" s="665"/>
      <c r="S20" s="666"/>
      <c r="T20" s="665"/>
      <c r="U20" s="666"/>
      <c r="V20" s="665"/>
      <c r="W20" s="666"/>
      <c r="X20" s="1258"/>
      <c r="Y20" s="3439"/>
      <c r="Z20" s="1257"/>
      <c r="AA20" s="1257"/>
      <c r="AB20" s="1257"/>
      <c r="AC20" s="1257"/>
    </row>
    <row r="21" spans="1:29" ht="15">
      <c r="A21" s="347"/>
      <c r="B21" s="554" t="s">
        <v>1918</v>
      </c>
      <c r="C21" s="1747">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39"/>
      <c r="Q21" s="1256" t="str">
        <f t="shared" si="8"/>
        <v>环境状况</v>
      </c>
      <c r="R21" s="665" t="s">
        <v>14</v>
      </c>
      <c r="S21" s="666">
        <f>F21</f>
        <v>100</v>
      </c>
      <c r="T21" s="665" t="s">
        <v>14</v>
      </c>
      <c r="U21" s="666">
        <f>H21</f>
        <v>100</v>
      </c>
      <c r="V21" s="665" t="s">
        <v>14</v>
      </c>
      <c r="W21" s="666">
        <f>J21</f>
        <v>100</v>
      </c>
      <c r="X21" s="1258"/>
      <c r="Y21" s="3439"/>
      <c r="Z21" s="1257" t="str">
        <f>Q21</f>
        <v>环境状况</v>
      </c>
      <c r="AA21" s="1257">
        <f t="shared" si="3"/>
        <v>1</v>
      </c>
      <c r="AB21" s="1257">
        <f t="shared" si="4"/>
        <v>1</v>
      </c>
      <c r="AC21" s="1257">
        <f t="shared" si="5"/>
        <v>1</v>
      </c>
    </row>
    <row r="22" spans="1:29" ht="15">
      <c r="A22" s="347"/>
      <c r="B22" s="400"/>
      <c r="C22" s="385"/>
      <c r="D22" s="386"/>
      <c r="E22" s="1751"/>
      <c r="F22" s="386"/>
      <c r="G22" s="1751"/>
      <c r="H22" s="386"/>
      <c r="I22" s="385"/>
      <c r="J22" s="386"/>
      <c r="K22" s="590"/>
      <c r="L22" s="2486"/>
      <c r="M22" s="2481"/>
      <c r="N22" s="2481"/>
      <c r="O22" s="2536"/>
      <c r="P22" s="3439"/>
      <c r="Q22" s="1256"/>
      <c r="R22" s="665"/>
      <c r="S22" s="666"/>
      <c r="T22" s="665"/>
      <c r="U22" s="666"/>
      <c r="V22" s="665"/>
      <c r="W22" s="666"/>
      <c r="X22" s="1258"/>
      <c r="Y22" s="3439"/>
      <c r="Z22" s="1257"/>
      <c r="AA22" s="1257">
        <v>1</v>
      </c>
      <c r="AB22" s="1257">
        <v>1</v>
      </c>
      <c r="AC22" s="1257">
        <v>1</v>
      </c>
    </row>
    <row r="23" spans="1:29" s="102" customFormat="1" ht="15">
      <c r="A23" s="442"/>
      <c r="B23" s="555" t="s">
        <v>1775</v>
      </c>
      <c r="C23" s="1747">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3"/>
      <c r="N23" s="2433"/>
      <c r="O23" s="2534"/>
      <c r="P23" s="3439"/>
      <c r="Q23" s="529" t="str">
        <f t="shared" si="8"/>
        <v>公共配套设施</v>
      </c>
      <c r="R23" s="662" t="s">
        <v>14</v>
      </c>
      <c r="S23" s="663">
        <f>F23</f>
        <v>100</v>
      </c>
      <c r="T23" s="662" t="s">
        <v>14</v>
      </c>
      <c r="U23" s="663">
        <f>H23</f>
        <v>100</v>
      </c>
      <c r="V23" s="662" t="s">
        <v>14</v>
      </c>
      <c r="W23" s="663">
        <f>J23</f>
        <v>100</v>
      </c>
      <c r="X23" s="664"/>
      <c r="Y23" s="3439"/>
      <c r="Z23" s="50" t="str">
        <f>Q23</f>
        <v>公共配套设施</v>
      </c>
      <c r="AA23" s="1257">
        <f>D23/F23</f>
        <v>1</v>
      </c>
      <c r="AB23" s="1257">
        <f>D23/H23</f>
        <v>1</v>
      </c>
      <c r="AC23" s="1257">
        <f>D23/J23</f>
        <v>1</v>
      </c>
    </row>
    <row r="24" spans="1:29" s="102" customFormat="1" ht="15">
      <c r="A24" s="442"/>
      <c r="B24" s="400"/>
      <c r="C24" s="1819"/>
      <c r="D24" s="386"/>
      <c r="E24" s="1751"/>
      <c r="F24" s="386"/>
      <c r="G24" s="1751"/>
      <c r="H24" s="386"/>
      <c r="I24" s="385"/>
      <c r="J24" s="386"/>
      <c r="K24" s="590"/>
      <c r="L24" s="2482"/>
      <c r="M24" s="2433"/>
      <c r="N24" s="2433"/>
      <c r="O24" s="2534"/>
      <c r="P24" s="3439"/>
      <c r="Q24" s="529"/>
      <c r="R24" s="662"/>
      <c r="S24" s="663"/>
      <c r="T24" s="662"/>
      <c r="U24" s="663"/>
      <c r="V24" s="662"/>
      <c r="W24" s="663"/>
      <c r="X24" s="664"/>
      <c r="Y24" s="3439"/>
      <c r="Z24" s="50"/>
      <c r="AA24" s="50">
        <v>1</v>
      </c>
      <c r="AB24" s="50">
        <v>1</v>
      </c>
      <c r="AC24" s="50">
        <v>1</v>
      </c>
    </row>
    <row r="25" spans="1:29" s="102" customFormat="1" ht="15">
      <c r="A25" s="442"/>
      <c r="B25" s="555" t="s">
        <v>1776</v>
      </c>
      <c r="C25" s="1747">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3"/>
      <c r="N25" s="2433"/>
      <c r="O25" s="2534"/>
      <c r="P25" s="3439"/>
      <c r="Q25" s="529" t="str">
        <f t="shared" ref="Q25" si="9">B25</f>
        <v>基础设施水平</v>
      </c>
      <c r="R25" s="662" t="s">
        <v>14</v>
      </c>
      <c r="S25" s="663">
        <f>F25</f>
        <v>100</v>
      </c>
      <c r="T25" s="662" t="s">
        <v>14</v>
      </c>
      <c r="U25" s="663">
        <f>H25</f>
        <v>100</v>
      </c>
      <c r="V25" s="662" t="s">
        <v>14</v>
      </c>
      <c r="W25" s="663">
        <f>J25</f>
        <v>100</v>
      </c>
      <c r="X25" s="664"/>
      <c r="Y25" s="3439"/>
      <c r="Z25" s="50" t="str">
        <f>Q25</f>
        <v>基础设施水平</v>
      </c>
      <c r="AA25" s="1257">
        <f>D25/F25</f>
        <v>1</v>
      </c>
      <c r="AB25" s="1257">
        <f>D25/H25</f>
        <v>1</v>
      </c>
      <c r="AC25" s="1257">
        <f>D25/J25</f>
        <v>1</v>
      </c>
    </row>
    <row r="26" spans="1:29" s="102" customFormat="1" ht="15">
      <c r="A26" s="442"/>
      <c r="B26" s="400"/>
      <c r="C26" s="1819"/>
      <c r="D26" s="386"/>
      <c r="E26" s="1820"/>
      <c r="F26" s="386"/>
      <c r="G26" s="1820"/>
      <c r="H26" s="386"/>
      <c r="I26" s="1820"/>
      <c r="J26" s="386"/>
      <c r="K26" s="590"/>
      <c r="L26" s="2482"/>
      <c r="M26" s="2433"/>
      <c r="N26" s="2433"/>
      <c r="O26" s="2534"/>
      <c r="P26" s="3439"/>
      <c r="Q26" s="529"/>
      <c r="R26" s="662"/>
      <c r="S26" s="663"/>
      <c r="T26" s="662"/>
      <c r="U26" s="663"/>
      <c r="V26" s="662"/>
      <c r="W26" s="663"/>
      <c r="X26" s="664"/>
      <c r="Y26" s="3439"/>
      <c r="Z26" s="50"/>
      <c r="AA26" s="50">
        <v>1</v>
      </c>
      <c r="AB26" s="50">
        <v>1</v>
      </c>
      <c r="AC26" s="50">
        <v>1</v>
      </c>
    </row>
    <row r="27" spans="1:29" ht="15">
      <c r="A27" s="366"/>
      <c r="B27" s="400" t="s">
        <v>1777</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39"/>
      <c r="Q27" s="1256" t="str">
        <f t="shared" si="8"/>
        <v>临街状况</v>
      </c>
      <c r="R27" s="665" t="s">
        <v>14</v>
      </c>
      <c r="S27" s="666">
        <f t="shared" ref="S27:S40" si="10">F27</f>
        <v>100</v>
      </c>
      <c r="T27" s="665" t="s">
        <v>14</v>
      </c>
      <c r="U27" s="666">
        <f t="shared" ref="U27:U40" si="11">H27</f>
        <v>100</v>
      </c>
      <c r="V27" s="665" t="s">
        <v>14</v>
      </c>
      <c r="W27" s="666">
        <f t="shared" ref="W27:W40" si="12">J27</f>
        <v>100</v>
      </c>
      <c r="X27" s="1258"/>
      <c r="Y27" s="3439"/>
      <c r="Z27" s="1257" t="str">
        <f t="shared" ref="Z27:Z40" si="13">Q27</f>
        <v>临街状况</v>
      </c>
      <c r="AA27" s="1257">
        <f t="shared" si="3"/>
        <v>1</v>
      </c>
      <c r="AB27" s="1257">
        <f t="shared" si="4"/>
        <v>1</v>
      </c>
      <c r="AC27" s="1257">
        <f t="shared" si="5"/>
        <v>1</v>
      </c>
    </row>
    <row r="28" spans="1:29" ht="27">
      <c r="A28" s="366"/>
      <c r="B28" s="555" t="s">
        <v>1812</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39"/>
      <c r="Q28" s="1256" t="str">
        <f t="shared" si="8"/>
        <v>毗邻道路的类型与等级</v>
      </c>
      <c r="R28" s="665" t="s">
        <v>14</v>
      </c>
      <c r="S28" s="666">
        <f t="shared" si="10"/>
        <v>100</v>
      </c>
      <c r="T28" s="665" t="s">
        <v>14</v>
      </c>
      <c r="U28" s="666">
        <f t="shared" si="11"/>
        <v>100</v>
      </c>
      <c r="V28" s="665" t="s">
        <v>14</v>
      </c>
      <c r="W28" s="666">
        <f t="shared" si="12"/>
        <v>100</v>
      </c>
      <c r="X28" s="1258"/>
      <c r="Y28" s="3439"/>
      <c r="Z28" s="1257" t="str">
        <f t="shared" si="13"/>
        <v>毗邻道路的类型与等级</v>
      </c>
      <c r="AA28" s="1257">
        <f t="shared" si="3"/>
        <v>1</v>
      </c>
      <c r="AB28" s="1257">
        <f t="shared" si="4"/>
        <v>1</v>
      </c>
      <c r="AC28" s="1257">
        <f t="shared" si="5"/>
        <v>1</v>
      </c>
    </row>
    <row r="29" spans="1:29" ht="15">
      <c r="A29" s="366"/>
      <c r="B29" s="400"/>
      <c r="C29" s="385"/>
      <c r="D29" s="386"/>
      <c r="E29" s="1751"/>
      <c r="F29" s="386"/>
      <c r="G29" s="1751"/>
      <c r="H29" s="386"/>
      <c r="I29" s="1751"/>
      <c r="J29" s="386"/>
      <c r="K29" s="538"/>
      <c r="L29" s="2486"/>
      <c r="M29" s="2481"/>
      <c r="N29" s="2481"/>
      <c r="O29" s="2536"/>
      <c r="P29" s="3439"/>
      <c r="Q29" s="1256"/>
      <c r="R29" s="665"/>
      <c r="S29" s="666"/>
      <c r="T29" s="665"/>
      <c r="U29" s="666"/>
      <c r="V29" s="665"/>
      <c r="W29" s="666"/>
      <c r="X29" s="1258"/>
      <c r="Y29" s="3439"/>
      <c r="Z29" s="1257"/>
      <c r="AA29" s="1257">
        <v>1</v>
      </c>
      <c r="AB29" s="1257">
        <v>1</v>
      </c>
      <c r="AC29" s="1257">
        <v>1</v>
      </c>
    </row>
    <row r="30" spans="1:29" ht="15">
      <c r="A30" s="366"/>
      <c r="B30" s="118" t="s">
        <v>1870</v>
      </c>
      <c r="C30" s="1064">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39"/>
      <c r="Q30" s="1256" t="str">
        <f t="shared" si="8"/>
        <v>土地级别</v>
      </c>
      <c r="R30" s="665" t="s">
        <v>14</v>
      </c>
      <c r="S30" s="666">
        <f t="shared" si="10"/>
        <v>100</v>
      </c>
      <c r="T30" s="665" t="s">
        <v>14</v>
      </c>
      <c r="U30" s="666">
        <f t="shared" si="11"/>
        <v>100</v>
      </c>
      <c r="V30" s="665" t="s">
        <v>14</v>
      </c>
      <c r="W30" s="666">
        <f t="shared" si="12"/>
        <v>100</v>
      </c>
      <c r="X30" s="1258"/>
      <c r="Y30" s="3439"/>
      <c r="Z30" s="1257" t="str">
        <f t="shared" si="13"/>
        <v>土地级别</v>
      </c>
      <c r="AA30" s="1257">
        <f t="shared" si="3"/>
        <v>1</v>
      </c>
      <c r="AB30" s="1257">
        <f t="shared" si="4"/>
        <v>1</v>
      </c>
      <c r="AC30" s="1257">
        <f t="shared" si="5"/>
        <v>1</v>
      </c>
    </row>
    <row r="31" spans="1:29" ht="15">
      <c r="A31" s="347"/>
      <c r="B31" s="1094">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39"/>
      <c r="Q31" s="1256">
        <f t="shared" si="8"/>
        <v>111</v>
      </c>
      <c r="R31" s="665" t="s">
        <v>14</v>
      </c>
      <c r="S31" s="666">
        <f t="shared" si="10"/>
        <v>100</v>
      </c>
      <c r="T31" s="665" t="s">
        <v>14</v>
      </c>
      <c r="U31" s="666">
        <f t="shared" si="11"/>
        <v>100</v>
      </c>
      <c r="V31" s="665" t="s">
        <v>14</v>
      </c>
      <c r="W31" s="666">
        <f t="shared" si="12"/>
        <v>100</v>
      </c>
      <c r="X31" s="1258"/>
      <c r="Y31" s="3439"/>
      <c r="Z31" s="1257">
        <f t="shared" si="13"/>
        <v>111</v>
      </c>
      <c r="AA31" s="1257">
        <f t="shared" si="3"/>
        <v>1</v>
      </c>
      <c r="AB31" s="1257">
        <f t="shared" si="4"/>
        <v>1</v>
      </c>
      <c r="AC31" s="1257">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6" t="s">
        <v>1693</v>
      </c>
      <c r="Q32" s="1256">
        <f t="shared" si="8"/>
        <v>111</v>
      </c>
      <c r="R32" s="665" t="s">
        <v>14</v>
      </c>
      <c r="S32" s="666">
        <f t="shared" si="10"/>
        <v>100</v>
      </c>
      <c r="T32" s="665" t="s">
        <v>14</v>
      </c>
      <c r="U32" s="666">
        <f t="shared" si="11"/>
        <v>100</v>
      </c>
      <c r="V32" s="665" t="s">
        <v>14</v>
      </c>
      <c r="W32" s="666">
        <f t="shared" si="12"/>
        <v>100</v>
      </c>
      <c r="X32" s="1258"/>
      <c r="Y32" s="3443" t="s">
        <v>1693</v>
      </c>
      <c r="Z32" s="1257">
        <f t="shared" si="13"/>
        <v>111</v>
      </c>
      <c r="AA32" s="1257">
        <f t="shared" si="3"/>
        <v>1</v>
      </c>
      <c r="AB32" s="1257">
        <f t="shared" si="4"/>
        <v>1</v>
      </c>
      <c r="AC32" s="1257">
        <f t="shared" si="5"/>
        <v>1</v>
      </c>
    </row>
    <row r="33" spans="1:31" s="407" customFormat="1" ht="15.75" thickBot="1">
      <c r="A33" s="594"/>
      <c r="B33" s="1833">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43"/>
      <c r="Q33" s="1256">
        <f t="shared" si="8"/>
        <v>111</v>
      </c>
      <c r="R33" s="667" t="s">
        <v>14</v>
      </c>
      <c r="S33" s="668">
        <f t="shared" si="10"/>
        <v>100</v>
      </c>
      <c r="T33" s="667" t="s">
        <v>14</v>
      </c>
      <c r="U33" s="668">
        <f t="shared" si="11"/>
        <v>100</v>
      </c>
      <c r="V33" s="667" t="s">
        <v>14</v>
      </c>
      <c r="W33" s="668">
        <f t="shared" si="12"/>
        <v>100</v>
      </c>
      <c r="X33" s="669"/>
      <c r="Y33" s="3443"/>
      <c r="Z33" s="670">
        <f t="shared" si="13"/>
        <v>111</v>
      </c>
      <c r="AA33" s="1257">
        <f t="shared" si="3"/>
        <v>1</v>
      </c>
      <c r="AB33" s="1257">
        <f t="shared" si="4"/>
        <v>1</v>
      </c>
      <c r="AC33" s="1257">
        <f t="shared" si="5"/>
        <v>1</v>
      </c>
    </row>
    <row r="34" spans="1:31" ht="15">
      <c r="A34" s="378" t="s">
        <v>1691</v>
      </c>
      <c r="B34" s="394" t="s">
        <v>1871</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43"/>
      <c r="Q34" s="1256" t="str">
        <f>B34</f>
        <v>宗地面积</v>
      </c>
      <c r="R34" s="665" t="s">
        <v>14</v>
      </c>
      <c r="S34" s="666" t="e">
        <f t="shared" si="10"/>
        <v>#N/A</v>
      </c>
      <c r="T34" s="665" t="s">
        <v>14</v>
      </c>
      <c r="U34" s="666" t="e">
        <f t="shared" si="11"/>
        <v>#N/A</v>
      </c>
      <c r="V34" s="665" t="s">
        <v>14</v>
      </c>
      <c r="W34" s="666" t="e">
        <f t="shared" si="12"/>
        <v>#N/A</v>
      </c>
      <c r="X34" s="1258"/>
      <c r="Y34" s="3443"/>
      <c r="Z34" s="1257" t="str">
        <f t="shared" si="13"/>
        <v>宗地面积</v>
      </c>
      <c r="AA34" s="1257" t="e">
        <f t="shared" si="3"/>
        <v>#N/A</v>
      </c>
      <c r="AB34" s="1257" t="e">
        <f t="shared" si="4"/>
        <v>#N/A</v>
      </c>
      <c r="AC34" s="1257" t="e">
        <f t="shared" si="5"/>
        <v>#N/A</v>
      </c>
    </row>
    <row r="35" spans="1:31" ht="15">
      <c r="A35" s="408"/>
      <c r="B35" s="363" t="s">
        <v>1872</v>
      </c>
      <c r="C35" s="1753"/>
      <c r="D35" s="373">
        <v>100</v>
      </c>
      <c r="E35" s="1753"/>
      <c r="F35" s="373">
        <f>SUMIF(110:110,E35,111:111)-SUMIF(110:110,C35,111:111)+100</f>
        <v>100</v>
      </c>
      <c r="G35" s="1753"/>
      <c r="H35" s="373">
        <f>SUMIF(110:110,G35,111:111)-SUMIF(110:110,C35,111:111)+100</f>
        <v>100</v>
      </c>
      <c r="I35" s="1753"/>
      <c r="J35" s="373">
        <f>SUMIF(110:110,I35,111:111)-SUMIF(110:110,C35,111:111)+100</f>
        <v>100</v>
      </c>
      <c r="K35" s="537"/>
      <c r="L35" s="2486"/>
      <c r="M35" s="2481"/>
      <c r="N35" s="2481"/>
      <c r="O35" s="2536"/>
      <c r="P35" s="3443"/>
      <c r="Q35" s="1256" t="str">
        <f t="shared" ref="Q35:Q40" si="14">B35</f>
        <v>宗地形状</v>
      </c>
      <c r="R35" s="665" t="s">
        <v>14</v>
      </c>
      <c r="S35" s="666">
        <f t="shared" si="10"/>
        <v>100</v>
      </c>
      <c r="T35" s="665" t="s">
        <v>14</v>
      </c>
      <c r="U35" s="666">
        <f t="shared" si="11"/>
        <v>100</v>
      </c>
      <c r="V35" s="665" t="s">
        <v>14</v>
      </c>
      <c r="W35" s="666">
        <f t="shared" si="12"/>
        <v>100</v>
      </c>
      <c r="X35" s="1258"/>
      <c r="Y35" s="3443"/>
      <c r="Z35" s="1257" t="str">
        <f t="shared" si="13"/>
        <v>宗地形状</v>
      </c>
      <c r="AA35" s="1257">
        <f t="shared" si="3"/>
        <v>1</v>
      </c>
      <c r="AB35" s="1257">
        <f t="shared" si="4"/>
        <v>1</v>
      </c>
      <c r="AC35" s="1257">
        <f t="shared" si="5"/>
        <v>1</v>
      </c>
    </row>
    <row r="36" spans="1:31" s="102" customFormat="1" ht="15">
      <c r="A36" s="409"/>
      <c r="B36" s="363" t="s">
        <v>1874</v>
      </c>
      <c r="C36" s="1821"/>
      <c r="D36" s="118">
        <v>100</v>
      </c>
      <c r="E36" s="1821"/>
      <c r="F36" s="373">
        <f>SUMIF(112:112,E36,113:113)-SUMIF(112:112,C36,113:113)+100</f>
        <v>100</v>
      </c>
      <c r="G36" s="1821"/>
      <c r="H36" s="373">
        <f>SUMIF(112:112,G36,113:113)-SUMIF(112:112,C36,113:113)+100</f>
        <v>100</v>
      </c>
      <c r="I36" s="1821"/>
      <c r="J36" s="373">
        <f>SUMIF(112:112,I36,113:113)-SUMIF(112:112,C36,113:113)+100</f>
        <v>100</v>
      </c>
      <c r="K36" s="537"/>
      <c r="L36" s="2482"/>
      <c r="M36" s="2433"/>
      <c r="N36" s="2433"/>
      <c r="O36" s="2534"/>
      <c r="P36" s="3443"/>
      <c r="Q36" s="1256" t="str">
        <f t="shared" si="14"/>
        <v>宗地开发程度</v>
      </c>
      <c r="R36" s="662" t="s">
        <v>14</v>
      </c>
      <c r="S36" s="663">
        <f t="shared" si="10"/>
        <v>100</v>
      </c>
      <c r="T36" s="662" t="s">
        <v>14</v>
      </c>
      <c r="U36" s="663">
        <f t="shared" si="11"/>
        <v>100</v>
      </c>
      <c r="V36" s="662" t="s">
        <v>14</v>
      </c>
      <c r="W36" s="663">
        <f t="shared" si="12"/>
        <v>100</v>
      </c>
      <c r="X36" s="664"/>
      <c r="Y36" s="3443"/>
      <c r="Z36" s="50" t="str">
        <f t="shared" si="13"/>
        <v>宗地开发程度</v>
      </c>
      <c r="AA36" s="50">
        <f t="shared" si="3"/>
        <v>1</v>
      </c>
      <c r="AB36" s="50">
        <f t="shared" si="4"/>
        <v>1</v>
      </c>
      <c r="AC36" s="50">
        <f t="shared" si="5"/>
        <v>1</v>
      </c>
    </row>
    <row r="37" spans="1:31" ht="15">
      <c r="A37" s="408"/>
      <c r="B37" s="363" t="s">
        <v>1875</v>
      </c>
      <c r="C37" s="1753"/>
      <c r="D37" s="373">
        <v>100</v>
      </c>
      <c r="E37" s="1753"/>
      <c r="F37" s="373">
        <f>SUMIF(114:114,E37,115:115)-SUMIF(114:114,C37,115:115)+100</f>
        <v>100</v>
      </c>
      <c r="G37" s="1753"/>
      <c r="H37" s="373">
        <f>SUMIF(114:114,G37,115:115)-SUMIF(114:114,C37,115:115)+100</f>
        <v>100</v>
      </c>
      <c r="I37" s="1753"/>
      <c r="J37" s="373">
        <f>SUMIF(114:114,I37,115:115)-SUMIF(114:114,C37,115:115)+100</f>
        <v>100</v>
      </c>
      <c r="K37" s="537"/>
      <c r="L37" s="2486"/>
      <c r="M37" s="2481"/>
      <c r="N37" s="2481"/>
      <c r="O37" s="2536"/>
      <c r="P37" s="3443" t="s">
        <v>1693</v>
      </c>
      <c r="Q37" s="1256" t="str">
        <f t="shared" si="14"/>
        <v>工程地质条件</v>
      </c>
      <c r="R37" s="665" t="s">
        <v>14</v>
      </c>
      <c r="S37" s="666">
        <f t="shared" si="10"/>
        <v>100</v>
      </c>
      <c r="T37" s="665" t="s">
        <v>14</v>
      </c>
      <c r="U37" s="666">
        <f t="shared" si="11"/>
        <v>100</v>
      </c>
      <c r="V37" s="665" t="s">
        <v>14</v>
      </c>
      <c r="W37" s="666">
        <f t="shared" si="12"/>
        <v>100</v>
      </c>
      <c r="X37" s="1258"/>
      <c r="Y37" s="3443" t="s">
        <v>1693</v>
      </c>
      <c r="Z37" s="1257" t="str">
        <f t="shared" si="13"/>
        <v>工程地质条件</v>
      </c>
      <c r="AA37" s="1257">
        <f t="shared" si="3"/>
        <v>1</v>
      </c>
      <c r="AB37" s="1257">
        <f t="shared" si="4"/>
        <v>1</v>
      </c>
      <c r="AC37" s="1257">
        <f t="shared" si="5"/>
        <v>1</v>
      </c>
    </row>
    <row r="38" spans="1:31" ht="15">
      <c r="A38" s="408"/>
      <c r="B38" s="1062">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43"/>
      <c r="Q38" s="1256">
        <f t="shared" si="14"/>
        <v>111</v>
      </c>
      <c r="R38" s="665" t="s">
        <v>14</v>
      </c>
      <c r="S38" s="666">
        <f t="shared" si="10"/>
        <v>100</v>
      </c>
      <c r="T38" s="665" t="s">
        <v>14</v>
      </c>
      <c r="U38" s="666">
        <f t="shared" si="11"/>
        <v>100</v>
      </c>
      <c r="V38" s="665" t="s">
        <v>14</v>
      </c>
      <c r="W38" s="666">
        <f t="shared" si="12"/>
        <v>100</v>
      </c>
      <c r="X38" s="1258"/>
      <c r="Y38" s="3443"/>
      <c r="Z38" s="1257">
        <f t="shared" si="13"/>
        <v>111</v>
      </c>
      <c r="AA38" s="1257">
        <f t="shared" si="3"/>
        <v>1</v>
      </c>
      <c r="AB38" s="1257">
        <f t="shared" si="4"/>
        <v>1</v>
      </c>
      <c r="AC38" s="1257">
        <f t="shared" si="5"/>
        <v>1</v>
      </c>
    </row>
    <row r="39" spans="1:31" ht="15">
      <c r="A39" s="408"/>
      <c r="B39" s="1062">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43"/>
      <c r="Q39" s="1256">
        <f t="shared" si="14"/>
        <v>111</v>
      </c>
      <c r="R39" s="665" t="s">
        <v>14</v>
      </c>
      <c r="S39" s="666">
        <f t="shared" si="10"/>
        <v>100</v>
      </c>
      <c r="T39" s="665" t="s">
        <v>14</v>
      </c>
      <c r="U39" s="666">
        <f t="shared" si="11"/>
        <v>100</v>
      </c>
      <c r="V39" s="665" t="s">
        <v>14</v>
      </c>
      <c r="W39" s="666">
        <f t="shared" si="12"/>
        <v>100</v>
      </c>
      <c r="X39" s="1258"/>
      <c r="Y39" s="3443"/>
      <c r="Z39" s="1257">
        <f t="shared" si="13"/>
        <v>111</v>
      </c>
      <c r="AA39" s="1257">
        <f t="shared" si="3"/>
        <v>1</v>
      </c>
      <c r="AB39" s="1257">
        <f t="shared" si="4"/>
        <v>1</v>
      </c>
      <c r="AC39" s="1257">
        <f t="shared" si="5"/>
        <v>1</v>
      </c>
    </row>
    <row r="40" spans="1:31" s="407" customFormat="1" ht="15.75" thickBot="1">
      <c r="A40" s="405"/>
      <c r="B40" s="1062">
        <v>111</v>
      </c>
      <c r="C40" s="1822"/>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43"/>
      <c r="Q40" s="1256">
        <f t="shared" si="14"/>
        <v>111</v>
      </c>
      <c r="R40" s="667" t="s">
        <v>14</v>
      </c>
      <c r="S40" s="668">
        <f t="shared" si="10"/>
        <v>100</v>
      </c>
      <c r="T40" s="667" t="s">
        <v>14</v>
      </c>
      <c r="U40" s="668">
        <f t="shared" si="11"/>
        <v>100</v>
      </c>
      <c r="V40" s="667" t="s">
        <v>14</v>
      </c>
      <c r="W40" s="668">
        <f t="shared" si="12"/>
        <v>100</v>
      </c>
      <c r="X40" s="669"/>
      <c r="Y40" s="3443"/>
      <c r="Z40" s="670">
        <f t="shared" si="13"/>
        <v>111</v>
      </c>
      <c r="AA40" s="1257">
        <f t="shared" si="3"/>
        <v>1</v>
      </c>
      <c r="AB40" s="1257">
        <f t="shared" si="4"/>
        <v>1</v>
      </c>
      <c r="AC40" s="1257">
        <f t="shared" si="5"/>
        <v>1</v>
      </c>
    </row>
    <row r="41" spans="1:31" ht="15">
      <c r="A41" s="415" t="s">
        <v>1841</v>
      </c>
      <c r="B41" s="1823" t="s">
        <v>1919</v>
      </c>
      <c r="C41" s="600" t="s">
        <v>0</v>
      </c>
      <c r="D41" s="417"/>
      <c r="E41" s="418"/>
      <c r="F41" s="419"/>
      <c r="G41" s="420"/>
      <c r="H41" s="421"/>
      <c r="I41" s="418"/>
      <c r="J41" s="421"/>
      <c r="K41" s="672"/>
      <c r="L41" s="2488"/>
      <c r="M41" s="2481"/>
      <c r="N41" s="2481"/>
      <c r="O41" s="2481"/>
      <c r="P41" s="3436" t="str">
        <f>A41</f>
        <v>成交单价</v>
      </c>
      <c r="Q41" s="3436"/>
      <c r="R41" s="3437">
        <f>E41</f>
        <v>0</v>
      </c>
      <c r="S41" s="3437"/>
      <c r="T41" s="3437">
        <f>G41</f>
        <v>0</v>
      </c>
      <c r="U41" s="3437"/>
      <c r="V41" s="3437">
        <f>I41</f>
        <v>0</v>
      </c>
      <c r="W41" s="3437"/>
      <c r="X41" s="384"/>
      <c r="Y41" s="671"/>
      <c r="Z41" s="384"/>
      <c r="AA41" s="384"/>
      <c r="AB41" s="384"/>
      <c r="AC41" s="384"/>
    </row>
    <row r="42" spans="1:31" ht="15.75" thickBot="1">
      <c r="A42" s="422" t="s">
        <v>1790</v>
      </c>
      <c r="B42" s="601"/>
      <c r="C42" s="425" t="e">
        <f>R43</f>
        <v>#DIV/0!</v>
      </c>
      <c r="D42" s="2134" t="s">
        <v>2134</v>
      </c>
      <c r="E42" s="425" t="e">
        <f>R42</f>
        <v>#DIV/0!</v>
      </c>
      <c r="F42" s="2135"/>
      <c r="G42" s="424" t="e">
        <f>T42</f>
        <v>#DIV/0!</v>
      </c>
      <c r="H42" s="2135"/>
      <c r="I42" s="425" t="e">
        <f>V42</f>
        <v>#DIV/0!</v>
      </c>
      <c r="J42" s="2135"/>
      <c r="K42" s="2137">
        <f>F42+H42+J42</f>
        <v>0</v>
      </c>
      <c r="L42" s="2488"/>
      <c r="M42" s="2481"/>
      <c r="N42" s="2481"/>
      <c r="O42" s="2481"/>
      <c r="P42" s="3436" t="str">
        <f>A42</f>
        <v>比较价值（元/平方米）</v>
      </c>
      <c r="Q42" s="3436"/>
      <c r="R42" s="3503" t="e">
        <f>ROUND(PRODUCT(R41,AA7:AA40),0)</f>
        <v>#DIV/0!</v>
      </c>
      <c r="S42" s="3503"/>
      <c r="T42" s="3503" t="e">
        <f>ROUND(PRODUCT(T41,AB7:AB40),0)</f>
        <v>#DIV/0!</v>
      </c>
      <c r="U42" s="3503"/>
      <c r="V42" s="3503" t="e">
        <f>ROUND(PRODUCT(V41,AC7:AC40),0)</f>
        <v>#DIV/0!</v>
      </c>
      <c r="W42" s="3503"/>
      <c r="X42" s="384"/>
      <c r="Y42" s="384"/>
      <c r="Z42" s="384"/>
      <c r="AA42" s="384"/>
      <c r="AB42" s="384"/>
      <c r="AC42" s="384"/>
    </row>
    <row r="43" spans="1:31" ht="15.75" thickBot="1">
      <c r="A43" s="426" t="s">
        <v>1791</v>
      </c>
      <c r="B43" s="427"/>
      <c r="C43" s="428" t="e">
        <f>R43</f>
        <v>#DIV/0!</v>
      </c>
      <c r="D43" s="428"/>
      <c r="E43" s="428"/>
      <c r="F43" s="428"/>
      <c r="G43" s="428"/>
      <c r="H43" s="428"/>
      <c r="I43" s="428"/>
      <c r="J43" s="428"/>
      <c r="K43" s="673"/>
      <c r="L43" s="2488"/>
      <c r="M43" s="2481"/>
      <c r="N43" s="2481"/>
      <c r="O43" s="2481"/>
      <c r="P43" s="3433" t="str">
        <f>A43</f>
        <v>估价对象XX用房的比较价值（楼面单价，元/平方米）</v>
      </c>
      <c r="Q43" s="3434"/>
      <c r="R43" s="3504" t="e">
        <f>ROUND(IF(D42="简单平均",AVERAGE(R42:W42),R42*F42+T42*H42+V42*J42),0)</f>
        <v>#DIV/0!</v>
      </c>
      <c r="S43" s="3504"/>
      <c r="T43" s="3504"/>
      <c r="U43" s="3504"/>
      <c r="V43" s="3504"/>
      <c r="W43" s="350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1878</v>
      </c>
      <c r="B50" s="603" t="s">
        <v>1879</v>
      </c>
      <c r="C50" s="1824" t="s">
        <v>1880</v>
      </c>
      <c r="D50" s="1825" t="s">
        <v>1881</v>
      </c>
      <c r="E50" s="604" t="s">
        <v>1882</v>
      </c>
      <c r="F50" s="605" t="s">
        <v>1883</v>
      </c>
      <c r="G50" s="3451" t="s">
        <v>1884</v>
      </c>
      <c r="H50" s="3505"/>
      <c r="I50" s="1257" t="s">
        <v>1920</v>
      </c>
      <c r="J50" s="1257">
        <f>项目基本情况!F35</f>
        <v>0</v>
      </c>
      <c r="K50" s="1827" t="s">
        <v>1886</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1887</v>
      </c>
      <c r="B51" s="607" t="e">
        <f>C43</f>
        <v>#DIV/0!</v>
      </c>
      <c r="C51" s="608">
        <v>1</v>
      </c>
      <c r="D51" s="886">
        <v>1</v>
      </c>
      <c r="E51" s="608">
        <f>'数据-汇总表'!E8+'数据-汇总表'!E9</f>
        <v>174099.34999999995</v>
      </c>
      <c r="F51" s="609" t="e">
        <f t="shared" ref="F51:F60" si="15">ROUND(B51*E51/10000,0)</f>
        <v>#DIV/0!</v>
      </c>
      <c r="G51" s="3447"/>
      <c r="H51" s="3436"/>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1888</v>
      </c>
      <c r="B52" s="209" t="e">
        <f>ROUND($C$43*C52*D52,0)</f>
        <v>#DIV/0!</v>
      </c>
      <c r="C52" s="162">
        <f t="shared" ref="C52:C60" si="16">IF($C$50="北京市系数",I52,J52)</f>
        <v>0.6</v>
      </c>
      <c r="D52" s="887">
        <v>0.25</v>
      </c>
      <c r="E52" s="612"/>
      <c r="F52" s="609" t="e">
        <f t="shared" si="15"/>
        <v>#DIV/0!</v>
      </c>
      <c r="G52" s="2744" t="s">
        <v>1889</v>
      </c>
      <c r="H52" s="830" t="str">
        <f>项目基本情况!B37</f>
        <v>七级</v>
      </c>
      <c r="I52" s="723">
        <f>SUMIF(修正!A57:A68,H52,修正!B57:B68)</f>
        <v>0.6</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1890</v>
      </c>
      <c r="B53" s="209" t="e">
        <f t="shared" ref="B53:B60" si="17">ROUND($C$43*C53*D53,0)</f>
        <v>#DIV/0!</v>
      </c>
      <c r="C53" s="162">
        <f t="shared" si="16"/>
        <v>0.3</v>
      </c>
      <c r="D53" s="887">
        <v>0.25</v>
      </c>
      <c r="E53" s="612"/>
      <c r="F53" s="609" t="e">
        <f t="shared" si="15"/>
        <v>#DIV/0!</v>
      </c>
      <c r="G53" s="2745"/>
      <c r="H53" s="830" t="str">
        <f>项目基本情况!B37</f>
        <v>七级</v>
      </c>
      <c r="I53" s="723">
        <f>SUMIF(修正!A57:A68,H53,修正!C57:C68)</f>
        <v>0.3</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1891</v>
      </c>
      <c r="B54" s="209" t="e">
        <f t="shared" si="17"/>
        <v>#DIV/0!</v>
      </c>
      <c r="C54" s="162">
        <f t="shared" si="16"/>
        <v>0.25</v>
      </c>
      <c r="D54" s="887">
        <v>0.25</v>
      </c>
      <c r="E54" s="612"/>
      <c r="F54" s="609" t="e">
        <f t="shared" si="15"/>
        <v>#DIV/0!</v>
      </c>
      <c r="G54" s="2745"/>
      <c r="H54" s="830" t="str">
        <f>项目基本情况!B37</f>
        <v>七级</v>
      </c>
      <c r="I54" s="723">
        <f>SUMIF(修正!A57:A68,H54,修正!D57:D68)</f>
        <v>0.25</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1892</v>
      </c>
      <c r="B56" s="209" t="e">
        <f t="shared" si="17"/>
        <v>#DIV/0!</v>
      </c>
      <c r="C56" s="162">
        <f t="shared" si="16"/>
        <v>0.25</v>
      </c>
      <c r="D56" s="887">
        <v>0.25</v>
      </c>
      <c r="E56" s="208">
        <f>'数据-汇总表'!E11</f>
        <v>0</v>
      </c>
      <c r="F56" s="609" t="e">
        <f t="shared" si="15"/>
        <v>#DIV/0!</v>
      </c>
      <c r="G56" s="1828" t="s">
        <v>1893</v>
      </c>
      <c r="H56" s="830" t="str">
        <f>项目基本情况!C37</f>
        <v>七级</v>
      </c>
      <c r="I56" s="723">
        <f>SUMIF(修正!A57:A68,H56,修正!E57:E68)</f>
        <v>0.25</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1894</v>
      </c>
      <c r="B57" s="209" t="e">
        <f t="shared" si="17"/>
        <v>#DIV/0!</v>
      </c>
      <c r="C57" s="162">
        <f t="shared" si="16"/>
        <v>0.25</v>
      </c>
      <c r="D57" s="887">
        <v>0.25</v>
      </c>
      <c r="E57" s="208">
        <f>'数据-汇总表'!E12</f>
        <v>0</v>
      </c>
      <c r="F57" s="609" t="e">
        <f t="shared" si="15"/>
        <v>#DIV/0!</v>
      </c>
      <c r="G57" s="835" t="s">
        <v>1895</v>
      </c>
      <c r="H57" s="830" t="str">
        <f>IF(G57="商业",项目基本情况!B37,IF(G57="办公",项目基本情况!C37,IF(G57="住宅",项目基本情况!D37,项目基本情况!E37)))</f>
        <v>七级</v>
      </c>
      <c r="I57" s="723">
        <f>SUMIF(修正!A57:A68,H57,修正!F57:F68)</f>
        <v>0.25</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1896</v>
      </c>
      <c r="B58" s="209" t="e">
        <f t="shared" si="17"/>
        <v>#DIV/0!</v>
      </c>
      <c r="C58" s="162">
        <f t="shared" si="16"/>
        <v>0</v>
      </c>
      <c r="D58" s="887">
        <v>0.25</v>
      </c>
      <c r="E58" s="208">
        <f>'数据-汇总表'!E13</f>
        <v>0</v>
      </c>
      <c r="F58" s="609" t="e">
        <f t="shared" si="15"/>
        <v>#DIV/0!</v>
      </c>
      <c r="G58" s="835" t="s">
        <v>1897</v>
      </c>
      <c r="H58" s="830">
        <f>IF(G58="商业",项目基本情况!B37,IF(G58="办公",项目基本情况!C37,IF(G58="住宅",项目基本情况!D37,项目基本情况!E37)))</f>
        <v>0</v>
      </c>
      <c r="I58" s="723">
        <f>SUMIF(修正!A57:A68,H58,修正!G57:G68)</f>
        <v>0</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1898</v>
      </c>
      <c r="B59" s="209" t="e">
        <f t="shared" si="17"/>
        <v>#DIV/0!</v>
      </c>
      <c r="C59" s="162">
        <f t="shared" si="16"/>
        <v>0.15</v>
      </c>
      <c r="D59" s="887">
        <v>0.25</v>
      </c>
      <c r="E59" s="208">
        <f>'数据-汇总表'!E14</f>
        <v>0</v>
      </c>
      <c r="F59" s="609" t="e">
        <f t="shared" si="15"/>
        <v>#DIV/0!</v>
      </c>
      <c r="G59" s="1828" t="s">
        <v>1889</v>
      </c>
      <c r="H59" s="830" t="str">
        <f>项目基本情况!B37</f>
        <v>七级</v>
      </c>
      <c r="I59" s="723">
        <f>SUMIF(修正!A57:A68,H59,修正!G57:G68)</f>
        <v>0.15</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1899</v>
      </c>
      <c r="B60" s="209" t="e">
        <f t="shared" si="17"/>
        <v>#DIV/0!</v>
      </c>
      <c r="C60" s="162">
        <f t="shared" si="16"/>
        <v>0.15</v>
      </c>
      <c r="D60" s="887">
        <v>0.25</v>
      </c>
      <c r="E60" s="208">
        <f>'数据-汇总表'!E15</f>
        <v>0</v>
      </c>
      <c r="F60" s="609" t="e">
        <f t="shared" si="15"/>
        <v>#DIV/0!</v>
      </c>
      <c r="G60" s="1829" t="s">
        <v>1893</v>
      </c>
      <c r="H60" s="840" t="str">
        <f>项目基本情况!C37</f>
        <v>七级</v>
      </c>
      <c r="I60" s="723">
        <f>SUMIF(修正!A57:A68,H60,修正!G57:G68)</f>
        <v>0.15</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1900</v>
      </c>
      <c r="B61" s="614" t="s">
        <v>22</v>
      </c>
      <c r="C61" s="614" t="s">
        <v>23</v>
      </c>
      <c r="D61" s="614" t="s">
        <v>392</v>
      </c>
      <c r="E61" s="614">
        <f>IF(B41="楼面地价",SUM(E51:E60),'数据-汇总表'!D3)</f>
        <v>28700</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4" t="str">
        <f>YEAR(C7)&amp;"-"&amp;MONTH(C7)&amp;"-1"</f>
        <v>2024-7-1</v>
      </c>
      <c r="D63" s="654">
        <f>EDATE(C63,-3)</f>
        <v>45383</v>
      </c>
      <c r="E63" s="654">
        <f>EDATE(D63,-3)</f>
        <v>45292</v>
      </c>
      <c r="F63" s="654">
        <f t="shared" ref="F63:O63" si="18">EDATE(E63,-3)</f>
        <v>45200</v>
      </c>
      <c r="G63" s="654">
        <f t="shared" si="18"/>
        <v>45108</v>
      </c>
      <c r="H63" s="654">
        <f t="shared" si="18"/>
        <v>45017</v>
      </c>
      <c r="I63" s="654">
        <f t="shared" si="18"/>
        <v>44927</v>
      </c>
      <c r="J63" s="654">
        <f t="shared" si="18"/>
        <v>44835</v>
      </c>
      <c r="K63" s="654">
        <f t="shared" si="18"/>
        <v>44743</v>
      </c>
      <c r="L63" s="654">
        <f t="shared" si="18"/>
        <v>44652</v>
      </c>
      <c r="M63" s="654">
        <f t="shared" si="18"/>
        <v>44562</v>
      </c>
      <c r="N63" s="654">
        <f t="shared" si="18"/>
        <v>44470</v>
      </c>
      <c r="O63" s="654">
        <f t="shared" si="18"/>
        <v>44378</v>
      </c>
      <c r="P63" s="2481"/>
      <c r="Q63" s="2481"/>
      <c r="R63" s="2481"/>
      <c r="S63" s="2481"/>
      <c r="T63" s="2481"/>
      <c r="U63" s="2481"/>
      <c r="V63" s="2481"/>
      <c r="W63" s="2481"/>
      <c r="X63" s="2481"/>
      <c r="Y63" s="2481"/>
      <c r="Z63" s="2481"/>
      <c r="AA63" s="2481"/>
      <c r="AB63" s="2481"/>
      <c r="AC63" s="2481"/>
      <c r="AD63" s="2481"/>
      <c r="AE63" s="2481"/>
    </row>
    <row r="64" spans="1:31" ht="21.75" thickBot="1">
      <c r="A64" s="656" t="s">
        <v>1795</v>
      </c>
      <c r="B64" s="384"/>
      <c r="C64" s="657"/>
      <c r="D64" s="657"/>
      <c r="E64" s="657"/>
      <c r="F64" s="658"/>
      <c r="G64" s="658"/>
      <c r="H64" s="657"/>
      <c r="I64" s="657"/>
      <c r="J64" s="657"/>
      <c r="K64" s="659"/>
      <c r="L64" s="660"/>
      <c r="M64" s="657"/>
      <c r="N64" s="657"/>
      <c r="O64" s="882"/>
      <c r="P64" s="2531"/>
      <c r="Q64" s="2502"/>
      <c r="R64" s="2481"/>
      <c r="S64" s="2481"/>
      <c r="T64" s="2481"/>
      <c r="U64" s="2481"/>
      <c r="V64" s="2481"/>
      <c r="W64" s="2481"/>
      <c r="X64" s="2481"/>
      <c r="Y64" s="2481"/>
      <c r="Z64" s="2481"/>
      <c r="AA64" s="2481"/>
      <c r="AB64" s="2481"/>
      <c r="AC64" s="2481"/>
      <c r="AD64" s="2481"/>
      <c r="AE64" s="2481"/>
    </row>
    <row r="65" spans="1:31" s="441" customFormat="1" ht="15">
      <c r="A65" s="1623" t="s">
        <v>1901</v>
      </c>
      <c r="B65" s="1041"/>
      <c r="C65" s="1096" t="str">
        <f>YEAR(C63)&amp;"-"&amp;ROUNDUP(MONTH(C63)/3,0)</f>
        <v>2024-3</v>
      </c>
      <c r="D65" s="1096" t="str">
        <f t="shared" ref="D65:O65" si="19">YEAR(D63)&amp;"-"&amp;ROUNDUP(MONTH(D63)/3,0)</f>
        <v>2024-2</v>
      </c>
      <c r="E65" s="1096" t="str">
        <f t="shared" si="19"/>
        <v>2024-1</v>
      </c>
      <c r="F65" s="1096" t="str">
        <f t="shared" si="19"/>
        <v>2023-4</v>
      </c>
      <c r="G65" s="1096" t="str">
        <f t="shared" si="19"/>
        <v>2023-3</v>
      </c>
      <c r="H65" s="1096" t="str">
        <f t="shared" si="19"/>
        <v>2023-2</v>
      </c>
      <c r="I65" s="1096" t="str">
        <f t="shared" si="19"/>
        <v>2023-1</v>
      </c>
      <c r="J65" s="1096" t="str">
        <f t="shared" si="19"/>
        <v>2022-4</v>
      </c>
      <c r="K65" s="1096" t="str">
        <f t="shared" si="19"/>
        <v>2022-3</v>
      </c>
      <c r="L65" s="1096" t="str">
        <f t="shared" si="19"/>
        <v>2022-2</v>
      </c>
      <c r="M65" s="1096" t="str">
        <f t="shared" si="19"/>
        <v>2022-1</v>
      </c>
      <c r="N65" s="1096" t="str">
        <f t="shared" si="19"/>
        <v>2021-4</v>
      </c>
      <c r="O65" s="1096" t="str">
        <f t="shared" si="19"/>
        <v>2021-3</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4" t="s">
        <v>1921</v>
      </c>
      <c r="B66" s="279" t="str">
        <f>"北京市平均增长率"&amp;TEXT(基准地价修正!P28,"0.00%")</f>
        <v>北京市平均增长率0.00%</v>
      </c>
      <c r="C66" s="529">
        <v>100</v>
      </c>
      <c r="D66" s="6"/>
      <c r="E66" s="6"/>
      <c r="F66" s="6"/>
      <c r="G66" s="6"/>
      <c r="H66" s="6"/>
      <c r="I66" s="6"/>
      <c r="J66" s="6"/>
      <c r="K66" s="6"/>
      <c r="L66" s="6"/>
      <c r="M66" s="1061"/>
      <c r="N66" s="1061"/>
      <c r="O66" s="1094"/>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8" t="s">
        <v>1713</v>
      </c>
      <c r="B67" s="449"/>
      <c r="C67" s="450"/>
      <c r="D67" s="451"/>
      <c r="E67" s="451"/>
      <c r="F67" s="451"/>
      <c r="G67" s="451"/>
      <c r="H67" s="451"/>
      <c r="I67" s="451"/>
      <c r="J67" s="451"/>
      <c r="K67" s="451"/>
      <c r="L67" s="451"/>
      <c r="M67" s="452"/>
      <c r="N67" s="452"/>
      <c r="O67" s="453"/>
      <c r="P67" s="2502"/>
      <c r="Q67" s="2502"/>
      <c r="R67" s="2433"/>
      <c r="S67" s="2433"/>
      <c r="T67" s="2433"/>
      <c r="U67" s="2433"/>
      <c r="V67" s="2433"/>
      <c r="W67" s="2433"/>
      <c r="X67" s="2433"/>
      <c r="Y67" s="2433"/>
      <c r="Z67" s="2433"/>
      <c r="AA67" s="2433"/>
      <c r="AB67" s="2433"/>
      <c r="AC67" s="2433"/>
      <c r="AD67" s="2433"/>
      <c r="AE67" s="2433"/>
    </row>
    <row r="68" spans="1:31" s="102" customFormat="1" ht="15">
      <c r="A68" s="454" t="s">
        <v>1678</v>
      </c>
      <c r="B68" s="443"/>
      <c r="C68" s="455" t="s">
        <v>1773</v>
      </c>
      <c r="D68" s="31"/>
      <c r="E68" s="31"/>
      <c r="F68" s="31"/>
      <c r="G68" s="31"/>
      <c r="H68" s="31"/>
      <c r="I68" s="31"/>
      <c r="J68" s="31"/>
      <c r="K68" s="31"/>
      <c r="L68" s="456"/>
      <c r="M68" s="457"/>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4"/>
      <c r="B69" s="443"/>
      <c r="C69" s="561">
        <v>100</v>
      </c>
      <c r="D69" s="445"/>
      <c r="E69" s="445"/>
      <c r="F69" s="445"/>
      <c r="G69" s="445"/>
      <c r="H69" s="445"/>
      <c r="I69" s="445"/>
      <c r="J69" s="445"/>
      <c r="K69" s="445"/>
      <c r="L69" s="445"/>
      <c r="M69" s="447"/>
      <c r="N69" s="2514"/>
      <c r="O69" s="2514"/>
      <c r="P69" s="2502"/>
      <c r="Q69" s="2502"/>
      <c r="R69" s="2433"/>
      <c r="S69" s="2433"/>
      <c r="T69" s="2433"/>
      <c r="U69" s="2433"/>
      <c r="V69" s="2433"/>
      <c r="W69" s="2433"/>
      <c r="X69" s="2433"/>
      <c r="Y69" s="2433"/>
      <c r="Z69" s="2433"/>
      <c r="AA69" s="2433"/>
      <c r="AB69" s="2433"/>
      <c r="AC69" s="2433"/>
      <c r="AD69" s="2433"/>
      <c r="AE69" s="2433"/>
    </row>
    <row r="70" spans="1:31">
      <c r="A70" s="378" t="s">
        <v>1716</v>
      </c>
      <c r="B70" s="459" t="s">
        <v>1682</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1685</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1687</v>
      </c>
      <c r="B83" s="459" t="s">
        <v>1826</v>
      </c>
      <c r="C83" s="503" t="s">
        <v>1718</v>
      </c>
      <c r="D83" s="503" t="s">
        <v>1719</v>
      </c>
      <c r="E83" s="503" t="s">
        <v>1720</v>
      </c>
      <c r="F83" s="503" t="s">
        <v>1721</v>
      </c>
      <c r="G83" s="503" t="s">
        <v>1722</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1723</v>
      </c>
      <c r="C85" s="508" t="s">
        <v>1718</v>
      </c>
      <c r="D85" s="508" t="s">
        <v>1719</v>
      </c>
      <c r="E85" s="508" t="s">
        <v>1720</v>
      </c>
      <c r="F85" s="508" t="s">
        <v>1721</v>
      </c>
      <c r="G85" s="508" t="s">
        <v>1722</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69"/>
      <c r="B87" s="468" t="s">
        <v>1904</v>
      </c>
      <c r="C87" s="503" t="s">
        <v>1718</v>
      </c>
      <c r="D87" s="503" t="s">
        <v>1719</v>
      </c>
      <c r="E87" s="503" t="s">
        <v>1720</v>
      </c>
      <c r="F87" s="503" t="s">
        <v>1721</v>
      </c>
      <c r="G87" s="503" t="s">
        <v>1722</v>
      </c>
      <c r="H87" s="508"/>
      <c r="I87" s="508"/>
      <c r="J87" s="508"/>
      <c r="K87" s="508"/>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69"/>
      <c r="B89" s="468" t="s">
        <v>1905</v>
      </c>
      <c r="C89" s="503" t="s">
        <v>1718</v>
      </c>
      <c r="D89" s="503" t="s">
        <v>1719</v>
      </c>
      <c r="E89" s="503" t="s">
        <v>1720</v>
      </c>
      <c r="F89" s="503" t="s">
        <v>1721</v>
      </c>
      <c r="G89" s="503" t="s">
        <v>1722</v>
      </c>
      <c r="H89" s="508"/>
      <c r="I89" s="508"/>
      <c r="J89" s="508"/>
      <c r="K89" s="508"/>
      <c r="L89" s="508"/>
      <c r="M89" s="545"/>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3"/>
      <c r="S90" s="2433"/>
      <c r="T90" s="2433"/>
      <c r="U90" s="2433"/>
      <c r="V90" s="2433"/>
      <c r="W90" s="2433"/>
      <c r="X90" s="2433"/>
      <c r="Y90" s="2433"/>
      <c r="Z90" s="2433"/>
      <c r="AA90" s="2433"/>
      <c r="AB90" s="2433"/>
      <c r="AC90" s="2433"/>
      <c r="AD90" s="2433"/>
      <c r="AE90" s="2433"/>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1922</v>
      </c>
      <c r="C93" s="579" t="s">
        <v>1796</v>
      </c>
      <c r="D93" s="579" t="s">
        <v>1797</v>
      </c>
      <c r="E93" s="579" t="s">
        <v>1798</v>
      </c>
      <c r="F93" s="579" t="s">
        <v>1799</v>
      </c>
      <c r="G93" s="579" t="s">
        <v>1800</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0"/>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1812</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1870</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39" t="str">
        <f t="shared" si="25"/>
        <v>(含)-</v>
      </c>
      <c r="L107" s="1239" t="str">
        <f t="shared" si="25"/>
        <v>(含)-</v>
      </c>
      <c r="M107" s="1240"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1911</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1913</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1914</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300-000000000000}">
      <formula1>单价内涵</formula1>
    </dataValidation>
    <dataValidation type="list" allowBlank="1" showInputMessage="1" showErrorMessage="1" sqref="C22 E22 G22 I22" xr:uid="{00000000-0002-0000-3300-000001000000}">
      <formula1>环境</formula1>
    </dataValidation>
    <dataValidation type="list" allowBlank="1" showInputMessage="1" showErrorMessage="1" sqref="E18 C18 G18 I18" xr:uid="{00000000-0002-0000-3300-000002000000}">
      <formula1>交通便捷度</formula1>
    </dataValidation>
    <dataValidation type="list" allowBlank="1" showInputMessage="1" showErrorMessage="1" sqref="E24 C24 G24 I24" xr:uid="{00000000-0002-0000-3300-000003000000}">
      <formula1>公共配套设施</formula1>
    </dataValidation>
    <dataValidation type="list" allowBlank="1" showInputMessage="1" showErrorMessage="1" sqref="C8 E8 G8 I8" xr:uid="{00000000-0002-0000-3300-000004000000}">
      <formula1>套工交易情况</formula1>
    </dataValidation>
    <dataValidation type="list" allowBlank="1" showInputMessage="1" showErrorMessage="1" sqref="C9 E9 G9 I9" xr:uid="{00000000-0002-0000-3300-000005000000}">
      <formula1>套工用途</formula1>
    </dataValidation>
    <dataValidation type="list" allowBlank="1" showInputMessage="1" showErrorMessage="1" sqref="I30 E30 G30" xr:uid="{00000000-0002-0000-3300-000006000000}">
      <formula1>套工土地级别</formula1>
    </dataValidation>
    <dataValidation type="list" allowBlank="1" showInputMessage="1" showErrorMessage="1" sqref="C27 E27 G27 I27" xr:uid="{00000000-0002-0000-3300-000007000000}">
      <formula1>临街状况</formula1>
    </dataValidation>
    <dataValidation type="list" allowBlank="1" showInputMessage="1" showErrorMessage="1" sqref="E20 G20 I20 C20" xr:uid="{00000000-0002-0000-3300-000008000000}">
      <formula1>区域土地利用方向</formula1>
    </dataValidation>
    <dataValidation type="list" allowBlank="1" showInputMessage="1" showErrorMessage="1" sqref="C50" xr:uid="{00000000-0002-0000-3300-000009000000}">
      <formula1>"北京市系数,其他省市系数"</formula1>
    </dataValidation>
    <dataValidation type="list" allowBlank="1" showInputMessage="1" showErrorMessage="1" sqref="C16 E16 G16 I16" xr:uid="{00000000-0002-0000-3300-00000A000000}">
      <formula1>产业集聚程度</formula1>
    </dataValidation>
    <dataValidation type="list" allowBlank="1" showInputMessage="1" showErrorMessage="1" sqref="C29 E29 G29 I29" xr:uid="{00000000-0002-0000-3300-00000B000000}">
      <formula1>套工道路等级</formula1>
    </dataValidation>
    <dataValidation type="list" allowBlank="1" showInputMessage="1" showErrorMessage="1" sqref="C35 E35 G35 I35" xr:uid="{00000000-0002-0000-3300-00000C000000}">
      <formula1>套工宗地形状</formula1>
    </dataValidation>
    <dataValidation type="list" allowBlank="1" showInputMessage="1" showErrorMessage="1" sqref="C36 E36 G36 I36" xr:uid="{00000000-0002-0000-3300-00000D000000}">
      <formula1>套工宗地开发程度</formula1>
    </dataValidation>
    <dataValidation type="list" allowBlank="1" showInputMessage="1" showErrorMessage="1" sqref="C37 E37 G37 I37" xr:uid="{00000000-0002-0000-3300-00000E000000}">
      <formula1>套工地质条件</formula1>
    </dataValidation>
    <dataValidation type="list" allowBlank="1" showInputMessage="1" showErrorMessage="1" sqref="G58" xr:uid="{00000000-0002-0000-3300-00000F000000}">
      <formula1>"住宅,工业"</formula1>
    </dataValidation>
    <dataValidation type="list" allowBlank="1" showInputMessage="1" showErrorMessage="1" sqref="G57" xr:uid="{00000000-0002-0000-3300-000010000000}">
      <formula1>"商业,办公,住宅,工业"</formula1>
    </dataValidation>
    <dataValidation type="list" allowBlank="1" showInputMessage="1" showErrorMessage="1" sqref="D52:D60" xr:uid="{00000000-0002-0000-3300-000011000000}">
      <formula1>"25%,1"</formula1>
    </dataValidation>
    <dataValidation type="list" allowBlank="1" showInputMessage="1" showErrorMessage="1" sqref="C26 E26 G26 I26" xr:uid="{00000000-0002-0000-3300-000012000000}">
      <formula1>基础设施水平</formula1>
    </dataValidation>
    <dataValidation type="list" allowBlank="1" showInputMessage="1" showErrorMessage="1" sqref="D42" xr:uid="{00000000-0002-0000-3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30"/>
  <sheetViews>
    <sheetView zoomScaleSheetLayoutView="100" workbookViewId="0">
      <selection activeCell="J8" sqref="J8"/>
    </sheetView>
  </sheetViews>
  <sheetFormatPr defaultColWidth="9" defaultRowHeight="13.5"/>
  <cols>
    <col min="1" max="3" width="9" style="3172"/>
    <col min="4" max="4" width="10.75" style="3172" customWidth="1"/>
    <col min="5" max="5" width="31.25" style="3172" customWidth="1"/>
    <col min="6" max="6" width="15.625" style="3172" customWidth="1"/>
    <col min="7" max="7" width="20.625" style="3172" customWidth="1"/>
    <col min="8" max="8" width="9" style="3172"/>
    <col min="9" max="9" width="10.375" style="3172" bestFit="1" customWidth="1"/>
    <col min="10" max="16384" width="9" style="3172"/>
  </cols>
  <sheetData>
    <row r="1" spans="1:13">
      <c r="A1" s="3172" t="s">
        <v>4456</v>
      </c>
      <c r="B1" s="3172" t="s">
        <v>4455</v>
      </c>
      <c r="C1" s="3172" t="s">
        <v>4454</v>
      </c>
      <c r="D1" s="3172" t="s">
        <v>4453</v>
      </c>
      <c r="E1" s="3172" t="s">
        <v>4452</v>
      </c>
      <c r="F1" s="3172" t="s">
        <v>4451</v>
      </c>
      <c r="G1" s="3172" t="s">
        <v>4450</v>
      </c>
      <c r="H1" s="3172" t="s">
        <v>4449</v>
      </c>
      <c r="I1" s="3172" t="s">
        <v>4448</v>
      </c>
      <c r="J1" s="3172" t="s">
        <v>4449</v>
      </c>
      <c r="K1" s="3172" t="s">
        <v>4448</v>
      </c>
      <c r="L1" s="3172" t="s">
        <v>4457</v>
      </c>
      <c r="M1" s="3172" t="s">
        <v>4458</v>
      </c>
    </row>
    <row r="2" spans="1:13">
      <c r="A2" s="3172">
        <v>1</v>
      </c>
      <c r="B2" s="3172">
        <v>2</v>
      </c>
      <c r="C2" s="3172">
        <v>7</v>
      </c>
      <c r="D2" s="3172">
        <v>701</v>
      </c>
      <c r="E2" s="3172" t="s">
        <v>4447</v>
      </c>
      <c r="F2" s="3172">
        <v>728.32</v>
      </c>
      <c r="G2" s="3172" t="s">
        <v>4446</v>
      </c>
      <c r="H2" s="3172">
        <v>58.34</v>
      </c>
      <c r="I2" s="3172">
        <v>42487.3</v>
      </c>
      <c r="J2" s="3172">
        <v>61.25</v>
      </c>
      <c r="K2" s="3172">
        <v>44611.6</v>
      </c>
      <c r="L2" s="3172">
        <f t="shared" ref="L2:L8" si="0">I2/F2/30</f>
        <v>1.9445344537199767</v>
      </c>
      <c r="M2" s="3172">
        <f t="shared" ref="M2:M8" si="1">J2/H2</f>
        <v>1.0498800137127184</v>
      </c>
    </row>
    <row r="3" spans="1:13">
      <c r="A3" s="3172">
        <v>2</v>
      </c>
      <c r="B3" s="3172">
        <v>2</v>
      </c>
      <c r="C3" s="3172">
        <v>6</v>
      </c>
      <c r="D3" s="3172">
        <v>602</v>
      </c>
      <c r="E3" s="3172" t="s">
        <v>4445</v>
      </c>
      <c r="F3" s="3172">
        <v>773.1</v>
      </c>
      <c r="G3" s="3172" t="s">
        <v>4444</v>
      </c>
      <c r="H3" s="3172">
        <v>63.2</v>
      </c>
      <c r="I3" s="3172">
        <v>48859.9</v>
      </c>
      <c r="L3" s="3172">
        <f t="shared" si="0"/>
        <v>2.1066658043375157</v>
      </c>
      <c r="M3" s="3172">
        <f t="shared" si="1"/>
        <v>0</v>
      </c>
    </row>
    <row r="4" spans="1:13">
      <c r="A4" s="3172">
        <v>3</v>
      </c>
      <c r="B4" s="3172">
        <v>2</v>
      </c>
      <c r="C4" s="3172">
        <v>21</v>
      </c>
      <c r="D4" s="3172" t="s">
        <v>4443</v>
      </c>
      <c r="E4" s="3172" t="s">
        <v>4442</v>
      </c>
      <c r="F4" s="3172">
        <v>1501.42</v>
      </c>
      <c r="G4" s="3172" t="s">
        <v>4441</v>
      </c>
      <c r="H4" s="3172">
        <v>82.08</v>
      </c>
      <c r="I4" s="3172">
        <v>123236.6</v>
      </c>
      <c r="L4" s="3172">
        <f t="shared" si="0"/>
        <v>2.7360010301359159</v>
      </c>
      <c r="M4" s="3172">
        <f t="shared" si="1"/>
        <v>0</v>
      </c>
    </row>
    <row r="5" spans="1:13">
      <c r="A5" s="3172">
        <v>4</v>
      </c>
      <c r="B5" s="3172">
        <v>2</v>
      </c>
      <c r="C5" s="3172">
        <v>6</v>
      </c>
      <c r="D5" s="3172">
        <v>601</v>
      </c>
      <c r="E5" s="3172" t="s">
        <v>4440</v>
      </c>
      <c r="F5" s="3172">
        <v>728.32</v>
      </c>
      <c r="G5" s="3172" t="s">
        <v>4439</v>
      </c>
      <c r="H5" s="3172">
        <v>58.7</v>
      </c>
      <c r="I5" s="3172">
        <v>42752.38</v>
      </c>
      <c r="L5" s="3172">
        <f t="shared" si="0"/>
        <v>1.9566664835969536</v>
      </c>
      <c r="M5" s="3172">
        <f t="shared" si="1"/>
        <v>0</v>
      </c>
    </row>
    <row r="6" spans="1:13">
      <c r="A6" s="3172">
        <v>5</v>
      </c>
      <c r="B6" s="3172">
        <v>2</v>
      </c>
      <c r="C6" s="3172">
        <v>1</v>
      </c>
      <c r="D6" s="3172" t="s">
        <v>4438</v>
      </c>
      <c r="E6" s="3172" t="s">
        <v>4437</v>
      </c>
      <c r="F6" s="3172">
        <v>50</v>
      </c>
      <c r="G6" s="3172" t="s">
        <v>4436</v>
      </c>
      <c r="H6" s="3172">
        <v>59.92</v>
      </c>
      <c r="I6" s="3172">
        <v>2996</v>
      </c>
      <c r="J6" s="3172">
        <v>62.92</v>
      </c>
      <c r="K6" s="3172">
        <v>3145.8</v>
      </c>
      <c r="L6" s="3172">
        <f t="shared" si="0"/>
        <v>1.9973333333333334</v>
      </c>
      <c r="M6" s="3172">
        <f t="shared" si="1"/>
        <v>1.0500667556742322</v>
      </c>
    </row>
    <row r="7" spans="1:13">
      <c r="A7" s="3172">
        <v>6</v>
      </c>
      <c r="B7" s="3172">
        <v>2</v>
      </c>
      <c r="C7" s="3172">
        <v>7</v>
      </c>
      <c r="D7" s="3172" t="s">
        <v>4435</v>
      </c>
      <c r="E7" s="3172" t="s">
        <v>4434</v>
      </c>
      <c r="F7" s="3172">
        <v>373.1</v>
      </c>
      <c r="G7" s="3172" t="s">
        <v>4431</v>
      </c>
      <c r="H7" s="3172">
        <v>63.2</v>
      </c>
      <c r="I7" s="3172">
        <v>23579.9</v>
      </c>
      <c r="J7" s="3172">
        <v>66.36</v>
      </c>
      <c r="K7" s="3172">
        <v>24758.9</v>
      </c>
      <c r="L7" s="3172">
        <f t="shared" si="0"/>
        <v>2.1066648798356113</v>
      </c>
      <c r="M7" s="3172">
        <f t="shared" si="1"/>
        <v>1.05</v>
      </c>
    </row>
    <row r="8" spans="1:13">
      <c r="A8" s="3172">
        <v>7</v>
      </c>
      <c r="B8" s="3172">
        <v>2</v>
      </c>
      <c r="C8" s="3172">
        <v>7</v>
      </c>
      <c r="D8" s="3172" t="s">
        <v>4433</v>
      </c>
      <c r="E8" s="3172" t="s">
        <v>4432</v>
      </c>
      <c r="F8" s="3172">
        <v>400</v>
      </c>
      <c r="G8" s="3172" t="s">
        <v>4431</v>
      </c>
      <c r="H8" s="3172">
        <v>63.2</v>
      </c>
      <c r="I8" s="3172">
        <v>25280</v>
      </c>
      <c r="J8" s="3172">
        <v>66.36</v>
      </c>
      <c r="K8" s="3172">
        <v>26544</v>
      </c>
      <c r="L8" s="3172">
        <f t="shared" si="0"/>
        <v>2.1066666666666669</v>
      </c>
      <c r="M8" s="3172">
        <f t="shared" si="1"/>
        <v>1.05</v>
      </c>
    </row>
    <row r="30" spans="1:9">
      <c r="A30" s="3172" t="s">
        <v>4430</v>
      </c>
      <c r="F30" s="3172">
        <f>SUM(F2:F29)</f>
        <v>4554.26</v>
      </c>
      <c r="I30" s="3172">
        <f>SUM(I2:I29)</f>
        <v>309192.08</v>
      </c>
    </row>
  </sheetData>
  <phoneticPr fontId="136" type="noConversion"/>
  <pageMargins left="0.75" right="0.75" top="1" bottom="1" header="0.5" footer="0.5"/>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18" t="s">
        <v>2078</v>
      </c>
      <c r="B1" s="4"/>
      <c r="C1" s="4"/>
      <c r="D1" s="4"/>
      <c r="E1" s="4"/>
      <c r="F1" s="2538"/>
      <c r="G1" s="2538"/>
      <c r="H1" s="2538"/>
      <c r="I1" s="2538"/>
      <c r="J1" s="2538"/>
      <c r="K1" s="2538"/>
      <c r="L1" s="2538"/>
      <c r="M1" s="2538"/>
      <c r="N1" s="2538"/>
      <c r="O1" s="2538"/>
      <c r="P1" s="2538"/>
    </row>
    <row r="2" spans="1:16" ht="15.75">
      <c r="A2" s="1977" t="s">
        <v>2070</v>
      </c>
      <c r="B2" s="2381">
        <f ca="1">SUMIF(B6:B13,"&lt;&gt;#ref!",B6:B13)</f>
        <v>46589</v>
      </c>
      <c r="C2" s="1977" t="s">
        <v>2071</v>
      </c>
      <c r="D2" s="1977" t="s">
        <v>2072</v>
      </c>
      <c r="E2" s="2391">
        <f ca="1">SUMIF(E6:E13,"&lt;&gt;#ref!",E6:E13)</f>
        <v>56346.28</v>
      </c>
      <c r="F2" s="2538"/>
      <c r="G2" s="2538"/>
      <c r="H2" s="2538"/>
      <c r="I2" s="2538"/>
      <c r="J2" s="2538"/>
      <c r="K2" s="2538"/>
      <c r="L2" s="2538"/>
      <c r="M2" s="2538"/>
      <c r="N2" s="2538"/>
      <c r="O2" s="2538"/>
      <c r="P2" s="2538"/>
    </row>
    <row r="3" spans="1:16" ht="15.75">
      <c r="A3" s="1977" t="s">
        <v>2073</v>
      </c>
      <c r="B3" s="2381">
        <f ca="1">ROUND(B2*10000/E2,0)</f>
        <v>8268</v>
      </c>
      <c r="C3" s="1977" t="s">
        <v>2079</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2074</v>
      </c>
      <c r="B5" s="2389" t="s">
        <v>2075</v>
      </c>
      <c r="C5" s="1978"/>
      <c r="D5" s="2538"/>
      <c r="E5" s="2390" t="s">
        <v>2076</v>
      </c>
      <c r="F5" s="2538"/>
      <c r="G5" s="2538"/>
      <c r="H5" s="2538"/>
      <c r="I5" s="2538"/>
      <c r="J5" s="2538"/>
      <c r="K5" s="2538"/>
      <c r="L5" s="2538"/>
      <c r="M5" s="2538"/>
      <c r="N5" s="2538"/>
      <c r="O5" s="2538"/>
      <c r="P5" s="2538"/>
    </row>
    <row r="6" spans="1:16" ht="15.75">
      <c r="A6" s="2388" t="s">
        <v>2077</v>
      </c>
      <c r="B6" s="2381">
        <f ca="1">SUMIF(INDIRECT("'"&amp;A6&amp;"'"&amp;"!A:A"),"总价",INDIRECT("'"&amp;A6&amp;"'"&amp;"!B:B"))</f>
        <v>46589</v>
      </c>
      <c r="C6" s="1977" t="s">
        <v>2071</v>
      </c>
      <c r="D6" s="2538"/>
      <c r="E6" s="2391">
        <f ca="1">SUMIF(INDIRECT("'"&amp;A6&amp;"'"&amp;"!C:C"),"建筑面积",INDIRECT("'"&amp;A6&amp;"'"&amp;"!D:D"))</f>
        <v>56346.28</v>
      </c>
      <c r="F6" s="2538"/>
      <c r="G6" s="2538"/>
      <c r="H6" s="2538"/>
      <c r="I6" s="2538"/>
      <c r="J6" s="2538"/>
      <c r="K6" s="2538"/>
      <c r="L6" s="2538"/>
      <c r="M6" s="2538"/>
      <c r="N6" s="2538"/>
      <c r="O6" s="2538"/>
      <c r="P6" s="2538"/>
    </row>
    <row r="7" spans="1:16" ht="15.75">
      <c r="A7" s="2388"/>
      <c r="B7" s="2381" t="e">
        <f ca="1">SUMIF(INDIRECT("'"&amp;A7&amp;"'"&amp;"!A:A"),"总价",INDIRECT("'"&amp;A7&amp;"'"&amp;"!B:B"))</f>
        <v>#REF!</v>
      </c>
      <c r="C7" s="1977" t="s">
        <v>2071</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7" t="s">
        <v>2071</v>
      </c>
      <c r="D8" s="2538"/>
      <c r="E8" s="2391" t="e">
        <f t="shared" ca="1" si="0"/>
        <v>#REF!</v>
      </c>
      <c r="F8" s="2538"/>
      <c r="G8" s="2538"/>
      <c r="H8" s="2538"/>
      <c r="I8" s="2538"/>
      <c r="J8" s="2538"/>
      <c r="K8" s="2538"/>
      <c r="L8" s="2538"/>
      <c r="M8" s="2538"/>
      <c r="N8" s="2538"/>
      <c r="O8" s="2538"/>
      <c r="P8" s="2538"/>
    </row>
    <row r="9" spans="1:16" ht="15.75">
      <c r="A9" s="2388"/>
      <c r="B9" s="2381" t="e">
        <f t="shared" ca="1" si="1"/>
        <v>#REF!</v>
      </c>
      <c r="C9" s="1977" t="s">
        <v>2071</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7" t="s">
        <v>2071</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7" t="s">
        <v>2071</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7" t="s">
        <v>2071</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7" t="s">
        <v>2071</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6"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2583</v>
      </c>
      <c r="B1" s="2805" t="s">
        <v>2584</v>
      </c>
      <c r="C1" s="2805" t="s">
        <v>2585</v>
      </c>
      <c r="D1" s="2805" t="s">
        <v>2586</v>
      </c>
      <c r="E1" s="2805" t="s">
        <v>2587</v>
      </c>
      <c r="F1" s="2805" t="s">
        <v>2588</v>
      </c>
      <c r="G1" s="2805" t="s">
        <v>2589</v>
      </c>
      <c r="H1" s="2805" t="s">
        <v>2590</v>
      </c>
      <c r="I1" s="2805" t="s">
        <v>2591</v>
      </c>
      <c r="J1" s="2805" t="s">
        <v>2592</v>
      </c>
      <c r="K1" s="2805" t="s">
        <v>2593</v>
      </c>
      <c r="L1" s="2805" t="s">
        <v>2594</v>
      </c>
      <c r="M1" s="2806" t="s">
        <v>2595</v>
      </c>
    </row>
    <row r="2" spans="1:13" ht="19.5" customHeight="1">
      <c r="A2" s="2808" t="s">
        <v>2596</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2597</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2598</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2599</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2600</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2601</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2602</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2603</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2604</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2605</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2606</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2607</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2608</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2609</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2610</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2611</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2612</v>
      </c>
      <c r="B18" s="2830"/>
      <c r="C18" s="2831"/>
      <c r="D18" s="2831"/>
      <c r="E18" s="2830"/>
      <c r="F18" s="2831"/>
      <c r="G18" s="2831"/>
    </row>
    <row r="19" spans="1:13" ht="19.5" customHeight="1" thickBot="1">
      <c r="A19" s="2828" t="s">
        <v>2613</v>
      </c>
      <c r="B19" s="2833" t="s">
        <v>2614</v>
      </c>
      <c r="C19" s="2833" t="s">
        <v>2615</v>
      </c>
      <c r="D19" s="2834"/>
      <c r="E19" s="2828" t="s">
        <v>2616</v>
      </c>
      <c r="F19" s="2835"/>
      <c r="G19" s="2835"/>
    </row>
    <row r="20" spans="1:13" ht="19.5" customHeight="1">
      <c r="A20" s="3519" t="s">
        <v>2596</v>
      </c>
      <c r="B20" s="3514" t="s">
        <v>2617</v>
      </c>
      <c r="C20" s="2836" t="s">
        <v>2428</v>
      </c>
      <c r="D20" s="2837"/>
      <c r="E20" s="2838">
        <v>1</v>
      </c>
      <c r="F20" s="2839" t="s">
        <v>2429</v>
      </c>
      <c r="G20" s="2839"/>
    </row>
    <row r="21" spans="1:13" ht="19.5" customHeight="1">
      <c r="A21" s="3520"/>
      <c r="B21" s="3513"/>
      <c r="C21" s="2840" t="s">
        <v>2430</v>
      </c>
      <c r="D21" s="2841"/>
      <c r="E21" s="2842">
        <v>1</v>
      </c>
      <c r="F21" s="2839" t="s">
        <v>2431</v>
      </c>
      <c r="G21" s="2839"/>
    </row>
    <row r="22" spans="1:13" ht="19.5" customHeight="1">
      <c r="A22" s="3520"/>
      <c r="B22" s="3513"/>
      <c r="C22" s="2840" t="s">
        <v>2432</v>
      </c>
      <c r="D22" s="2841"/>
      <c r="E22" s="2842">
        <v>0.9</v>
      </c>
      <c r="F22" s="2839" t="s">
        <v>2433</v>
      </c>
      <c r="G22" s="2839"/>
    </row>
    <row r="23" spans="1:13" ht="19.5" customHeight="1">
      <c r="A23" s="3520"/>
      <c r="B23" s="3513"/>
      <c r="C23" s="2840" t="s">
        <v>2434</v>
      </c>
      <c r="D23" s="2841"/>
      <c r="E23" s="2842">
        <v>0.9</v>
      </c>
      <c r="F23" s="2839" t="s">
        <v>2435</v>
      </c>
      <c r="G23" s="2839"/>
    </row>
    <row r="24" spans="1:13" ht="19.5" customHeight="1">
      <c r="A24" s="3520"/>
      <c r="B24" s="3513"/>
      <c r="C24" s="2840" t="s">
        <v>2436</v>
      </c>
      <c r="D24" s="2841"/>
      <c r="E24" s="2842">
        <v>0.8</v>
      </c>
      <c r="F24" s="2839" t="s">
        <v>2437</v>
      </c>
      <c r="G24" s="2839"/>
    </row>
    <row r="25" spans="1:13" ht="19.5" customHeight="1" thickBot="1">
      <c r="A25" s="3521"/>
      <c r="B25" s="3515"/>
      <c r="C25" s="2843" t="s">
        <v>2438</v>
      </c>
      <c r="D25" s="2844"/>
      <c r="E25" s="2845">
        <v>0.8</v>
      </c>
      <c r="F25" s="2839" t="s">
        <v>2439</v>
      </c>
      <c r="G25" s="2839"/>
    </row>
    <row r="26" spans="1:13" ht="19.5" customHeight="1" thickBot="1">
      <c r="A26" s="2846" t="s">
        <v>2618</v>
      </c>
      <c r="B26" s="2847" t="s">
        <v>2617</v>
      </c>
      <c r="C26" s="2848" t="s">
        <v>2619</v>
      </c>
      <c r="D26" s="2849"/>
      <c r="E26" s="2850">
        <v>1</v>
      </c>
      <c r="F26" s="2839" t="s">
        <v>2440</v>
      </c>
      <c r="G26" s="2839"/>
    </row>
    <row r="27" spans="1:13" ht="19.5" customHeight="1">
      <c r="A27" s="3516" t="s">
        <v>2620</v>
      </c>
      <c r="B27" s="3514" t="s">
        <v>2601</v>
      </c>
      <c r="C27" s="2836" t="s">
        <v>2441</v>
      </c>
      <c r="D27" s="2837"/>
      <c r="E27" s="2838">
        <v>1</v>
      </c>
      <c r="F27" s="2839" t="s">
        <v>2442</v>
      </c>
      <c r="G27" s="2839"/>
    </row>
    <row r="28" spans="1:13" ht="19.5" customHeight="1">
      <c r="A28" s="3517"/>
      <c r="B28" s="3513"/>
      <c r="C28" s="2840" t="s">
        <v>2443</v>
      </c>
      <c r="D28" s="2841"/>
      <c r="E28" s="2842">
        <v>1</v>
      </c>
      <c r="F28" s="2839" t="s">
        <v>2444</v>
      </c>
      <c r="G28" s="2839"/>
    </row>
    <row r="29" spans="1:13" ht="19.5" customHeight="1">
      <c r="A29" s="3517"/>
      <c r="B29" s="3513"/>
      <c r="C29" s="2840" t="s">
        <v>2445</v>
      </c>
      <c r="D29" s="2841"/>
      <c r="E29" s="2842">
        <v>0.8</v>
      </c>
      <c r="F29" s="2839" t="s">
        <v>2446</v>
      </c>
      <c r="G29" s="2839"/>
    </row>
    <row r="30" spans="1:13" ht="19.5" customHeight="1">
      <c r="A30" s="3517"/>
      <c r="B30" s="3513"/>
      <c r="C30" s="2840" t="s">
        <v>2447</v>
      </c>
      <c r="D30" s="2841"/>
      <c r="E30" s="2842">
        <v>0.8</v>
      </c>
      <c r="F30" s="2839" t="s">
        <v>2448</v>
      </c>
      <c r="G30" s="2839"/>
    </row>
    <row r="31" spans="1:13" ht="19.5" customHeight="1">
      <c r="A31" s="3517"/>
      <c r="B31" s="3513"/>
      <c r="C31" s="2840" t="s">
        <v>2449</v>
      </c>
      <c r="D31" s="2841"/>
      <c r="E31" s="2842">
        <v>0.8</v>
      </c>
      <c r="F31" s="2839" t="s">
        <v>2450</v>
      </c>
      <c r="G31" s="2839"/>
    </row>
    <row r="32" spans="1:13" ht="19.5" customHeight="1">
      <c r="A32" s="3517"/>
      <c r="B32" s="3513"/>
      <c r="C32" s="2840" t="s">
        <v>2451</v>
      </c>
      <c r="D32" s="2841"/>
      <c r="E32" s="2842">
        <v>0.7</v>
      </c>
      <c r="F32" s="2839" t="s">
        <v>2452</v>
      </c>
      <c r="G32" s="2839"/>
    </row>
    <row r="33" spans="1:7" ht="19.5" customHeight="1">
      <c r="A33" s="3517"/>
      <c r="B33" s="3513"/>
      <c r="C33" s="2840" t="s">
        <v>2453</v>
      </c>
      <c r="D33" s="2841"/>
      <c r="E33" s="2842">
        <v>0.8</v>
      </c>
      <c r="F33" s="2839" t="s">
        <v>2454</v>
      </c>
      <c r="G33" s="2839"/>
    </row>
    <row r="34" spans="1:7" ht="19.5" customHeight="1">
      <c r="A34" s="3517"/>
      <c r="B34" s="3513"/>
      <c r="C34" s="2840" t="s">
        <v>2455</v>
      </c>
      <c r="D34" s="2841"/>
      <c r="E34" s="2842">
        <v>0.6</v>
      </c>
      <c r="F34" s="2839" t="s">
        <v>2456</v>
      </c>
      <c r="G34" s="2839"/>
    </row>
    <row r="35" spans="1:7" ht="19.5" customHeight="1">
      <c r="A35" s="3517"/>
      <c r="B35" s="3513"/>
      <c r="C35" s="2840" t="s">
        <v>2457</v>
      </c>
      <c r="D35" s="2841"/>
      <c r="E35" s="2842">
        <v>0.2</v>
      </c>
      <c r="F35" s="2839" t="s">
        <v>2458</v>
      </c>
      <c r="G35" s="2839"/>
    </row>
    <row r="36" spans="1:7" ht="19.5" customHeight="1">
      <c r="A36" s="3517"/>
      <c r="B36" s="3513"/>
      <c r="C36" s="2840" t="s">
        <v>2459</v>
      </c>
      <c r="D36" s="2841"/>
      <c r="E36" s="2842">
        <v>0.2</v>
      </c>
      <c r="F36" s="2839" t="s">
        <v>2460</v>
      </c>
      <c r="G36" s="2839"/>
    </row>
    <row r="37" spans="1:7" ht="19.5" customHeight="1">
      <c r="A37" s="3517"/>
      <c r="B37" s="3511" t="s">
        <v>2621</v>
      </c>
      <c r="C37" s="2840" t="s">
        <v>2461</v>
      </c>
      <c r="D37" s="2841"/>
      <c r="E37" s="2842">
        <v>0.6</v>
      </c>
      <c r="F37" s="2839" t="s">
        <v>2462</v>
      </c>
      <c r="G37" s="2839"/>
    </row>
    <row r="38" spans="1:7" ht="19.5" customHeight="1">
      <c r="A38" s="3517"/>
      <c r="B38" s="3513"/>
      <c r="C38" s="2840" t="s">
        <v>2463</v>
      </c>
      <c r="D38" s="2841"/>
      <c r="E38" s="2842">
        <v>0.6</v>
      </c>
      <c r="F38" s="2839" t="s">
        <v>2464</v>
      </c>
      <c r="G38" s="2839"/>
    </row>
    <row r="39" spans="1:7" ht="19.5" customHeight="1" thickBot="1">
      <c r="A39" s="3518"/>
      <c r="B39" s="3515"/>
      <c r="C39" s="2843" t="s">
        <v>2465</v>
      </c>
      <c r="D39" s="2844"/>
      <c r="E39" s="2845">
        <v>0.6</v>
      </c>
      <c r="F39" s="2839" t="s">
        <v>2466</v>
      </c>
      <c r="G39" s="2839"/>
    </row>
    <row r="40" spans="1:7" ht="19.5" customHeight="1" thickBot="1">
      <c r="A40" s="2846" t="s">
        <v>2598</v>
      </c>
      <c r="B40" s="2847" t="s">
        <v>2598</v>
      </c>
      <c r="C40" s="2848" t="s">
        <v>2622</v>
      </c>
      <c r="D40" s="2849"/>
      <c r="E40" s="2850">
        <v>1</v>
      </c>
      <c r="F40" s="2839" t="s">
        <v>2467</v>
      </c>
      <c r="G40" s="2839"/>
    </row>
    <row r="41" spans="1:7" ht="19.5" customHeight="1">
      <c r="A41" s="3519" t="s">
        <v>2599</v>
      </c>
      <c r="B41" s="3514" t="s">
        <v>2623</v>
      </c>
      <c r="C41" s="2836" t="s">
        <v>2468</v>
      </c>
      <c r="D41" s="2837"/>
      <c r="E41" s="2838">
        <v>1</v>
      </c>
      <c r="F41" s="2839" t="s">
        <v>2469</v>
      </c>
      <c r="G41" s="2839"/>
    </row>
    <row r="42" spans="1:7" ht="19.5" customHeight="1">
      <c r="A42" s="3520"/>
      <c r="B42" s="3513"/>
      <c r="C42" s="2840" t="s">
        <v>2470</v>
      </c>
      <c r="D42" s="2841"/>
      <c r="E42" s="2842">
        <v>1</v>
      </c>
      <c r="F42" s="2839" t="s">
        <v>2471</v>
      </c>
      <c r="G42" s="2839"/>
    </row>
    <row r="43" spans="1:7" ht="19.5" customHeight="1">
      <c r="A43" s="3520"/>
      <c r="B43" s="3512"/>
      <c r="C43" s="2840" t="s">
        <v>2472</v>
      </c>
      <c r="D43" s="2841"/>
      <c r="E43" s="2842">
        <v>1.5</v>
      </c>
      <c r="F43" s="2839" t="s">
        <v>2473</v>
      </c>
      <c r="G43" s="2839"/>
    </row>
    <row r="44" spans="1:7" ht="19.5" customHeight="1">
      <c r="A44" s="3520"/>
      <c r="B44" s="2851" t="s">
        <v>2624</v>
      </c>
      <c r="C44" s="2840" t="s">
        <v>2625</v>
      </c>
      <c r="D44" s="2841"/>
      <c r="E44" s="2842">
        <v>2</v>
      </c>
      <c r="F44" s="2839" t="s">
        <v>2474</v>
      </c>
      <c r="G44" s="2839"/>
    </row>
    <row r="45" spans="1:7" ht="19.5" customHeight="1">
      <c r="A45" s="3520"/>
      <c r="B45" s="3511" t="s">
        <v>2626</v>
      </c>
      <c r="C45" s="2840" t="s">
        <v>2475</v>
      </c>
      <c r="D45" s="2841"/>
      <c r="E45" s="2842">
        <v>1</v>
      </c>
      <c r="F45" s="2839" t="s">
        <v>2476</v>
      </c>
      <c r="G45" s="2839"/>
    </row>
    <row r="46" spans="1:7" ht="19.5" customHeight="1">
      <c r="A46" s="3520"/>
      <c r="B46" s="3513"/>
      <c r="C46" s="2840" t="s">
        <v>2477</v>
      </c>
      <c r="D46" s="2841"/>
      <c r="E46" s="2842">
        <v>1</v>
      </c>
      <c r="F46" s="2839" t="s">
        <v>2478</v>
      </c>
      <c r="G46" s="2839"/>
    </row>
    <row r="47" spans="1:7" ht="19.5" customHeight="1">
      <c r="A47" s="3520"/>
      <c r="B47" s="3513"/>
      <c r="C47" s="2840" t="s">
        <v>2479</v>
      </c>
      <c r="D47" s="2841"/>
      <c r="E47" s="2842">
        <v>1</v>
      </c>
      <c r="F47" s="2839" t="s">
        <v>2480</v>
      </c>
      <c r="G47" s="2839"/>
    </row>
    <row r="48" spans="1:7" ht="19.5" customHeight="1">
      <c r="A48" s="3520"/>
      <c r="B48" s="3513"/>
      <c r="C48" s="2840" t="s">
        <v>2481</v>
      </c>
      <c r="D48" s="2841"/>
      <c r="E48" s="2842">
        <v>1</v>
      </c>
      <c r="F48" s="2839" t="s">
        <v>2482</v>
      </c>
      <c r="G48" s="2839"/>
    </row>
    <row r="49" spans="1:7" ht="19.5" customHeight="1">
      <c r="A49" s="3520"/>
      <c r="B49" s="3513"/>
      <c r="C49" s="2840" t="s">
        <v>2483</v>
      </c>
      <c r="D49" s="2841"/>
      <c r="E49" s="2842">
        <v>1</v>
      </c>
      <c r="F49" s="2839" t="s">
        <v>2484</v>
      </c>
      <c r="G49" s="2839"/>
    </row>
    <row r="50" spans="1:7" ht="19.5" customHeight="1">
      <c r="A50" s="3520"/>
      <c r="B50" s="3513"/>
      <c r="C50" s="2840" t="s">
        <v>2485</v>
      </c>
      <c r="D50" s="2841"/>
      <c r="E50" s="2842">
        <v>1</v>
      </c>
      <c r="F50" s="2839" t="s">
        <v>2486</v>
      </c>
      <c r="G50" s="2839"/>
    </row>
    <row r="51" spans="1:7" ht="19.5" customHeight="1" thickBot="1">
      <c r="A51" s="3521"/>
      <c r="B51" s="3515"/>
      <c r="C51" s="2843" t="s">
        <v>2487</v>
      </c>
      <c r="D51" s="2844"/>
      <c r="E51" s="2845">
        <v>1</v>
      </c>
      <c r="F51" s="2839" t="s">
        <v>2488</v>
      </c>
      <c r="G51" s="2839"/>
    </row>
    <row r="52" spans="1:7" ht="19.5" customHeight="1">
      <c r="A52" s="2852"/>
      <c r="B52" s="2852"/>
      <c r="C52" s="2852"/>
      <c r="D52" s="2852"/>
      <c r="E52" s="2852"/>
      <c r="F52" s="2852"/>
      <c r="G52" s="2852"/>
    </row>
    <row r="54" spans="1:7" ht="19.5" customHeight="1">
      <c r="A54" s="2853"/>
      <c r="B54" s="2825" t="s">
        <v>2627</v>
      </c>
      <c r="C54" s="2825" t="s">
        <v>2627</v>
      </c>
      <c r="D54" s="2825" t="s">
        <v>2627</v>
      </c>
      <c r="E54" s="2828" t="s">
        <v>2627</v>
      </c>
      <c r="F54" s="2828" t="s">
        <v>2628</v>
      </c>
      <c r="G54" s="2828" t="s">
        <v>2629</v>
      </c>
    </row>
    <row r="55" spans="1:7" ht="19.5" customHeight="1">
      <c r="A55" s="2854"/>
      <c r="B55" s="2828" t="s">
        <v>2596</v>
      </c>
      <c r="C55" s="2828" t="s">
        <v>2596</v>
      </c>
      <c r="D55" s="2828" t="s">
        <v>2596</v>
      </c>
      <c r="E55" s="2825" t="s">
        <v>2597</v>
      </c>
      <c r="F55" s="2825" t="s">
        <v>2599</v>
      </c>
      <c r="G55" s="2825" t="s">
        <v>2630</v>
      </c>
    </row>
    <row r="56" spans="1:7" ht="19.5" customHeight="1">
      <c r="A56" s="2855"/>
      <c r="B56" s="2825">
        <v>1</v>
      </c>
      <c r="C56" s="2825">
        <v>2</v>
      </c>
      <c r="D56" s="2825">
        <v>3</v>
      </c>
      <c r="E56" s="2856" t="s">
        <v>2631</v>
      </c>
      <c r="F56" s="2856" t="s">
        <v>2631</v>
      </c>
      <c r="G56" s="2856" t="s">
        <v>2631</v>
      </c>
    </row>
    <row r="57" spans="1:7" ht="19.5" customHeight="1">
      <c r="A57" s="2857" t="s">
        <v>2584</v>
      </c>
      <c r="B57" s="2825">
        <v>0.7</v>
      </c>
      <c r="C57" s="2825">
        <v>0.4</v>
      </c>
      <c r="D57" s="2825">
        <v>0.3</v>
      </c>
      <c r="E57" s="2856">
        <v>0.3</v>
      </c>
      <c r="F57" s="2825">
        <v>0.3</v>
      </c>
      <c r="G57" s="2825">
        <v>0.2</v>
      </c>
    </row>
    <row r="58" spans="1:7" ht="19.5" customHeight="1">
      <c r="A58" s="2857" t="s">
        <v>2585</v>
      </c>
      <c r="B58" s="2825">
        <v>0.7</v>
      </c>
      <c r="C58" s="2825">
        <v>0.4</v>
      </c>
      <c r="D58" s="2825">
        <v>0.3</v>
      </c>
      <c r="E58" s="2825">
        <v>0.3</v>
      </c>
      <c r="F58" s="2825">
        <v>0.3</v>
      </c>
      <c r="G58" s="2825">
        <v>0.2</v>
      </c>
    </row>
    <row r="59" spans="1:7" ht="19.5" customHeight="1">
      <c r="A59" s="2857" t="s">
        <v>2586</v>
      </c>
      <c r="B59" s="2825">
        <v>0.6</v>
      </c>
      <c r="C59" s="2825">
        <v>0.3</v>
      </c>
      <c r="D59" s="2825">
        <v>0.25</v>
      </c>
      <c r="E59" s="2825">
        <v>0.25</v>
      </c>
      <c r="F59" s="2825">
        <v>0.25</v>
      </c>
      <c r="G59" s="2825">
        <v>0.15</v>
      </c>
    </row>
    <row r="60" spans="1:7" ht="19.5" customHeight="1">
      <c r="A60" s="2857" t="s">
        <v>2587</v>
      </c>
      <c r="B60" s="2825">
        <v>0.6</v>
      </c>
      <c r="C60" s="2825">
        <v>0.3</v>
      </c>
      <c r="D60" s="2825">
        <v>0.25</v>
      </c>
      <c r="E60" s="2825">
        <v>0.25</v>
      </c>
      <c r="F60" s="2825">
        <v>0.25</v>
      </c>
      <c r="G60" s="2825">
        <v>0.15</v>
      </c>
    </row>
    <row r="61" spans="1:7" ht="19.5" customHeight="1">
      <c r="A61" s="2857" t="s">
        <v>2588</v>
      </c>
      <c r="B61" s="2825">
        <v>0.6</v>
      </c>
      <c r="C61" s="2825">
        <v>0.3</v>
      </c>
      <c r="D61" s="2825">
        <v>0.25</v>
      </c>
      <c r="E61" s="2825">
        <v>0.25</v>
      </c>
      <c r="F61" s="2825">
        <v>0.25</v>
      </c>
      <c r="G61" s="2825">
        <v>0.15</v>
      </c>
    </row>
    <row r="62" spans="1:7" ht="19.5" customHeight="1">
      <c r="A62" s="2857" t="s">
        <v>2589</v>
      </c>
      <c r="B62" s="2825">
        <v>0.6</v>
      </c>
      <c r="C62" s="2825">
        <v>0.3</v>
      </c>
      <c r="D62" s="2825">
        <v>0.25</v>
      </c>
      <c r="E62" s="2825">
        <v>0.25</v>
      </c>
      <c r="F62" s="2825">
        <v>0.25</v>
      </c>
      <c r="G62" s="2825">
        <v>0.15</v>
      </c>
    </row>
    <row r="63" spans="1:7" ht="19.5" customHeight="1">
      <c r="A63" s="2857" t="s">
        <v>2590</v>
      </c>
      <c r="B63" s="2825">
        <v>0.6</v>
      </c>
      <c r="C63" s="2825">
        <v>0.3</v>
      </c>
      <c r="D63" s="2825">
        <v>0.25</v>
      </c>
      <c r="E63" s="2825">
        <v>0.25</v>
      </c>
      <c r="F63" s="2825">
        <v>0.25</v>
      </c>
      <c r="G63" s="2825">
        <v>0.15</v>
      </c>
    </row>
    <row r="64" spans="1:7" ht="19.5" customHeight="1">
      <c r="A64" s="2857" t="s">
        <v>2591</v>
      </c>
      <c r="B64" s="2825">
        <v>0.5</v>
      </c>
      <c r="C64" s="2825">
        <v>0.2</v>
      </c>
      <c r="D64" s="2825">
        <v>0.2</v>
      </c>
      <c r="E64" s="2825">
        <v>0.2</v>
      </c>
      <c r="F64" s="2825">
        <v>0.2</v>
      </c>
      <c r="G64" s="2825">
        <v>0.1</v>
      </c>
    </row>
    <row r="65" spans="1:7" ht="19.5" customHeight="1">
      <c r="A65" s="2857" t="s">
        <v>2592</v>
      </c>
      <c r="B65" s="2825">
        <v>0.5</v>
      </c>
      <c r="C65" s="2825">
        <v>0.2</v>
      </c>
      <c r="D65" s="2825">
        <v>0.2</v>
      </c>
      <c r="E65" s="2825">
        <v>0.2</v>
      </c>
      <c r="F65" s="2825">
        <v>0.2</v>
      </c>
      <c r="G65" s="2825">
        <v>0.1</v>
      </c>
    </row>
    <row r="66" spans="1:7" ht="19.5" customHeight="1">
      <c r="A66" s="2857" t="s">
        <v>2593</v>
      </c>
      <c r="B66" s="2825">
        <v>0.5</v>
      </c>
      <c r="C66" s="2825">
        <v>0.2</v>
      </c>
      <c r="D66" s="2825">
        <v>0.2</v>
      </c>
      <c r="E66" s="2825">
        <v>0.2</v>
      </c>
      <c r="F66" s="2825">
        <v>0.2</v>
      </c>
      <c r="G66" s="2825">
        <v>0.1</v>
      </c>
    </row>
    <row r="67" spans="1:7" ht="19.5" customHeight="1">
      <c r="A67" s="2857" t="s">
        <v>2594</v>
      </c>
      <c r="B67" s="2825">
        <v>0.5</v>
      </c>
      <c r="C67" s="2825">
        <v>0.2</v>
      </c>
      <c r="D67" s="2825">
        <v>0.2</v>
      </c>
      <c r="E67" s="2825">
        <v>0.2</v>
      </c>
      <c r="F67" s="2825">
        <v>0.2</v>
      </c>
      <c r="G67" s="2825">
        <v>0.1</v>
      </c>
    </row>
    <row r="68" spans="1:7" ht="19.5" customHeight="1">
      <c r="A68" s="2857" t="s">
        <v>2595</v>
      </c>
      <c r="B68" s="2825">
        <v>0.5</v>
      </c>
      <c r="C68" s="2825">
        <v>0.2</v>
      </c>
      <c r="D68" s="2825">
        <v>0.2</v>
      </c>
      <c r="E68" s="2825">
        <v>0.2</v>
      </c>
      <c r="F68" s="2825">
        <v>0.2</v>
      </c>
      <c r="G68" s="2825">
        <v>0.1</v>
      </c>
    </row>
    <row r="70" spans="1:7" ht="19.5" customHeight="1">
      <c r="A70" s="2839"/>
      <c r="B70" s="2858"/>
      <c r="C70" s="2858"/>
      <c r="D70" s="2858" t="s">
        <v>2632</v>
      </c>
      <c r="E70" s="2858"/>
      <c r="F70" s="2858"/>
    </row>
    <row r="71" spans="1:7" ht="19.5" customHeight="1">
      <c r="A71" s="2851" t="s">
        <v>2633</v>
      </c>
      <c r="B71" s="2851" t="s">
        <v>2634</v>
      </c>
      <c r="C71" s="2851" t="s">
        <v>2635</v>
      </c>
      <c r="D71" s="2851" t="s">
        <v>2636</v>
      </c>
      <c r="E71" s="2851" t="s">
        <v>2637</v>
      </c>
      <c r="F71" s="2851" t="s">
        <v>2638</v>
      </c>
    </row>
    <row r="72" spans="1:7" ht="13.5">
      <c r="A72" s="2851"/>
      <c r="B72" s="2851"/>
      <c r="C72" s="2851" t="s">
        <v>2639</v>
      </c>
      <c r="D72" s="2851"/>
      <c r="E72" s="2851" t="s">
        <v>2610</v>
      </c>
      <c r="F72" s="2851" t="s">
        <v>2610</v>
      </c>
    </row>
    <row r="73" spans="1:7" ht="13.5">
      <c r="A73" s="2851">
        <v>1</v>
      </c>
      <c r="B73" s="3511" t="s">
        <v>2640</v>
      </c>
      <c r="C73" s="2825" t="s">
        <v>2641</v>
      </c>
      <c r="D73" s="2825" t="s">
        <v>2642</v>
      </c>
      <c r="E73" s="2851">
        <v>0.2</v>
      </c>
      <c r="F73" s="2851">
        <v>25</v>
      </c>
    </row>
    <row r="74" spans="1:7" ht="24">
      <c r="A74" s="2851">
        <v>2</v>
      </c>
      <c r="B74" s="3513"/>
      <c r="C74" s="2825" t="s">
        <v>2643</v>
      </c>
      <c r="D74" s="2825" t="s">
        <v>2644</v>
      </c>
      <c r="E74" s="2851">
        <v>0.2</v>
      </c>
      <c r="F74" s="2851">
        <v>25</v>
      </c>
    </row>
    <row r="75" spans="1:7" ht="24">
      <c r="A75" s="2851">
        <v>3</v>
      </c>
      <c r="B75" s="3513"/>
      <c r="C75" s="2825" t="s">
        <v>2645</v>
      </c>
      <c r="D75" s="2825" t="s">
        <v>2646</v>
      </c>
      <c r="E75" s="2851">
        <v>0.2</v>
      </c>
      <c r="F75" s="2851">
        <v>25</v>
      </c>
    </row>
    <row r="76" spans="1:7" ht="13.5">
      <c r="A76" s="2851">
        <v>4</v>
      </c>
      <c r="B76" s="3513"/>
      <c r="C76" s="2825" t="s">
        <v>2647</v>
      </c>
      <c r="D76" s="2825" t="s">
        <v>2648</v>
      </c>
      <c r="E76" s="2851">
        <v>0.15</v>
      </c>
      <c r="F76" s="2851">
        <v>20</v>
      </c>
    </row>
    <row r="77" spans="1:7" ht="24">
      <c r="A77" s="2851">
        <v>5</v>
      </c>
      <c r="B77" s="3513"/>
      <c r="C77" s="2825" t="s">
        <v>2649</v>
      </c>
      <c r="D77" s="2825" t="s">
        <v>2650</v>
      </c>
      <c r="E77" s="2851">
        <v>0.15</v>
      </c>
      <c r="F77" s="2851">
        <v>20</v>
      </c>
    </row>
    <row r="78" spans="1:7" ht="24">
      <c r="A78" s="2851">
        <v>6</v>
      </c>
      <c r="B78" s="3513"/>
      <c r="C78" s="2825" t="s">
        <v>2651</v>
      </c>
      <c r="D78" s="2825" t="s">
        <v>2652</v>
      </c>
      <c r="E78" s="2851">
        <v>0.15</v>
      </c>
      <c r="F78" s="2851">
        <v>20</v>
      </c>
    </row>
    <row r="79" spans="1:7" ht="24">
      <c r="A79" s="2851">
        <v>7</v>
      </c>
      <c r="B79" s="3513"/>
      <c r="C79" s="2825" t="s">
        <v>2653</v>
      </c>
      <c r="D79" s="2825" t="s">
        <v>2654</v>
      </c>
      <c r="E79" s="2851">
        <v>0.15</v>
      </c>
      <c r="F79" s="2851">
        <v>20</v>
      </c>
    </row>
    <row r="80" spans="1:7" ht="24">
      <c r="A80" s="2851">
        <v>8</v>
      </c>
      <c r="B80" s="3513"/>
      <c r="C80" s="2825" t="s">
        <v>2655</v>
      </c>
      <c r="D80" s="2825" t="s">
        <v>2656</v>
      </c>
      <c r="E80" s="2851">
        <v>0.1</v>
      </c>
      <c r="F80" s="2851">
        <v>15</v>
      </c>
    </row>
    <row r="81" spans="1:6" ht="24">
      <c r="A81" s="2851">
        <v>9</v>
      </c>
      <c r="B81" s="3513"/>
      <c r="C81" s="2825" t="s">
        <v>2657</v>
      </c>
      <c r="D81" s="2825" t="s">
        <v>2658</v>
      </c>
      <c r="E81" s="2851">
        <v>0.1</v>
      </c>
      <c r="F81" s="2851">
        <v>15</v>
      </c>
    </row>
    <row r="82" spans="1:6" ht="24">
      <c r="A82" s="2851">
        <v>10</v>
      </c>
      <c r="B82" s="3513"/>
      <c r="C82" s="2825" t="s">
        <v>2659</v>
      </c>
      <c r="D82" s="2825" t="s">
        <v>2660</v>
      </c>
      <c r="E82" s="2851">
        <v>0.1</v>
      </c>
      <c r="F82" s="2851">
        <v>15</v>
      </c>
    </row>
    <row r="83" spans="1:6" ht="24">
      <c r="A83" s="2851">
        <v>11</v>
      </c>
      <c r="B83" s="3513"/>
      <c r="C83" s="2825" t="s">
        <v>2661</v>
      </c>
      <c r="D83" s="2825" t="s">
        <v>2662</v>
      </c>
      <c r="E83" s="2851">
        <v>0.1</v>
      </c>
      <c r="F83" s="2851">
        <v>15</v>
      </c>
    </row>
    <row r="84" spans="1:6" ht="24">
      <c r="A84" s="2851">
        <v>12</v>
      </c>
      <c r="B84" s="3513"/>
      <c r="C84" s="2825" t="s">
        <v>2663</v>
      </c>
      <c r="D84" s="2825" t="s">
        <v>2664</v>
      </c>
      <c r="E84" s="2851">
        <v>0.1</v>
      </c>
      <c r="F84" s="2851">
        <v>15</v>
      </c>
    </row>
    <row r="85" spans="1:6" ht="13.5">
      <c r="A85" s="2851">
        <v>13</v>
      </c>
      <c r="B85" s="3513"/>
      <c r="C85" s="2825" t="s">
        <v>2665</v>
      </c>
      <c r="D85" s="2825" t="s">
        <v>2666</v>
      </c>
      <c r="E85" s="2851">
        <v>0.1</v>
      </c>
      <c r="F85" s="2851">
        <v>15</v>
      </c>
    </row>
    <row r="86" spans="1:6" ht="13.5">
      <c r="A86" s="2851">
        <v>14</v>
      </c>
      <c r="B86" s="3513"/>
      <c r="C86" s="2825" t="s">
        <v>2667</v>
      </c>
      <c r="D86" s="2825" t="s">
        <v>2668</v>
      </c>
      <c r="E86" s="2851">
        <v>0.1</v>
      </c>
      <c r="F86" s="2851">
        <v>15</v>
      </c>
    </row>
    <row r="87" spans="1:6" ht="13.5">
      <c r="A87" s="2851">
        <v>15</v>
      </c>
      <c r="B87" s="3513"/>
      <c r="C87" s="2825" t="s">
        <v>2669</v>
      </c>
      <c r="D87" s="2825" t="s">
        <v>2670</v>
      </c>
      <c r="E87" s="2851">
        <v>0.1</v>
      </c>
      <c r="F87" s="2851">
        <v>15</v>
      </c>
    </row>
    <row r="88" spans="1:6" ht="24">
      <c r="A88" s="2851">
        <v>16</v>
      </c>
      <c r="B88" s="3513"/>
      <c r="C88" s="2825" t="s">
        <v>2671</v>
      </c>
      <c r="D88" s="2825" t="s">
        <v>2672</v>
      </c>
      <c r="E88" s="2851">
        <v>0.1</v>
      </c>
      <c r="F88" s="2851">
        <v>15</v>
      </c>
    </row>
    <row r="89" spans="1:6" ht="24">
      <c r="A89" s="2851">
        <v>17</v>
      </c>
      <c r="B89" s="3512"/>
      <c r="C89" s="2825" t="s">
        <v>2673</v>
      </c>
      <c r="D89" s="2825" t="s">
        <v>2674</v>
      </c>
      <c r="E89" s="2851">
        <v>0.1</v>
      </c>
      <c r="F89" s="2851">
        <v>15</v>
      </c>
    </row>
    <row r="90" spans="1:6" ht="13.5">
      <c r="A90" s="2851">
        <v>18</v>
      </c>
      <c r="B90" s="3511" t="s">
        <v>2675</v>
      </c>
      <c r="C90" s="2825" t="s">
        <v>2676</v>
      </c>
      <c r="D90" s="2825" t="s">
        <v>2677</v>
      </c>
      <c r="E90" s="2851">
        <v>0.2</v>
      </c>
      <c r="F90" s="2851">
        <v>25</v>
      </c>
    </row>
    <row r="91" spans="1:6" ht="24">
      <c r="A91" s="2851">
        <v>19</v>
      </c>
      <c r="B91" s="3513"/>
      <c r="C91" s="2825" t="s">
        <v>2678</v>
      </c>
      <c r="D91" s="2825" t="s">
        <v>2679</v>
      </c>
      <c r="E91" s="2851">
        <v>0.2</v>
      </c>
      <c r="F91" s="2851">
        <v>25</v>
      </c>
    </row>
    <row r="92" spans="1:6" ht="13.5">
      <c r="A92" s="2851">
        <v>20</v>
      </c>
      <c r="B92" s="3513"/>
      <c r="C92" s="2825" t="s">
        <v>2680</v>
      </c>
      <c r="D92" s="2825" t="s">
        <v>2681</v>
      </c>
      <c r="E92" s="2851">
        <v>0.15</v>
      </c>
      <c r="F92" s="2851">
        <v>20</v>
      </c>
    </row>
    <row r="93" spans="1:6" ht="13.5">
      <c r="A93" s="2851">
        <v>21</v>
      </c>
      <c r="B93" s="3513"/>
      <c r="C93" s="2825" t="s">
        <v>2682</v>
      </c>
      <c r="D93" s="2825" t="s">
        <v>2683</v>
      </c>
      <c r="E93" s="2851">
        <v>0.15</v>
      </c>
      <c r="F93" s="2851">
        <v>20</v>
      </c>
    </row>
    <row r="94" spans="1:6" ht="13.5">
      <c r="A94" s="2851">
        <v>22</v>
      </c>
      <c r="B94" s="3513"/>
      <c r="C94" s="2825" t="s">
        <v>2684</v>
      </c>
      <c r="D94" s="2825" t="s">
        <v>2685</v>
      </c>
      <c r="E94" s="2851">
        <v>0.15</v>
      </c>
      <c r="F94" s="2851">
        <v>20</v>
      </c>
    </row>
    <row r="95" spans="1:6" ht="36">
      <c r="A95" s="2851">
        <v>23</v>
      </c>
      <c r="B95" s="3513"/>
      <c r="C95" s="2825" t="s">
        <v>2686</v>
      </c>
      <c r="D95" s="2825" t="s">
        <v>2687</v>
      </c>
      <c r="E95" s="2851">
        <v>0.15</v>
      </c>
      <c r="F95" s="2851">
        <v>20</v>
      </c>
    </row>
    <row r="96" spans="1:6" ht="13.5">
      <c r="A96" s="2851">
        <v>24</v>
      </c>
      <c r="B96" s="3513"/>
      <c r="C96" s="2825" t="s">
        <v>2688</v>
      </c>
      <c r="D96" s="2825" t="s">
        <v>2689</v>
      </c>
      <c r="E96" s="2851">
        <v>0.1</v>
      </c>
      <c r="F96" s="2851">
        <v>15</v>
      </c>
    </row>
    <row r="97" spans="1:6" ht="13.5">
      <c r="A97" s="2851">
        <v>25</v>
      </c>
      <c r="B97" s="3513"/>
      <c r="C97" s="2825" t="s">
        <v>2690</v>
      </c>
      <c r="D97" s="2825" t="s">
        <v>2691</v>
      </c>
      <c r="E97" s="2851">
        <v>0.1</v>
      </c>
      <c r="F97" s="2851">
        <v>15</v>
      </c>
    </row>
    <row r="98" spans="1:6" ht="24">
      <c r="A98" s="2851">
        <v>26</v>
      </c>
      <c r="B98" s="3513"/>
      <c r="C98" s="2825" t="s">
        <v>2692</v>
      </c>
      <c r="D98" s="2825" t="s">
        <v>2693</v>
      </c>
      <c r="E98" s="2851">
        <v>0.1</v>
      </c>
      <c r="F98" s="2851">
        <v>15</v>
      </c>
    </row>
    <row r="99" spans="1:6" ht="24">
      <c r="A99" s="2851">
        <v>27</v>
      </c>
      <c r="B99" s="3513"/>
      <c r="C99" s="2825" t="s">
        <v>2694</v>
      </c>
      <c r="D99" s="2825" t="s">
        <v>2695</v>
      </c>
      <c r="E99" s="2851">
        <v>0.1</v>
      </c>
      <c r="F99" s="2851">
        <v>15</v>
      </c>
    </row>
    <row r="100" spans="1:6" ht="13.5">
      <c r="A100" s="2851">
        <v>28</v>
      </c>
      <c r="B100" s="3513"/>
      <c r="C100" s="2825" t="s">
        <v>2696</v>
      </c>
      <c r="D100" s="2825" t="s">
        <v>2697</v>
      </c>
      <c r="E100" s="2851">
        <v>0.1</v>
      </c>
      <c r="F100" s="2851">
        <v>15</v>
      </c>
    </row>
    <row r="101" spans="1:6" ht="13.5">
      <c r="A101" s="2851">
        <v>29</v>
      </c>
      <c r="B101" s="3513"/>
      <c r="C101" s="2825" t="s">
        <v>2698</v>
      </c>
      <c r="D101" s="2825" t="s">
        <v>2699</v>
      </c>
      <c r="E101" s="2851">
        <v>0.1</v>
      </c>
      <c r="F101" s="2851">
        <v>15</v>
      </c>
    </row>
    <row r="102" spans="1:6" ht="13.5">
      <c r="A102" s="2851">
        <v>30</v>
      </c>
      <c r="B102" s="3513"/>
      <c r="C102" s="2825" t="s">
        <v>2700</v>
      </c>
      <c r="D102" s="2825" t="s">
        <v>2701</v>
      </c>
      <c r="E102" s="2851">
        <v>0.1</v>
      </c>
      <c r="F102" s="2851">
        <v>15</v>
      </c>
    </row>
    <row r="103" spans="1:6" ht="24">
      <c r="A103" s="2851">
        <v>31</v>
      </c>
      <c r="B103" s="3513"/>
      <c r="C103" s="2825" t="s">
        <v>2702</v>
      </c>
      <c r="D103" s="2825" t="s">
        <v>2703</v>
      </c>
      <c r="E103" s="2851">
        <v>0.1</v>
      </c>
      <c r="F103" s="2851">
        <v>15</v>
      </c>
    </row>
    <row r="104" spans="1:6" ht="24">
      <c r="A104" s="2851">
        <v>32</v>
      </c>
      <c r="B104" s="3513"/>
      <c r="C104" s="2825" t="s">
        <v>2704</v>
      </c>
      <c r="D104" s="2825" t="s">
        <v>2705</v>
      </c>
      <c r="E104" s="2851">
        <v>0.1</v>
      </c>
      <c r="F104" s="2851">
        <v>15</v>
      </c>
    </row>
    <row r="105" spans="1:6" ht="24">
      <c r="A105" s="2851">
        <v>33</v>
      </c>
      <c r="B105" s="3513"/>
      <c r="C105" s="2825" t="s">
        <v>2706</v>
      </c>
      <c r="D105" s="2825" t="s">
        <v>2707</v>
      </c>
      <c r="E105" s="2851">
        <v>0.1</v>
      </c>
      <c r="F105" s="2851">
        <v>15</v>
      </c>
    </row>
    <row r="106" spans="1:6" ht="24">
      <c r="A106" s="2851">
        <v>34</v>
      </c>
      <c r="B106" s="3512"/>
      <c r="C106" s="2825" t="s">
        <v>2708</v>
      </c>
      <c r="D106" s="2825" t="s">
        <v>2709</v>
      </c>
      <c r="E106" s="2851">
        <v>0.1</v>
      </c>
      <c r="F106" s="2851">
        <v>15</v>
      </c>
    </row>
    <row r="107" spans="1:6" ht="24">
      <c r="A107" s="2851">
        <v>35</v>
      </c>
      <c r="B107" s="3511" t="s">
        <v>2710</v>
      </c>
      <c r="C107" s="2851" t="s">
        <v>2711</v>
      </c>
      <c r="D107" s="2825" t="s">
        <v>2712</v>
      </c>
      <c r="E107" s="2851">
        <v>0.15</v>
      </c>
      <c r="F107" s="2851">
        <v>20</v>
      </c>
    </row>
    <row r="108" spans="1:6" ht="13.5">
      <c r="A108" s="2851">
        <v>36</v>
      </c>
      <c r="B108" s="3513"/>
      <c r="C108" s="2851" t="s">
        <v>2713</v>
      </c>
      <c r="D108" s="2825" t="s">
        <v>2714</v>
      </c>
      <c r="E108" s="2851">
        <v>0.15</v>
      </c>
      <c r="F108" s="2851">
        <v>20</v>
      </c>
    </row>
    <row r="109" spans="1:6" ht="13.5">
      <c r="A109" s="2851">
        <v>37</v>
      </c>
      <c r="B109" s="3513"/>
      <c r="C109" s="2851" t="s">
        <v>2715</v>
      </c>
      <c r="D109" s="2825" t="s">
        <v>2716</v>
      </c>
      <c r="E109" s="2851">
        <v>0.15</v>
      </c>
      <c r="F109" s="2851">
        <v>20</v>
      </c>
    </row>
    <row r="110" spans="1:6" ht="13.5">
      <c r="A110" s="2851">
        <v>38</v>
      </c>
      <c r="B110" s="3513"/>
      <c r="C110" s="2851" t="s">
        <v>2717</v>
      </c>
      <c r="D110" s="2825" t="s">
        <v>2718</v>
      </c>
      <c r="E110" s="2851">
        <v>0.1</v>
      </c>
      <c r="F110" s="2851">
        <v>15</v>
      </c>
    </row>
    <row r="111" spans="1:6" ht="24">
      <c r="A111" s="2851">
        <v>39</v>
      </c>
      <c r="B111" s="3513"/>
      <c r="C111" s="2851" t="s">
        <v>2719</v>
      </c>
      <c r="D111" s="2825" t="s">
        <v>2720</v>
      </c>
      <c r="E111" s="2851">
        <v>0.1</v>
      </c>
      <c r="F111" s="2851">
        <v>15</v>
      </c>
    </row>
    <row r="112" spans="1:6" ht="24">
      <c r="A112" s="2851">
        <v>40</v>
      </c>
      <c r="B112" s="3512"/>
      <c r="C112" s="2851" t="s">
        <v>2721</v>
      </c>
      <c r="D112" s="2825" t="s">
        <v>2722</v>
      </c>
      <c r="E112" s="2851">
        <v>0.1</v>
      </c>
      <c r="F112" s="2851">
        <v>15</v>
      </c>
    </row>
    <row r="113" spans="1:6" ht="13.5">
      <c r="A113" s="2851">
        <v>41</v>
      </c>
      <c r="B113" s="3510" t="s">
        <v>2723</v>
      </c>
      <c r="C113" s="2851" t="s">
        <v>2724</v>
      </c>
      <c r="D113" s="2825" t="s">
        <v>2725</v>
      </c>
      <c r="E113" s="2851">
        <v>0.1</v>
      </c>
      <c r="F113" s="2851">
        <v>15</v>
      </c>
    </row>
    <row r="114" spans="1:6" ht="13.5">
      <c r="A114" s="2851">
        <v>42</v>
      </c>
      <c r="B114" s="3510"/>
      <c r="C114" s="2851" t="s">
        <v>2726</v>
      </c>
      <c r="D114" s="2825" t="s">
        <v>2727</v>
      </c>
      <c r="E114" s="2851">
        <v>0.1</v>
      </c>
      <c r="F114" s="2851">
        <v>15</v>
      </c>
    </row>
    <row r="115" spans="1:6" ht="24">
      <c r="A115" s="2851">
        <v>43</v>
      </c>
      <c r="B115" s="3510"/>
      <c r="C115" s="2851" t="s">
        <v>2728</v>
      </c>
      <c r="D115" s="2825" t="s">
        <v>2729</v>
      </c>
      <c r="E115" s="2851">
        <v>0.1</v>
      </c>
      <c r="F115" s="2851">
        <v>15</v>
      </c>
    </row>
    <row r="116" spans="1:6" ht="13.5">
      <c r="A116" s="2851">
        <v>44</v>
      </c>
      <c r="B116" s="3511" t="s">
        <v>2730</v>
      </c>
      <c r="C116" s="2851" t="s">
        <v>2731</v>
      </c>
      <c r="D116" s="2825" t="s">
        <v>2732</v>
      </c>
      <c r="E116" s="2851">
        <v>0.1</v>
      </c>
      <c r="F116" s="2851">
        <v>15</v>
      </c>
    </row>
    <row r="117" spans="1:6" ht="24">
      <c r="A117" s="2851">
        <v>45</v>
      </c>
      <c r="B117" s="3512"/>
      <c r="C117" s="2825" t="s">
        <v>2733</v>
      </c>
      <c r="D117" s="2825" t="s">
        <v>2734</v>
      </c>
      <c r="E117" s="2851">
        <v>0.1</v>
      </c>
      <c r="F117" s="2851">
        <v>15</v>
      </c>
    </row>
    <row r="118" spans="1:6" ht="24">
      <c r="A118" s="2851">
        <v>46</v>
      </c>
      <c r="B118" s="3511" t="s">
        <v>2735</v>
      </c>
      <c r="C118" s="2851" t="s">
        <v>2736</v>
      </c>
      <c r="D118" s="2825" t="s">
        <v>2737</v>
      </c>
      <c r="E118" s="2851">
        <v>0.1</v>
      </c>
      <c r="F118" s="2851">
        <v>15</v>
      </c>
    </row>
    <row r="119" spans="1:6" ht="24">
      <c r="A119" s="2851">
        <v>47</v>
      </c>
      <c r="B119" s="3512"/>
      <c r="C119" s="2851" t="s">
        <v>2738</v>
      </c>
      <c r="D119" s="2825" t="s">
        <v>2739</v>
      </c>
      <c r="E119" s="2851">
        <v>0.1</v>
      </c>
      <c r="F119" s="2851">
        <v>15</v>
      </c>
    </row>
    <row r="120" spans="1:6" ht="13.5">
      <c r="A120" s="2851">
        <v>48</v>
      </c>
      <c r="B120" s="3511" t="s">
        <v>2740</v>
      </c>
      <c r="C120" s="2851" t="s">
        <v>2741</v>
      </c>
      <c r="D120" s="2825" t="s">
        <v>2742</v>
      </c>
      <c r="E120" s="2851">
        <v>0.1</v>
      </c>
      <c r="F120" s="2851">
        <v>15</v>
      </c>
    </row>
    <row r="121" spans="1:6" ht="13.5">
      <c r="A121" s="2851">
        <v>49</v>
      </c>
      <c r="B121" s="3512"/>
      <c r="C121" s="2851" t="s">
        <v>2743</v>
      </c>
      <c r="D121" s="2825" t="s">
        <v>2744</v>
      </c>
      <c r="E121" s="2851">
        <v>0.1</v>
      </c>
      <c r="F121" s="2851">
        <v>15</v>
      </c>
    </row>
    <row r="122" spans="1:6" ht="24">
      <c r="A122" s="2851">
        <v>50</v>
      </c>
      <c r="B122" s="3510" t="s">
        <v>2745</v>
      </c>
      <c r="C122" s="2851" t="s">
        <v>2746</v>
      </c>
      <c r="D122" s="2825" t="s">
        <v>2747</v>
      </c>
      <c r="E122" s="2851">
        <v>0.1</v>
      </c>
      <c r="F122" s="2851">
        <v>15</v>
      </c>
    </row>
    <row r="123" spans="1:6" ht="24">
      <c r="A123" s="2851">
        <v>51</v>
      </c>
      <c r="B123" s="3510"/>
      <c r="C123" s="2851" t="s">
        <v>2748</v>
      </c>
      <c r="D123" s="2825" t="s">
        <v>2749</v>
      </c>
      <c r="E123" s="2851">
        <v>0.1</v>
      </c>
      <c r="F123" s="2851">
        <v>15</v>
      </c>
    </row>
    <row r="124" spans="1:6" ht="24">
      <c r="A124" s="2851">
        <v>52</v>
      </c>
      <c r="B124" s="3510" t="s">
        <v>2750</v>
      </c>
      <c r="C124" s="2851" t="s">
        <v>2751</v>
      </c>
      <c r="D124" s="2825" t="s">
        <v>2752</v>
      </c>
      <c r="E124" s="2851">
        <v>0.1</v>
      </c>
      <c r="F124" s="2851">
        <v>15</v>
      </c>
    </row>
    <row r="125" spans="1:6" ht="24">
      <c r="A125" s="2851">
        <v>53</v>
      </c>
      <c r="B125" s="3510"/>
      <c r="C125" s="2851" t="s">
        <v>2753</v>
      </c>
      <c r="D125" s="2825" t="s">
        <v>2754</v>
      </c>
      <c r="E125" s="2851">
        <v>0.1</v>
      </c>
      <c r="F125" s="2851">
        <v>15</v>
      </c>
    </row>
    <row r="126" spans="1:6" ht="13.5">
      <c r="A126" s="2851">
        <v>54</v>
      </c>
      <c r="B126" s="2851" t="s">
        <v>2755</v>
      </c>
      <c r="C126" s="2851" t="s">
        <v>2756</v>
      </c>
      <c r="D126" s="2825" t="s">
        <v>2757</v>
      </c>
      <c r="E126" s="2851">
        <v>0.1</v>
      </c>
      <c r="F126" s="2851">
        <v>15</v>
      </c>
    </row>
    <row r="127" spans="1:6" ht="13.5">
      <c r="A127" s="2851">
        <v>55</v>
      </c>
      <c r="B127" s="3510" t="s">
        <v>2758</v>
      </c>
      <c r="C127" s="2851" t="s">
        <v>2759</v>
      </c>
      <c r="D127" s="2825" t="s">
        <v>2760</v>
      </c>
      <c r="E127" s="2851">
        <v>0.1</v>
      </c>
      <c r="F127" s="2851">
        <v>15</v>
      </c>
    </row>
    <row r="128" spans="1:6" ht="13.5">
      <c r="A128" s="2851">
        <v>56</v>
      </c>
      <c r="B128" s="3510"/>
      <c r="C128" s="2851" t="s">
        <v>2761</v>
      </c>
      <c r="D128" s="2825" t="s">
        <v>2762</v>
      </c>
      <c r="E128" s="2851">
        <v>0.1</v>
      </c>
      <c r="F128" s="2851">
        <v>15</v>
      </c>
    </row>
    <row r="129" spans="1:6" ht="24">
      <c r="A129" s="2851">
        <v>57</v>
      </c>
      <c r="B129" s="3510"/>
      <c r="C129" s="2851" t="s">
        <v>2763</v>
      </c>
      <c r="D129" s="2825" t="s">
        <v>2764</v>
      </c>
      <c r="E129" s="2851">
        <v>0.1</v>
      </c>
      <c r="F129" s="2851">
        <v>15</v>
      </c>
    </row>
    <row r="130" spans="1:6" ht="24">
      <c r="A130" s="2851">
        <v>58</v>
      </c>
      <c r="B130" s="3510" t="s">
        <v>2765</v>
      </c>
      <c r="C130" s="2851" t="s">
        <v>2766</v>
      </c>
      <c r="D130" s="2825" t="s">
        <v>2767</v>
      </c>
      <c r="E130" s="2851">
        <v>0.1</v>
      </c>
      <c r="F130" s="2851">
        <v>15</v>
      </c>
    </row>
    <row r="131" spans="1:6" ht="13.5">
      <c r="A131" s="2851">
        <v>59</v>
      </c>
      <c r="B131" s="3510"/>
      <c r="C131" s="2851" t="s">
        <v>2768</v>
      </c>
      <c r="D131" s="2825" t="s">
        <v>2769</v>
      </c>
      <c r="E131" s="2851">
        <v>0.1</v>
      </c>
      <c r="F131" s="2851">
        <v>15</v>
      </c>
    </row>
    <row r="132" spans="1:6" ht="13.5">
      <c r="A132" s="2851">
        <v>60</v>
      </c>
      <c r="B132" s="3511" t="s">
        <v>2770</v>
      </c>
      <c r="C132" s="2851" t="s">
        <v>2771</v>
      </c>
      <c r="D132" s="2825" t="s">
        <v>2772</v>
      </c>
      <c r="E132" s="2851">
        <v>0.1</v>
      </c>
      <c r="F132" s="2851">
        <v>15</v>
      </c>
    </row>
    <row r="133" spans="1:6" ht="13.5">
      <c r="A133" s="2851">
        <v>61</v>
      </c>
      <c r="B133" s="3512"/>
      <c r="C133" s="2851" t="s">
        <v>2773</v>
      </c>
      <c r="D133" s="2825" t="s">
        <v>2774</v>
      </c>
      <c r="E133" s="2851">
        <v>0.1</v>
      </c>
      <c r="F133" s="2851">
        <v>15</v>
      </c>
    </row>
    <row r="134" spans="1:6" ht="24">
      <c r="A134" s="2851">
        <v>62</v>
      </c>
      <c r="B134" s="2851" t="s">
        <v>2775</v>
      </c>
      <c r="C134" s="2851" t="s">
        <v>2776</v>
      </c>
      <c r="D134" s="2825" t="s">
        <v>2777</v>
      </c>
      <c r="E134" s="2851">
        <v>0.1</v>
      </c>
      <c r="F134" s="2851">
        <v>15</v>
      </c>
    </row>
    <row r="135" spans="1:6" ht="13.5">
      <c r="A135" s="2851">
        <v>63</v>
      </c>
      <c r="B135" s="3510" t="s">
        <v>2778</v>
      </c>
      <c r="C135" s="2851" t="s">
        <v>2779</v>
      </c>
      <c r="D135" s="2825" t="s">
        <v>2780</v>
      </c>
      <c r="E135" s="2851">
        <v>0.1</v>
      </c>
      <c r="F135" s="2851">
        <v>15</v>
      </c>
    </row>
    <row r="136" spans="1:6" ht="13.5">
      <c r="A136" s="2851">
        <v>64</v>
      </c>
      <c r="B136" s="3510"/>
      <c r="C136" s="2851" t="s">
        <v>2781</v>
      </c>
      <c r="D136" s="2825" t="s">
        <v>2782</v>
      </c>
      <c r="E136" s="2851">
        <v>0.1</v>
      </c>
      <c r="F136" s="2851">
        <v>15</v>
      </c>
    </row>
    <row r="137" spans="1:6" ht="13.5">
      <c r="A137" s="2851">
        <v>65</v>
      </c>
      <c r="B137" s="2851" t="s">
        <v>2783</v>
      </c>
      <c r="C137" s="2851" t="s">
        <v>2784</v>
      </c>
      <c r="D137" s="2825" t="s">
        <v>2785</v>
      </c>
      <c r="E137" s="2851">
        <v>0.1</v>
      </c>
      <c r="F137" s="2851">
        <v>15</v>
      </c>
    </row>
    <row r="138" spans="1:6" ht="13.5">
      <c r="A138" s="2851"/>
      <c r="B138" s="2851"/>
      <c r="C138" s="2851"/>
      <c r="D138" s="2851"/>
      <c r="E138" s="2851" t="s">
        <v>2786</v>
      </c>
      <c r="F138" s="2851"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2787</v>
      </c>
      <c r="B1" s="2859"/>
      <c r="C1" s="2859"/>
      <c r="D1" s="2859"/>
      <c r="E1" s="2859"/>
      <c r="F1" s="2859"/>
      <c r="G1" s="2859"/>
      <c r="H1" s="2859"/>
      <c r="I1" s="2859"/>
      <c r="J1" s="2859"/>
      <c r="K1" s="2859"/>
      <c r="L1" s="2859"/>
      <c r="M1" s="2859"/>
      <c r="N1" s="703"/>
    </row>
    <row r="2" spans="1:20">
      <c r="A2" s="2860" t="s">
        <v>2788</v>
      </c>
      <c r="B2" s="2861" t="s">
        <v>2584</v>
      </c>
      <c r="C2" s="2861" t="s">
        <v>2585</v>
      </c>
      <c r="D2" s="2861" t="s">
        <v>2586</v>
      </c>
      <c r="E2" s="2861" t="s">
        <v>2587</v>
      </c>
      <c r="F2" s="2861" t="s">
        <v>2588</v>
      </c>
      <c r="G2" s="2861" t="s">
        <v>2589</v>
      </c>
      <c r="H2" s="2862" t="s">
        <v>2590</v>
      </c>
      <c r="I2" s="2862" t="s">
        <v>2591</v>
      </c>
      <c r="J2" s="2863" t="s">
        <v>2592</v>
      </c>
      <c r="K2" s="2863" t="s">
        <v>2593</v>
      </c>
      <c r="L2" s="2863" t="s">
        <v>2594</v>
      </c>
      <c r="M2" s="2864" t="s">
        <v>2595</v>
      </c>
      <c r="Q2" s="2874" t="s">
        <v>2793</v>
      </c>
      <c r="R2" s="2874" t="s">
        <v>2794</v>
      </c>
      <c r="S2" s="2874" t="s">
        <v>2795</v>
      </c>
      <c r="T2" s="2874" t="s">
        <v>2796</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2789</v>
      </c>
      <c r="B93" s="2859"/>
      <c r="C93" s="2859"/>
      <c r="D93" s="2859"/>
      <c r="E93" s="2859"/>
      <c r="F93" s="2859"/>
      <c r="G93" s="2859"/>
      <c r="H93" s="2859"/>
      <c r="I93" s="2859"/>
      <c r="J93" s="2859"/>
      <c r="K93" s="2859"/>
      <c r="L93" s="2859"/>
      <c r="M93" s="2859"/>
    </row>
    <row r="94" spans="1:20">
      <c r="A94" s="2860" t="s">
        <v>2788</v>
      </c>
      <c r="B94" s="2861" t="s">
        <v>2584</v>
      </c>
      <c r="C94" s="2861" t="s">
        <v>2585</v>
      </c>
      <c r="D94" s="2861" t="s">
        <v>2586</v>
      </c>
      <c r="E94" s="2861" t="s">
        <v>2587</v>
      </c>
      <c r="F94" s="2861" t="s">
        <v>2588</v>
      </c>
      <c r="G94" s="2861" t="s">
        <v>2589</v>
      </c>
      <c r="H94" s="2862" t="s">
        <v>2590</v>
      </c>
      <c r="I94" s="2862" t="s">
        <v>2591</v>
      </c>
      <c r="J94" s="2863" t="s">
        <v>2592</v>
      </c>
      <c r="K94" s="2863" t="s">
        <v>2593</v>
      </c>
      <c r="L94" s="2863" t="s">
        <v>2594</v>
      </c>
      <c r="M94" s="2864" t="s">
        <v>2595</v>
      </c>
      <c r="N94">
        <f>SUMPRODUCT((A95:A184=ROUNDDOWN(基准地价修正!G3,1))*(B94:M94=基准地价修正!G2)*(B95:M184))</f>
        <v>0.86619999999999997</v>
      </c>
      <c r="Q94" s="2874" t="s">
        <v>2793</v>
      </c>
      <c r="R94" s="2874" t="s">
        <v>2794</v>
      </c>
      <c r="S94" s="2874" t="s">
        <v>2795</v>
      </c>
      <c r="T94" s="2874" t="s">
        <v>2796</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2790</v>
      </c>
      <c r="B185" s="2859"/>
      <c r="C185" s="2859"/>
      <c r="D185" s="2859"/>
      <c r="E185" s="2859"/>
      <c r="F185" s="2859"/>
      <c r="G185" s="2859"/>
      <c r="H185" s="2859"/>
      <c r="I185" s="2859"/>
      <c r="J185" s="2859"/>
      <c r="K185" s="2859"/>
      <c r="L185" s="2859"/>
      <c r="M185" s="2859"/>
    </row>
    <row r="186" spans="1:20">
      <c r="A186" s="2860" t="s">
        <v>2788</v>
      </c>
      <c r="B186" s="2861" t="s">
        <v>2584</v>
      </c>
      <c r="C186" s="2861" t="s">
        <v>2585</v>
      </c>
      <c r="D186" s="2861" t="s">
        <v>2586</v>
      </c>
      <c r="E186" s="2861" t="s">
        <v>2587</v>
      </c>
      <c r="F186" s="2861" t="s">
        <v>2588</v>
      </c>
      <c r="G186" s="2861" t="s">
        <v>2589</v>
      </c>
      <c r="H186" s="2862" t="s">
        <v>2590</v>
      </c>
      <c r="I186" s="2862" t="s">
        <v>2591</v>
      </c>
      <c r="J186" s="2863" t="s">
        <v>2592</v>
      </c>
      <c r="K186" s="2863" t="s">
        <v>2593</v>
      </c>
      <c r="L186" s="2863" t="s">
        <v>2594</v>
      </c>
      <c r="M186" s="2864" t="s">
        <v>2595</v>
      </c>
      <c r="Q186" s="2874" t="s">
        <v>2793</v>
      </c>
      <c r="R186" s="2874" t="s">
        <v>2794</v>
      </c>
      <c r="S186" s="2874" t="s">
        <v>2795</v>
      </c>
      <c r="T186" s="2874" t="s">
        <v>2796</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2791</v>
      </c>
      <c r="B277" s="2859"/>
      <c r="C277" s="2859"/>
      <c r="D277" s="2859"/>
      <c r="E277" s="2859"/>
      <c r="F277" s="2859"/>
      <c r="G277" s="2859"/>
      <c r="H277" s="2859"/>
      <c r="I277" s="2859"/>
      <c r="J277" s="2859"/>
      <c r="K277" s="2859"/>
      <c r="L277" s="2859"/>
      <c r="M277" s="2859"/>
    </row>
    <row r="278" spans="1:21">
      <c r="A278" s="2860" t="s">
        <v>2788</v>
      </c>
      <c r="B278" s="2861" t="s">
        <v>2584</v>
      </c>
      <c r="C278" s="2861" t="s">
        <v>2585</v>
      </c>
      <c r="D278" s="2861" t="s">
        <v>2586</v>
      </c>
      <c r="E278" s="2861" t="s">
        <v>2587</v>
      </c>
      <c r="F278" s="2861" t="s">
        <v>2588</v>
      </c>
      <c r="G278" s="2861" t="s">
        <v>2589</v>
      </c>
      <c r="H278" s="2862" t="s">
        <v>2590</v>
      </c>
      <c r="I278" s="2862" t="s">
        <v>2591</v>
      </c>
      <c r="J278" s="2863" t="s">
        <v>2592</v>
      </c>
      <c r="K278" s="2863" t="s">
        <v>2593</v>
      </c>
      <c r="L278" s="2863" t="s">
        <v>2594</v>
      </c>
      <c r="M278" s="2864" t="s">
        <v>2595</v>
      </c>
      <c r="Q278" s="2874" t="s">
        <v>2793</v>
      </c>
      <c r="R278" s="2874" t="s">
        <v>2794</v>
      </c>
      <c r="S278" s="2874" t="s">
        <v>2797</v>
      </c>
      <c r="T278" s="2874" t="s">
        <v>2798</v>
      </c>
      <c r="U278" s="2874" t="s">
        <v>2796</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2792</v>
      </c>
      <c r="B369" s="2872"/>
      <c r="C369" s="2872"/>
      <c r="D369" s="2872"/>
      <c r="E369" s="2872"/>
      <c r="F369" s="2872"/>
      <c r="G369" s="2872"/>
      <c r="H369" s="2872"/>
      <c r="I369" s="2872"/>
      <c r="J369" s="2872"/>
      <c r="K369" s="2872"/>
      <c r="L369" s="2872"/>
      <c r="M369" s="2872"/>
    </row>
    <row r="370" spans="1:20">
      <c r="A370" s="2860" t="s">
        <v>2788</v>
      </c>
      <c r="B370" s="2861" t="s">
        <v>2584</v>
      </c>
      <c r="C370" s="2861" t="s">
        <v>2585</v>
      </c>
      <c r="D370" s="2861" t="s">
        <v>2586</v>
      </c>
      <c r="E370" s="2861" t="s">
        <v>2587</v>
      </c>
      <c r="F370" s="2861" t="s">
        <v>2588</v>
      </c>
      <c r="G370" s="2861" t="s">
        <v>2589</v>
      </c>
      <c r="H370" s="2862" t="s">
        <v>2590</v>
      </c>
      <c r="I370" s="2862" t="s">
        <v>2591</v>
      </c>
      <c r="J370" s="2863" t="s">
        <v>2592</v>
      </c>
      <c r="K370" s="2863" t="s">
        <v>2593</v>
      </c>
      <c r="L370" s="2863" t="s">
        <v>2594</v>
      </c>
      <c r="M370" s="2864" t="s">
        <v>2595</v>
      </c>
      <c r="N370">
        <f>SUMPRODUCT((A371:A460=ROUNDDOWN(基准地价修正!G3,1))*(B370:M370=基准地价修正!G2)*(B371:M460))</f>
        <v>0.82389999999999997</v>
      </c>
      <c r="Q370" s="2874" t="s">
        <v>2793</v>
      </c>
      <c r="R370" s="2874" t="s">
        <v>2794</v>
      </c>
      <c r="S370" s="2874" t="s">
        <v>2795</v>
      </c>
      <c r="T370" s="2874" t="s">
        <v>2796</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90896</v>
      </c>
      <c r="C2" s="2" t="s">
        <v>106</v>
      </c>
      <c r="D2" s="190"/>
      <c r="E2" s="190"/>
      <c r="F2" s="190"/>
      <c r="G2" s="190"/>
    </row>
    <row r="3" spans="1:7" s="191" customFormat="1" ht="18" customHeight="1" thickBot="1">
      <c r="A3" s="194" t="s">
        <v>58</v>
      </c>
      <c r="B3" s="195">
        <f ca="1">ROUND(B2*10000/'数据-汇总表'!E3,0)</f>
        <v>3906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150</v>
      </c>
      <c r="F9" s="212"/>
      <c r="G9" s="217"/>
    </row>
    <row r="10" spans="1:7" s="205" customFormat="1" ht="13.5" customHeight="1">
      <c r="A10" s="729" t="s">
        <v>356</v>
      </c>
      <c r="B10" s="215" t="s">
        <v>67</v>
      </c>
      <c r="C10" s="216">
        <f>ROUND(D10*E10/10000,0)</f>
        <v>4421</v>
      </c>
      <c r="D10" s="791">
        <f>'数据-汇总表'!E6</f>
        <v>232700.46000000008</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4654</v>
      </c>
      <c r="D19" s="203">
        <f>'数据-汇总表'!E3</f>
        <v>232700.46000000008</v>
      </c>
      <c r="E19" s="202">
        <f>'数据-取费表'!B31</f>
        <v>200</v>
      </c>
      <c r="F19" s="222"/>
      <c r="G19" s="1" t="s">
        <v>436</v>
      </c>
    </row>
    <row r="20" spans="1:7" s="205" customFormat="1" ht="13.5" customHeight="1">
      <c r="A20" s="727" t="s">
        <v>419</v>
      </c>
      <c r="B20" s="201" t="s">
        <v>77</v>
      </c>
      <c r="C20" s="223">
        <f>ROUND((C5+C19)*F20,0)</f>
        <v>632</v>
      </c>
      <c r="D20" s="223"/>
      <c r="E20" s="223"/>
      <c r="F20" s="224">
        <f>'数据-取费表'!B37</f>
        <v>2.5000000000000001E-2</v>
      </c>
      <c r="G20" s="999" t="s">
        <v>430</v>
      </c>
    </row>
    <row r="21" spans="1:7" s="205" customFormat="1" ht="13.5" customHeight="1">
      <c r="A21" s="727" t="s">
        <v>421</v>
      </c>
      <c r="B21" s="201" t="s">
        <v>78</v>
      </c>
      <c r="C21" s="226">
        <f>F21</f>
        <v>2.5000000000000001E-2</v>
      </c>
      <c r="D21" s="227" t="s">
        <v>99</v>
      </c>
      <c r="E21" s="223"/>
      <c r="F21" s="224">
        <f>'数据-取费表'!B38</f>
        <v>2.5000000000000001E-2</v>
      </c>
      <c r="G21" s="225" t="s">
        <v>79</v>
      </c>
    </row>
    <row r="22" spans="1:7" s="205" customFormat="1" ht="13.5" customHeight="1">
      <c r="A22" s="727" t="s">
        <v>341</v>
      </c>
      <c r="B22" s="201" t="s">
        <v>80</v>
      </c>
      <c r="C22" s="1036">
        <f ca="1">ROUND(SUM(C23:C25),0)</f>
        <v>2263</v>
      </c>
      <c r="D22" s="226">
        <f ca="1">C26</f>
        <v>1.1000000000000001E-3</v>
      </c>
      <c r="E22" s="227" t="s">
        <v>99</v>
      </c>
      <c r="F22" s="228">
        <f ca="1">'数据-取费表'!B40</f>
        <v>3.4500000000000003E-2</v>
      </c>
      <c r="G22" s="999" t="str">
        <f>IF('数据-取费表'!B22&lt;=1,"单利计息","复利计息")</f>
        <v>复利计息</v>
      </c>
    </row>
    <row r="23" spans="1:7" s="205" customFormat="1" ht="13.5" customHeight="1">
      <c r="A23" s="730" t="s">
        <v>349</v>
      </c>
      <c r="B23" s="206" t="s">
        <v>423</v>
      </c>
      <c r="C23" s="1037">
        <f ca="1">ROUND(IF('数据-取费表'!B22&lt;=1,C5*F22*'数据-取费表'!B23,C5*(POWER((1+F22),'数据-取费表'!B23)-1)),0)</f>
        <v>1824</v>
      </c>
      <c r="D23" s="229"/>
      <c r="E23" s="229"/>
      <c r="F23" s="230"/>
      <c r="G23" s="231" t="s">
        <v>81</v>
      </c>
    </row>
    <row r="24" spans="1:7" s="205" customFormat="1" ht="13.5" customHeight="1">
      <c r="A24" s="730" t="s">
        <v>347</v>
      </c>
      <c r="B24" s="206" t="s">
        <v>418</v>
      </c>
      <c r="C24" s="1037">
        <f ca="1">ROUND(IF('数据-取费表'!B22&lt;=1,C19*F22*('数据-取费表'!B19/2+'数据-取费表'!B21),C19*(POWER((1+F22),('数据-取费表'!B19/2+'数据-取费表'!B21))-1)),0)</f>
        <v>412</v>
      </c>
      <c r="D24" s="229"/>
      <c r="E24" s="229"/>
      <c r="F24" s="230"/>
      <c r="G24" s="231" t="s">
        <v>82</v>
      </c>
    </row>
    <row r="25" spans="1:7" s="205" customFormat="1" ht="24">
      <c r="A25" s="730" t="s">
        <v>348</v>
      </c>
      <c r="B25" s="206" t="s">
        <v>420</v>
      </c>
      <c r="C25" s="1037">
        <f ca="1">ROUND(IF('数据-取费表'!B22&lt;=1,C20*F22*'数据-取费表'!B23/2,C20*(POWER((1+F22),'数据-取费表'!B23/2)-1)),0)</f>
        <v>27</v>
      </c>
      <c r="D25" s="229"/>
      <c r="E25" s="232"/>
      <c r="F25" s="230"/>
      <c r="G25" s="233" t="s">
        <v>83</v>
      </c>
    </row>
    <row r="26" spans="1:7" s="205" customFormat="1">
      <c r="A26" s="730" t="s">
        <v>350</v>
      </c>
      <c r="B26" s="206" t="s">
        <v>422</v>
      </c>
      <c r="C26" s="229">
        <f ca="1">ROUND(IF('数据-取费表'!B22&lt;=1,F21*F22*'数据-取费表'!B23/2,F21*(POWER((1+F22),'数据-取费表'!B23/2)-1)),4)</f>
        <v>1.1000000000000001E-3</v>
      </c>
      <c r="D26" s="229"/>
      <c r="E26" s="232"/>
      <c r="F26" s="230"/>
      <c r="G26" s="234"/>
    </row>
    <row r="27" spans="1:7" s="205" customFormat="1" ht="24.75">
      <c r="A27" s="727" t="s">
        <v>342</v>
      </c>
      <c r="B27" s="235" t="s">
        <v>85</v>
      </c>
      <c r="C27" s="236">
        <f>C28</f>
        <v>5179</v>
      </c>
      <c r="D27" s="226">
        <f>C29</f>
        <v>5.0000000000000001E-3</v>
      </c>
      <c r="E27" s="227" t="s">
        <v>99</v>
      </c>
      <c r="F27" s="237">
        <f>'数据-取费表'!Q16</f>
        <v>0.2</v>
      </c>
      <c r="G27" s="238" t="s">
        <v>431</v>
      </c>
    </row>
    <row r="28" spans="1:7" s="205" customFormat="1" ht="13.5" customHeight="1">
      <c r="A28" s="730" t="s">
        <v>349</v>
      </c>
      <c r="B28" s="239" t="s">
        <v>424</v>
      </c>
      <c r="C28" s="240">
        <f>ROUND((C5+C19+C20)*F27*'数据-取费表'!B21/'数据-取费表'!B20,0)</f>
        <v>5179</v>
      </c>
      <c r="D28" s="226"/>
      <c r="E28" s="227"/>
      <c r="F28" s="237"/>
      <c r="G28" s="238"/>
    </row>
    <row r="29" spans="1:7" s="205" customFormat="1" ht="13.5" customHeight="1">
      <c r="A29" s="730" t="s">
        <v>347</v>
      </c>
      <c r="B29" s="239" t="s">
        <v>425</v>
      </c>
      <c r="C29" s="229">
        <f>ROUND(C21*F27*'数据-取费表'!B21/'数据-取费表'!B20,4)</f>
        <v>5.0000000000000001E-3</v>
      </c>
      <c r="D29" s="226"/>
      <c r="E29" s="227"/>
      <c r="F29" s="237"/>
      <c r="G29" s="238"/>
    </row>
    <row r="30" spans="1:7" s="205" customFormat="1" ht="13.5" customHeight="1">
      <c r="A30" s="727"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36375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40012</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31429</v>
      </c>
      <c r="D34" s="208"/>
      <c r="E34" s="211"/>
      <c r="F34" s="248">
        <f>IF('数据-取费表'!B24=0,1,'数据-取费表'!N16)</f>
        <v>1</v>
      </c>
      <c r="G34" s="210" t="s">
        <v>89</v>
      </c>
    </row>
    <row r="35" spans="1:7" ht="13.5" customHeight="1">
      <c r="A35" s="730" t="s">
        <v>351</v>
      </c>
      <c r="B35" s="206" t="s">
        <v>33</v>
      </c>
      <c r="C35" s="211">
        <f>ROUND(C34*F35,0)</f>
        <v>3143</v>
      </c>
      <c r="D35" s="211"/>
      <c r="E35" s="211"/>
      <c r="F35" s="250">
        <f>'数据-取费表'!B33</f>
        <v>0.1</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4654</v>
      </c>
      <c r="D37" s="208">
        <f>'数据-汇总表'!E3</f>
        <v>232700.46000000008</v>
      </c>
      <c r="E37" s="240">
        <f>'数据-取费表'!B35</f>
        <v>200</v>
      </c>
      <c r="F37" s="250"/>
      <c r="G37" s="252" t="s">
        <v>92</v>
      </c>
    </row>
    <row r="38" spans="1:7" ht="13.5" customHeight="1">
      <c r="A38" s="730" t="s">
        <v>354</v>
      </c>
      <c r="B38" s="206" t="s">
        <v>36</v>
      </c>
      <c r="C38" s="211">
        <f>ROUND(C34*F38,0)</f>
        <v>786</v>
      </c>
      <c r="D38" s="211"/>
      <c r="E38" s="211"/>
      <c r="F38" s="250">
        <f>'数据-取费表'!B36</f>
        <v>2.5000000000000001E-2</v>
      </c>
      <c r="G38" s="210" t="s">
        <v>90</v>
      </c>
    </row>
    <row r="39" spans="1:7" s="205" customFormat="1" ht="13.5" customHeight="1">
      <c r="A39" s="727" t="s">
        <v>338</v>
      </c>
      <c r="B39" s="201" t="s">
        <v>77</v>
      </c>
      <c r="C39" s="223">
        <f>ROUND(C33*F20,0)</f>
        <v>1000</v>
      </c>
      <c r="D39" s="223"/>
      <c r="E39" s="223"/>
      <c r="F39" s="224"/>
      <c r="G39" s="999" t="s">
        <v>433</v>
      </c>
    </row>
    <row r="40" spans="1:7" s="205" customFormat="1" ht="13.5" customHeight="1">
      <c r="A40" s="727" t="s">
        <v>339</v>
      </c>
      <c r="B40" s="201" t="s">
        <v>78</v>
      </c>
      <c r="C40" s="253">
        <f>F21</f>
        <v>2.5000000000000001E-2</v>
      </c>
      <c r="D40" s="227" t="s">
        <v>102</v>
      </c>
      <c r="E40" s="223"/>
      <c r="F40" s="224"/>
      <c r="G40" s="225" t="s">
        <v>93</v>
      </c>
    </row>
    <row r="41" spans="1:7" s="205" customFormat="1" ht="13.5" customHeight="1">
      <c r="A41" s="727" t="s">
        <v>340</v>
      </c>
      <c r="B41" s="201" t="s">
        <v>80</v>
      </c>
      <c r="C41" s="223">
        <f ca="1">ROUND(SUM(C42:C43),0)</f>
        <v>1776</v>
      </c>
      <c r="D41" s="226">
        <f ca="1">C44</f>
        <v>1.1000000000000001E-3</v>
      </c>
      <c r="E41" s="227" t="s">
        <v>102</v>
      </c>
      <c r="F41" s="228"/>
      <c r="G41" s="999" t="str">
        <f>IF('数据-取费表'!B22&lt;=1,"单利计息","复利计息")</f>
        <v>复利计息</v>
      </c>
    </row>
    <row r="42" spans="1:7" ht="13.5" customHeight="1">
      <c r="A42" s="730" t="s">
        <v>349</v>
      </c>
      <c r="B42" s="206" t="s">
        <v>423</v>
      </c>
      <c r="C42" s="229">
        <f ca="1">ROUND(IF('数据-取费表'!B22&lt;=1,C33*F22*'数据-取费表'!B21/2,C33*(POWER((1+F22),'数据-取费表'!B21/2)-1)),0)</f>
        <v>1733</v>
      </c>
      <c r="D42" s="229"/>
      <c r="E42" s="229"/>
      <c r="F42" s="230"/>
      <c r="G42" s="3385" t="s">
        <v>94</v>
      </c>
    </row>
    <row r="43" spans="1:7" ht="13.5" customHeight="1">
      <c r="A43" s="730" t="s">
        <v>347</v>
      </c>
      <c r="B43" s="206" t="s">
        <v>426</v>
      </c>
      <c r="C43" s="229">
        <f ca="1">ROUND(IF('数据-取费表'!B22&lt;=1,C39*F22*'数据-取费表'!B21/2,C39*(POWER((1+F22),'数据-取费表'!B21/2)-1)),0)</f>
        <v>43</v>
      </c>
      <c r="D43" s="229"/>
      <c r="E43" s="229"/>
      <c r="F43" s="230"/>
      <c r="G43" s="3386"/>
    </row>
    <row r="44" spans="1:7" ht="13.5" customHeight="1">
      <c r="A44" s="730" t="s">
        <v>348</v>
      </c>
      <c r="B44" s="206" t="s">
        <v>428</v>
      </c>
      <c r="C44" s="229">
        <f ca="1">ROUND(IF('数据-取费表'!B22&lt;=1,C40*F22*'数据-取费表'!B21/2,C40*(POWER((1+F22),'数据-取费表'!B21/2)-1)),4)</f>
        <v>1.1000000000000001E-3</v>
      </c>
      <c r="D44" s="229"/>
      <c r="E44" s="229"/>
      <c r="F44" s="230"/>
      <c r="G44" s="3387"/>
    </row>
    <row r="45" spans="1:7" s="205" customFormat="1" ht="13.5" customHeight="1">
      <c r="A45" s="727" t="s">
        <v>341</v>
      </c>
      <c r="B45" s="235" t="s">
        <v>85</v>
      </c>
      <c r="C45" s="236">
        <f>C46</f>
        <v>8202</v>
      </c>
      <c r="D45" s="226">
        <f>C47</f>
        <v>5.0000000000000001E-3</v>
      </c>
      <c r="E45" s="227" t="s">
        <v>102</v>
      </c>
      <c r="F45" s="237"/>
      <c r="G45" s="238" t="s">
        <v>434</v>
      </c>
    </row>
    <row r="46" spans="1:7" s="205" customFormat="1" ht="13.5" customHeight="1">
      <c r="A46" s="730" t="s">
        <v>349</v>
      </c>
      <c r="B46" s="239" t="s">
        <v>427</v>
      </c>
      <c r="C46" s="240">
        <f>ROUND((C33+C39)*F27,0)</f>
        <v>8202</v>
      </c>
      <c r="D46" s="254"/>
      <c r="E46" s="227"/>
      <c r="F46" s="237"/>
      <c r="G46" s="238"/>
    </row>
    <row r="47" spans="1:7" s="205" customFormat="1" ht="13.5" customHeight="1">
      <c r="A47" s="730" t="s">
        <v>347</v>
      </c>
      <c r="B47" s="239" t="s">
        <v>429</v>
      </c>
      <c r="C47" s="229">
        <f>ROUND(C40*F27,4)</f>
        <v>5.0000000000000001E-3</v>
      </c>
      <c r="D47" s="254"/>
      <c r="E47" s="227"/>
      <c r="F47" s="237"/>
      <c r="G47" s="238"/>
    </row>
    <row r="48" spans="1:7" s="205" customFormat="1" ht="13.5" customHeight="1">
      <c r="A48" s="727" t="s">
        <v>342</v>
      </c>
      <c r="B48" s="201" t="s">
        <v>95</v>
      </c>
      <c r="C48" s="253">
        <f>F30</f>
        <v>5.5000000000000007E-2</v>
      </c>
      <c r="D48" s="227" t="s">
        <v>103</v>
      </c>
      <c r="E48" s="223"/>
      <c r="F48" s="228"/>
      <c r="G48" s="225" t="s">
        <v>96</v>
      </c>
    </row>
    <row r="49" spans="1:7" ht="16.5" customHeight="1">
      <c r="A49" s="727" t="s">
        <v>343</v>
      </c>
      <c r="B49" s="201" t="s">
        <v>104</v>
      </c>
      <c r="C49" s="223">
        <f ca="1">ROUND((C33+C39+C41+C45)/(1-C40-D41-D45-C48/(1+'数据-取费表'!B42)),0)</f>
        <v>55634</v>
      </c>
      <c r="D49" s="223"/>
      <c r="E49" s="223"/>
      <c r="F49" s="255"/>
      <c r="G49" s="225" t="s">
        <v>435</v>
      </c>
    </row>
    <row r="50" spans="1:7" s="249" customFormat="1" ht="24">
      <c r="A50" s="727" t="s">
        <v>344</v>
      </c>
      <c r="B50" s="201" t="s">
        <v>97</v>
      </c>
      <c r="C50" s="223"/>
      <c r="D50" s="223"/>
      <c r="E50" s="223"/>
      <c r="F50" s="255">
        <f>IF('数据-取费表'!B24=0,'数据-取费表'!N16,1)</f>
        <v>0.98</v>
      </c>
      <c r="G50" s="238" t="s">
        <v>98</v>
      </c>
    </row>
    <row r="51" spans="1:7" ht="16.5" customHeight="1">
      <c r="A51" s="727" t="s">
        <v>345</v>
      </c>
      <c r="B51" s="201" t="s">
        <v>105</v>
      </c>
      <c r="C51" s="223">
        <f ca="1">ROUND(C49*F50,0)</f>
        <v>54521</v>
      </c>
      <c r="D51" s="223"/>
      <c r="E51" s="223"/>
      <c r="F51" s="255"/>
      <c r="G51" s="225" t="s">
        <v>37</v>
      </c>
    </row>
    <row r="52" spans="1:7" s="199" customFormat="1" ht="16.5" thickBot="1">
      <c r="A52" s="256" t="s">
        <v>38</v>
      </c>
      <c r="B52" s="257"/>
      <c r="C52" s="258">
        <f ca="1">C31+C51</f>
        <v>90896</v>
      </c>
      <c r="D52" s="257"/>
      <c r="E52" s="257"/>
      <c r="F52" s="257"/>
      <c r="G52" s="259"/>
    </row>
    <row r="55" spans="1:7" ht="15">
      <c r="B55" s="261" t="s">
        <v>39</v>
      </c>
      <c r="C55" s="262"/>
    </row>
    <row r="56" spans="1:7">
      <c r="B56" s="264" t="s">
        <v>40</v>
      </c>
      <c r="C56" s="265">
        <f ca="1">ROUND(C51/C52,3)</f>
        <v>0.6</v>
      </c>
    </row>
    <row r="57" spans="1:7">
      <c r="B57" s="264" t="s">
        <v>41</v>
      </c>
      <c r="C57" s="266">
        <f ca="1">1-C56</f>
        <v>0.4</v>
      </c>
    </row>
  </sheetData>
  <mergeCells count="1">
    <mergeCell ref="G42:G44"/>
  </mergeCells>
  <phoneticPr fontId="20" type="noConversion"/>
  <dataValidations count="2">
    <dataValidation type="list" allowBlank="1" showInputMessage="1" showErrorMessage="1" sqref="G19" xr:uid="{00000000-0002-0000-3800-000000000000}">
      <formula1>"已包含在土地取得成本中,未包含在土地取得成本中"</formula1>
    </dataValidation>
    <dataValidation type="list" allowBlank="1" showInputMessage="1" showErrorMessage="1" sqref="G8" xr:uid="{00000000-0002-0000-3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4" t="s">
        <v>2828</v>
      </c>
      <c r="B1" s="3524"/>
      <c r="C1" s="3524"/>
      <c r="D1" s="3524"/>
      <c r="E1" s="3524"/>
      <c r="F1" s="3524"/>
      <c r="G1" s="3525"/>
      <c r="I1" s="2932" t="s">
        <v>2829</v>
      </c>
      <c r="J1" s="2933" t="s">
        <v>2830</v>
      </c>
      <c r="K1" s="2933" t="s">
        <v>2831</v>
      </c>
      <c r="L1" s="2933" t="s">
        <v>2832</v>
      </c>
      <c r="M1" s="2933" t="s">
        <v>2833</v>
      </c>
      <c r="N1" s="2933" t="s">
        <v>2834</v>
      </c>
      <c r="O1" s="2933" t="s">
        <v>2835</v>
      </c>
      <c r="P1" s="2933" t="s">
        <v>2836</v>
      </c>
      <c r="Q1" s="2933" t="s">
        <v>2837</v>
      </c>
      <c r="R1" s="2933" t="s">
        <v>2838</v>
      </c>
      <c r="S1" s="2933" t="s">
        <v>2839</v>
      </c>
      <c r="T1" s="2934" t="s">
        <v>2840</v>
      </c>
    </row>
    <row r="2" spans="1:20" ht="12" thickBot="1">
      <c r="A2" s="2935" t="s">
        <v>2841</v>
      </c>
      <c r="B2" s="2935"/>
      <c r="C2" s="2935"/>
      <c r="D2" s="2935"/>
      <c r="E2" s="2935"/>
      <c r="F2" s="2935"/>
      <c r="G2" s="2936" t="s">
        <v>2842</v>
      </c>
      <c r="I2" s="2937" t="s">
        <v>2843</v>
      </c>
      <c r="J2" s="2937" t="s">
        <v>2844</v>
      </c>
      <c r="K2" s="2937" t="s">
        <v>2845</v>
      </c>
      <c r="L2" s="2937" t="s">
        <v>2846</v>
      </c>
      <c r="M2" s="2937" t="s">
        <v>2847</v>
      </c>
      <c r="N2" s="2937" t="s">
        <v>2848</v>
      </c>
      <c r="O2" s="2937" t="s">
        <v>2849</v>
      </c>
      <c r="P2" s="2937" t="s">
        <v>2850</v>
      </c>
      <c r="Q2" s="2937" t="s">
        <v>2851</v>
      </c>
      <c r="R2" s="2937" t="s">
        <v>2852</v>
      </c>
      <c r="S2" s="2937" t="s">
        <v>2853</v>
      </c>
      <c r="T2" s="2937" t="s">
        <v>2854</v>
      </c>
    </row>
    <row r="3" spans="1:20" s="2943" customFormat="1">
      <c r="A3" s="3522" t="s">
        <v>2855</v>
      </c>
      <c r="B3" s="2938"/>
      <c r="C3" s="2939" t="s">
        <v>2800</v>
      </c>
      <c r="D3" s="2939" t="s">
        <v>2856</v>
      </c>
      <c r="E3" s="2939" t="s">
        <v>2802</v>
      </c>
      <c r="F3" s="2939" t="s">
        <v>2857</v>
      </c>
      <c r="G3" s="2939" t="s">
        <v>2620</v>
      </c>
      <c r="H3" s="2940"/>
      <c r="I3" s="2941" t="s">
        <v>2858</v>
      </c>
      <c r="J3" s="2942" t="s">
        <v>128</v>
      </c>
      <c r="K3" s="2942" t="s">
        <v>129</v>
      </c>
      <c r="L3" s="2941" t="s">
        <v>130</v>
      </c>
      <c r="M3" s="2941" t="s">
        <v>131</v>
      </c>
      <c r="N3" s="2941" t="s">
        <v>132</v>
      </c>
      <c r="O3" s="2941" t="s">
        <v>133</v>
      </c>
      <c r="P3" s="2941" t="s">
        <v>134</v>
      </c>
      <c r="Q3" s="2941" t="s">
        <v>135</v>
      </c>
      <c r="R3" s="2941" t="s">
        <v>136</v>
      </c>
      <c r="S3" s="2941" t="s">
        <v>2859</v>
      </c>
      <c r="T3" s="2941" t="s">
        <v>2860</v>
      </c>
    </row>
    <row r="4" spans="1:20" s="2943" customFormat="1" ht="12" thickBot="1">
      <c r="A4" s="3523"/>
      <c r="B4" s="2944" t="s">
        <v>2861</v>
      </c>
      <c r="C4" s="2944" t="s">
        <v>2862</v>
      </c>
      <c r="D4" s="2944" t="s">
        <v>2862</v>
      </c>
      <c r="E4" s="2944" t="s">
        <v>2862</v>
      </c>
      <c r="F4" s="2945" t="s">
        <v>2862</v>
      </c>
      <c r="G4" s="2945" t="s">
        <v>2862</v>
      </c>
      <c r="H4" s="2940"/>
      <c r="I4" s="2942" t="s">
        <v>137</v>
      </c>
      <c r="J4" s="2942" t="s">
        <v>111</v>
      </c>
      <c r="K4" s="2942" t="s">
        <v>138</v>
      </c>
      <c r="L4" s="2941" t="s">
        <v>139</v>
      </c>
      <c r="M4" s="2941" t="s">
        <v>140</v>
      </c>
      <c r="N4" s="2941" t="s">
        <v>141</v>
      </c>
      <c r="O4" s="2941" t="s">
        <v>142</v>
      </c>
      <c r="P4" s="2941" t="s">
        <v>143</v>
      </c>
      <c r="Q4" s="2941" t="s">
        <v>2863</v>
      </c>
      <c r="R4" s="2941" t="s">
        <v>2864</v>
      </c>
      <c r="S4" s="2941" t="s">
        <v>2865</v>
      </c>
      <c r="T4" s="2941" t="s">
        <v>2866</v>
      </c>
    </row>
    <row r="5" spans="1:20">
      <c r="A5" s="2946" t="s">
        <v>2829</v>
      </c>
      <c r="B5" s="2937" t="s">
        <v>2843</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2867</v>
      </c>
      <c r="R5" s="2941" t="s">
        <v>2868</v>
      </c>
      <c r="S5" s="2941" t="s">
        <v>153</v>
      </c>
      <c r="T5" s="2941" t="s">
        <v>2869</v>
      </c>
    </row>
    <row r="6" spans="1:20" ht="12" thickBot="1">
      <c r="A6" s="2941" t="s">
        <v>144</v>
      </c>
      <c r="B6" s="2941" t="s">
        <v>2858</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2870</v>
      </c>
      <c r="Q6" s="2941" t="s">
        <v>2871</v>
      </c>
      <c r="R6" s="2941" t="s">
        <v>161</v>
      </c>
      <c r="S6" s="2941" t="s">
        <v>2872</v>
      </c>
      <c r="T6" s="2941" t="s">
        <v>2873</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2874</v>
      </c>
      <c r="Q7" s="2941" t="s">
        <v>2875</v>
      </c>
      <c r="R7" s="2941" t="s">
        <v>2876</v>
      </c>
      <c r="S7" s="2941" t="s">
        <v>2877</v>
      </c>
      <c r="T7" s="2941" t="s">
        <v>2878</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2879</v>
      </c>
      <c r="Q8" s="2941" t="s">
        <v>174</v>
      </c>
      <c r="R8" s="2941" t="s">
        <v>2880</v>
      </c>
      <c r="S8" s="2941" t="s">
        <v>2881</v>
      </c>
      <c r="T8" s="2948" t="s">
        <v>2882</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2883</v>
      </c>
      <c r="Q9" s="2941" t="s">
        <v>182</v>
      </c>
      <c r="R9" s="2941" t="s">
        <v>183</v>
      </c>
      <c r="S9" s="2941" t="s">
        <v>200</v>
      </c>
    </row>
    <row r="10" spans="1:20">
      <c r="A10" s="2946" t="s">
        <v>184</v>
      </c>
      <c r="B10" s="2937" t="s">
        <v>2844</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2884</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2885</v>
      </c>
      <c r="P11" s="2941" t="s">
        <v>191</v>
      </c>
      <c r="Q11" s="2941" t="s">
        <v>199</v>
      </c>
      <c r="R11" s="2941" t="s">
        <v>2886</v>
      </c>
      <c r="S11" s="2941" t="s">
        <v>2887</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2888</v>
      </c>
      <c r="P12" s="2941" t="s">
        <v>2889</v>
      </c>
      <c r="Q12" s="2941" t="s">
        <v>2890</v>
      </c>
      <c r="R12" s="2941" t="s">
        <v>2891</v>
      </c>
      <c r="S12" s="2941" t="s">
        <v>2892</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2893</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2894</v>
      </c>
      <c r="K14" s="2942" t="s">
        <v>215</v>
      </c>
      <c r="L14" s="2941" t="s">
        <v>216</v>
      </c>
      <c r="M14" s="2941" t="s">
        <v>217</v>
      </c>
      <c r="N14" s="2941" t="s">
        <v>218</v>
      </c>
      <c r="O14" s="2941" t="s">
        <v>240</v>
      </c>
      <c r="P14" s="2941" t="s">
        <v>213</v>
      </c>
      <c r="Q14" s="2941" t="s">
        <v>2895</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2896</v>
      </c>
      <c r="P15" s="2941" t="s">
        <v>2897</v>
      </c>
      <c r="Q15" s="2941" t="s">
        <v>242</v>
      </c>
      <c r="R15" s="2941" t="s">
        <v>2898</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2899</v>
      </c>
      <c r="P16" s="2941" t="s">
        <v>227</v>
      </c>
      <c r="Q16" s="2941" t="s">
        <v>250</v>
      </c>
      <c r="R16" s="2941" t="s">
        <v>207</v>
      </c>
      <c r="S16" s="2941" t="s">
        <v>2900</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2901</v>
      </c>
      <c r="P17" s="2941" t="s">
        <v>2902</v>
      </c>
      <c r="Q17" s="2941" t="s">
        <v>256</v>
      </c>
      <c r="R17" s="2941" t="s">
        <v>2903</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2904</v>
      </c>
      <c r="P18" s="2941" t="s">
        <v>241</v>
      </c>
      <c r="Q18" s="2941" t="s">
        <v>2905</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2906</v>
      </c>
      <c r="P19" s="2941" t="s">
        <v>249</v>
      </c>
      <c r="Q19" s="2941" t="s">
        <v>2907</v>
      </c>
      <c r="R19" s="2941" t="s">
        <v>265</v>
      </c>
      <c r="S19" s="2941" t="s">
        <v>2908</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2909</v>
      </c>
      <c r="P20" s="2941" t="s">
        <v>2910</v>
      </c>
      <c r="Q20" s="2941" t="s">
        <v>290</v>
      </c>
      <c r="R20" s="2941" t="s">
        <v>2911</v>
      </c>
      <c r="S20" s="2941" t="s">
        <v>277</v>
      </c>
    </row>
    <row r="21" spans="1:19" ht="14.25" customHeight="1" thickBot="1">
      <c r="A21" s="2941" t="s">
        <v>184</v>
      </c>
      <c r="B21" s="2942" t="s">
        <v>208</v>
      </c>
      <c r="C21" s="2941">
        <v>32370</v>
      </c>
      <c r="D21" s="2941">
        <v>26730</v>
      </c>
      <c r="E21" s="2941">
        <v>26640</v>
      </c>
      <c r="F21" s="2941"/>
      <c r="G21" s="2941">
        <v>19440</v>
      </c>
      <c r="J21" s="2948" t="s">
        <v>2912</v>
      </c>
      <c r="K21" s="2942" t="s">
        <v>267</v>
      </c>
      <c r="L21" s="2941" t="s">
        <v>268</v>
      </c>
      <c r="M21" s="2941" t="s">
        <v>269</v>
      </c>
      <c r="N21" s="2941" t="s">
        <v>270</v>
      </c>
      <c r="O21" s="2941" t="s">
        <v>264</v>
      </c>
      <c r="P21" s="2941" t="s">
        <v>283</v>
      </c>
      <c r="Q21" s="2941" t="s">
        <v>293</v>
      </c>
      <c r="R21" s="2941" t="s">
        <v>2913</v>
      </c>
      <c r="S21" s="2948" t="s">
        <v>2914</v>
      </c>
    </row>
    <row r="22" spans="1:19" ht="14.25" customHeight="1">
      <c r="A22" s="2941" t="s">
        <v>184</v>
      </c>
      <c r="B22" s="2942" t="s">
        <v>2894</v>
      </c>
      <c r="C22" s="2941">
        <v>29830</v>
      </c>
      <c r="D22" s="2941">
        <v>27600</v>
      </c>
      <c r="E22" s="2941">
        <v>28150</v>
      </c>
      <c r="F22" s="2941"/>
      <c r="G22" s="2941">
        <v>20080</v>
      </c>
      <c r="K22" s="2942" t="s">
        <v>2915</v>
      </c>
      <c r="L22" s="2941" t="s">
        <v>272</v>
      </c>
      <c r="M22" s="2941" t="s">
        <v>273</v>
      </c>
      <c r="N22" s="2941" t="s">
        <v>274</v>
      </c>
      <c r="O22" s="2941" t="s">
        <v>2916</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2917</v>
      </c>
      <c r="L23" s="2941" t="s">
        <v>278</v>
      </c>
      <c r="M23" s="2941" t="s">
        <v>279</v>
      </c>
      <c r="N23" s="2941" t="s">
        <v>2918</v>
      </c>
      <c r="O23" s="2941" t="s">
        <v>2919</v>
      </c>
      <c r="P23" s="2941" t="s">
        <v>289</v>
      </c>
      <c r="Q23" s="2941" t="s">
        <v>298</v>
      </c>
      <c r="R23" s="2941" t="s">
        <v>2920</v>
      </c>
    </row>
    <row r="24" spans="1:19" ht="14.25" customHeight="1">
      <c r="A24" s="2941" t="s">
        <v>184</v>
      </c>
      <c r="B24" s="2942" t="s">
        <v>230</v>
      </c>
      <c r="C24" s="2941">
        <v>27930</v>
      </c>
      <c r="D24" s="2941">
        <v>32260</v>
      </c>
      <c r="E24" s="2941">
        <v>32120</v>
      </c>
      <c r="F24" s="2941"/>
      <c r="G24" s="2941">
        <v>23470</v>
      </c>
      <c r="K24" s="2942" t="s">
        <v>2921</v>
      </c>
      <c r="L24" s="2941" t="s">
        <v>281</v>
      </c>
      <c r="M24" s="2941" t="s">
        <v>282</v>
      </c>
      <c r="N24" s="2941" t="s">
        <v>2922</v>
      </c>
      <c r="O24" s="2941" t="s">
        <v>285</v>
      </c>
      <c r="P24" s="2941" t="s">
        <v>2923</v>
      </c>
      <c r="Q24" s="2950" t="s">
        <v>2924</v>
      </c>
      <c r="R24" s="2941" t="s">
        <v>2925</v>
      </c>
    </row>
    <row r="25" spans="1:19" ht="14.25" customHeight="1">
      <c r="A25" s="2941" t="s">
        <v>184</v>
      </c>
      <c r="B25" s="2942" t="s">
        <v>235</v>
      </c>
      <c r="C25" s="2941">
        <v>32230</v>
      </c>
      <c r="D25" s="2941">
        <v>29640</v>
      </c>
      <c r="E25" s="2941">
        <v>29510</v>
      </c>
      <c r="F25" s="2941"/>
      <c r="G25" s="2941">
        <v>21560</v>
      </c>
      <c r="K25" s="2942" t="s">
        <v>2926</v>
      </c>
      <c r="L25" s="2941" t="s">
        <v>2927</v>
      </c>
      <c r="M25" s="2941" t="s">
        <v>284</v>
      </c>
      <c r="N25" s="2941" t="s">
        <v>292</v>
      </c>
      <c r="O25" s="2941" t="s">
        <v>288</v>
      </c>
      <c r="P25" s="2941" t="s">
        <v>275</v>
      </c>
      <c r="Q25" s="2950" t="s">
        <v>271</v>
      </c>
      <c r="R25" s="2941" t="s">
        <v>2928</v>
      </c>
    </row>
    <row r="26" spans="1:19" ht="14.25" customHeight="1" thickBot="1">
      <c r="A26" s="2941" t="s">
        <v>184</v>
      </c>
      <c r="B26" s="2942" t="s">
        <v>244</v>
      </c>
      <c r="C26" s="2941">
        <v>31690</v>
      </c>
      <c r="D26" s="2941">
        <v>27650</v>
      </c>
      <c r="E26" s="2941">
        <v>28200</v>
      </c>
      <c r="F26" s="2941"/>
      <c r="G26" s="2941">
        <v>20110</v>
      </c>
      <c r="K26" s="2947" t="s">
        <v>2929</v>
      </c>
      <c r="L26" s="2941" t="s">
        <v>2930</v>
      </c>
      <c r="M26" s="2941" t="s">
        <v>287</v>
      </c>
      <c r="N26" s="2941" t="s">
        <v>294</v>
      </c>
      <c r="O26" s="2941" t="s">
        <v>2931</v>
      </c>
      <c r="P26" s="2941" t="s">
        <v>2932</v>
      </c>
      <c r="Q26" s="2950" t="s">
        <v>276</v>
      </c>
      <c r="R26" s="2941" t="s">
        <v>2933</v>
      </c>
    </row>
    <row r="27" spans="1:19" ht="14.25" customHeight="1">
      <c r="A27" s="2941" t="s">
        <v>184</v>
      </c>
      <c r="B27" s="2942" t="s">
        <v>251</v>
      </c>
      <c r="C27" s="2941">
        <v>29610</v>
      </c>
      <c r="D27" s="2941">
        <v>27770</v>
      </c>
      <c r="E27" s="2941">
        <v>28300</v>
      </c>
      <c r="F27" s="2941"/>
      <c r="G27" s="2941">
        <v>20210</v>
      </c>
      <c r="L27" s="2941" t="s">
        <v>2934</v>
      </c>
      <c r="M27" s="2941" t="s">
        <v>291</v>
      </c>
      <c r="N27" s="2941" t="s">
        <v>297</v>
      </c>
      <c r="O27" s="2941" t="s">
        <v>2935</v>
      </c>
      <c r="P27" s="2941" t="s">
        <v>2936</v>
      </c>
      <c r="Q27" s="2941" t="s">
        <v>2937</v>
      </c>
      <c r="R27" s="2941" t="s">
        <v>2938</v>
      </c>
    </row>
    <row r="28" spans="1:19" ht="14.25" customHeight="1">
      <c r="A28" s="2941" t="s">
        <v>184</v>
      </c>
      <c r="B28" s="2942" t="s">
        <v>259</v>
      </c>
      <c r="C28" s="2941"/>
      <c r="D28" s="2941">
        <v>31520</v>
      </c>
      <c r="E28" s="2941">
        <v>31410</v>
      </c>
      <c r="F28" s="2941"/>
      <c r="G28" s="2941">
        <v>22940</v>
      </c>
      <c r="L28" s="2941" t="s">
        <v>2939</v>
      </c>
      <c r="M28" s="2941" t="s">
        <v>2940</v>
      </c>
      <c r="N28" s="2941" t="s">
        <v>2941</v>
      </c>
      <c r="O28" s="2941" t="s">
        <v>2942</v>
      </c>
      <c r="P28" s="2941" t="s">
        <v>2943</v>
      </c>
      <c r="Q28" s="2941" t="s">
        <v>2944</v>
      </c>
      <c r="R28" s="2941" t="s">
        <v>2945</v>
      </c>
    </row>
    <row r="29" spans="1:19" ht="14.25" customHeight="1" thickBot="1">
      <c r="A29" s="2949" t="s">
        <v>184</v>
      </c>
      <c r="B29" s="2951" t="s">
        <v>2912</v>
      </c>
      <c r="C29" s="2952"/>
      <c r="D29" s="2952">
        <v>29460</v>
      </c>
      <c r="E29" s="2952">
        <v>28640</v>
      </c>
      <c r="F29" s="2952"/>
      <c r="G29" s="2952">
        <v>21430</v>
      </c>
      <c r="L29" s="2941" t="s">
        <v>2946</v>
      </c>
      <c r="M29" s="2941" t="s">
        <v>2947</v>
      </c>
      <c r="N29" s="2941" t="s">
        <v>2948</v>
      </c>
      <c r="O29" s="2941" t="s">
        <v>2949</v>
      </c>
      <c r="P29" s="2941" t="s">
        <v>2950</v>
      </c>
      <c r="Q29" s="2941" t="s">
        <v>2951</v>
      </c>
      <c r="R29" s="2941" t="s">
        <v>280</v>
      </c>
    </row>
    <row r="30" spans="1:19" ht="14.25" customHeight="1">
      <c r="A30" s="2946" t="s">
        <v>296</v>
      </c>
      <c r="B30" s="2937" t="s">
        <v>2845</v>
      </c>
      <c r="C30" s="2937">
        <v>26890</v>
      </c>
      <c r="D30" s="2937">
        <v>26770</v>
      </c>
      <c r="E30" s="2937">
        <v>25700</v>
      </c>
      <c r="F30" s="2937">
        <v>8180</v>
      </c>
      <c r="G30" s="2953">
        <v>18740</v>
      </c>
      <c r="L30" s="2941" t="s">
        <v>2952</v>
      </c>
      <c r="M30" s="2941" t="s">
        <v>2953</v>
      </c>
      <c r="N30" s="2941" t="s">
        <v>2954</v>
      </c>
      <c r="O30" s="2941" t="s">
        <v>2955</v>
      </c>
      <c r="P30" s="2941" t="s">
        <v>2956</v>
      </c>
      <c r="Q30" s="2941" t="s">
        <v>2957</v>
      </c>
      <c r="R30" s="2941" t="s">
        <v>2958</v>
      </c>
    </row>
    <row r="31" spans="1:19" ht="14.25" customHeight="1">
      <c r="A31" s="2941" t="s">
        <v>296</v>
      </c>
      <c r="B31" s="2942" t="s">
        <v>129</v>
      </c>
      <c r="C31" s="2941">
        <v>24550</v>
      </c>
      <c r="D31" s="2941">
        <v>23990</v>
      </c>
      <c r="E31" s="2941">
        <v>22930</v>
      </c>
      <c r="F31" s="2941">
        <v>7470</v>
      </c>
      <c r="G31" s="2954">
        <v>16790</v>
      </c>
      <c r="L31" s="2941" t="s">
        <v>2959</v>
      </c>
      <c r="M31" s="2941" t="s">
        <v>2960</v>
      </c>
      <c r="N31" s="2941" t="s">
        <v>2961</v>
      </c>
      <c r="O31" s="2941" t="s">
        <v>2962</v>
      </c>
      <c r="P31" s="2941" t="s">
        <v>2963</v>
      </c>
      <c r="Q31" s="2941" t="s">
        <v>2964</v>
      </c>
      <c r="R31" s="2941" t="s">
        <v>2965</v>
      </c>
    </row>
    <row r="32" spans="1:19" ht="14.25" customHeight="1" thickBot="1">
      <c r="A32" s="2941" t="s">
        <v>296</v>
      </c>
      <c r="B32" s="2942" t="s">
        <v>138</v>
      </c>
      <c r="C32" s="2941">
        <v>27210</v>
      </c>
      <c r="D32" s="2941">
        <v>23240</v>
      </c>
      <c r="E32" s="2941">
        <v>23260</v>
      </c>
      <c r="F32" s="2941">
        <v>7130</v>
      </c>
      <c r="G32" s="2954">
        <v>16270</v>
      </c>
      <c r="L32" s="2941" t="s">
        <v>2966</v>
      </c>
      <c r="M32" s="2941" t="s">
        <v>2967</v>
      </c>
      <c r="N32" s="2941" t="s">
        <v>300</v>
      </c>
      <c r="O32" s="2941" t="s">
        <v>2968</v>
      </c>
      <c r="P32" s="2941" t="s">
        <v>299</v>
      </c>
      <c r="Q32" s="2941" t="s">
        <v>2969</v>
      </c>
      <c r="R32" s="2948" t="s">
        <v>2970</v>
      </c>
    </row>
    <row r="33" spans="1:17" ht="14.25" customHeight="1" thickBot="1">
      <c r="A33" s="2941" t="s">
        <v>296</v>
      </c>
      <c r="B33" s="2942" t="s">
        <v>147</v>
      </c>
      <c r="C33" s="2941">
        <v>27300</v>
      </c>
      <c r="D33" s="2941">
        <v>22980</v>
      </c>
      <c r="E33" s="2941">
        <v>24260</v>
      </c>
      <c r="F33" s="2941">
        <v>5860</v>
      </c>
      <c r="G33" s="2954">
        <v>16090</v>
      </c>
      <c r="L33" s="2948" t="s">
        <v>2971</v>
      </c>
      <c r="M33" s="2941" t="s">
        <v>2972</v>
      </c>
      <c r="N33" s="2941" t="s">
        <v>301</v>
      </c>
      <c r="O33" s="2941" t="s">
        <v>2973</v>
      </c>
      <c r="P33" s="2941" t="s">
        <v>2974</v>
      </c>
      <c r="Q33" s="2941" t="s">
        <v>2975</v>
      </c>
    </row>
    <row r="34" spans="1:17" ht="14.25" customHeight="1">
      <c r="A34" s="2941" t="s">
        <v>296</v>
      </c>
      <c r="B34" s="2942" t="s">
        <v>156</v>
      </c>
      <c r="C34" s="2941">
        <v>23090</v>
      </c>
      <c r="D34" s="2941">
        <v>23390</v>
      </c>
      <c r="E34" s="2941">
        <v>23510</v>
      </c>
      <c r="F34" s="2941">
        <v>6700</v>
      </c>
      <c r="G34" s="2954">
        <v>16370</v>
      </c>
      <c r="M34" s="2941" t="s">
        <v>2976</v>
      </c>
      <c r="N34" s="2941" t="s">
        <v>302</v>
      </c>
      <c r="O34" s="2941" t="s">
        <v>2977</v>
      </c>
      <c r="P34" s="2941" t="s">
        <v>2978</v>
      </c>
      <c r="Q34" s="2941" t="s">
        <v>2979</v>
      </c>
    </row>
    <row r="35" spans="1:17" ht="14.25" customHeight="1">
      <c r="A35" s="2941" t="s">
        <v>296</v>
      </c>
      <c r="B35" s="2942" t="s">
        <v>163</v>
      </c>
      <c r="C35" s="2941">
        <v>27270</v>
      </c>
      <c r="D35" s="2941">
        <v>24270</v>
      </c>
      <c r="E35" s="2941">
        <v>24950</v>
      </c>
      <c r="F35" s="2941">
        <v>6600</v>
      </c>
      <c r="G35" s="2954">
        <v>16990</v>
      </c>
      <c r="M35" s="2941" t="s">
        <v>2980</v>
      </c>
      <c r="N35" s="2941" t="s">
        <v>2981</v>
      </c>
      <c r="O35" s="2941" t="s">
        <v>2982</v>
      </c>
      <c r="P35" s="2941" t="s">
        <v>2983</v>
      </c>
      <c r="Q35" s="2941" t="s">
        <v>2984</v>
      </c>
    </row>
    <row r="36" spans="1:17" ht="14.25" customHeight="1">
      <c r="A36" s="2941" t="s">
        <v>296</v>
      </c>
      <c r="B36" s="2942" t="s">
        <v>169</v>
      </c>
      <c r="C36" s="2941">
        <v>23490</v>
      </c>
      <c r="D36" s="2941">
        <v>23020</v>
      </c>
      <c r="E36" s="2941">
        <v>25230</v>
      </c>
      <c r="F36" s="2941">
        <v>6780</v>
      </c>
      <c r="G36" s="2954">
        <v>16120</v>
      </c>
      <c r="M36" s="2941" t="s">
        <v>2985</v>
      </c>
      <c r="N36" s="2941" t="s">
        <v>2986</v>
      </c>
      <c r="O36" s="2941" t="s">
        <v>2987</v>
      </c>
      <c r="P36" s="2941" t="s">
        <v>2988</v>
      </c>
      <c r="Q36" s="2941" t="s">
        <v>2989</v>
      </c>
    </row>
    <row r="37" spans="1:17" ht="14.25" customHeight="1">
      <c r="A37" s="2941" t="s">
        <v>296</v>
      </c>
      <c r="B37" s="2942" t="s">
        <v>176</v>
      </c>
      <c r="C37" s="2941">
        <v>24380</v>
      </c>
      <c r="D37" s="2941">
        <v>22240</v>
      </c>
      <c r="E37" s="2941">
        <v>25980</v>
      </c>
      <c r="F37" s="2941">
        <v>8160</v>
      </c>
      <c r="G37" s="2954">
        <v>15570</v>
      </c>
      <c r="M37" s="2941" t="s">
        <v>2990</v>
      </c>
      <c r="N37" s="2941" t="s">
        <v>2991</v>
      </c>
      <c r="O37" s="2941" t="s">
        <v>2992</v>
      </c>
      <c r="P37" s="2941" t="s">
        <v>2993</v>
      </c>
      <c r="Q37" s="2941" t="s">
        <v>2994</v>
      </c>
    </row>
    <row r="38" spans="1:17" ht="14.25" customHeight="1">
      <c r="A38" s="2941" t="s">
        <v>296</v>
      </c>
      <c r="B38" s="2942" t="s">
        <v>186</v>
      </c>
      <c r="C38" s="2941">
        <v>23120</v>
      </c>
      <c r="D38" s="2941">
        <v>24630</v>
      </c>
      <c r="E38" s="2941">
        <v>25030</v>
      </c>
      <c r="F38" s="2941">
        <v>7710</v>
      </c>
      <c r="G38" s="2954">
        <v>17240</v>
      </c>
      <c r="M38" s="2941" t="s">
        <v>2995</v>
      </c>
      <c r="N38" s="2941" t="s">
        <v>2996</v>
      </c>
      <c r="O38" s="2941" t="s">
        <v>2997</v>
      </c>
      <c r="P38" s="2941" t="s">
        <v>2998</v>
      </c>
      <c r="Q38" s="2941" t="s">
        <v>2999</v>
      </c>
    </row>
    <row r="39" spans="1:17" ht="14.25" customHeight="1">
      <c r="A39" s="2941" t="s">
        <v>296</v>
      </c>
      <c r="B39" s="2942" t="s">
        <v>195</v>
      </c>
      <c r="C39" s="2941">
        <v>22330</v>
      </c>
      <c r="D39" s="2941">
        <v>21140</v>
      </c>
      <c r="E39" s="2941">
        <v>23970</v>
      </c>
      <c r="F39" s="2941">
        <v>7940</v>
      </c>
      <c r="G39" s="2954">
        <v>14790</v>
      </c>
      <c r="M39" s="2941" t="s">
        <v>3000</v>
      </c>
      <c r="N39" s="2941" t="s">
        <v>3001</v>
      </c>
      <c r="O39" s="2941" t="s">
        <v>3002</v>
      </c>
      <c r="P39" s="2941" t="s">
        <v>3003</v>
      </c>
      <c r="Q39" s="2941" t="s">
        <v>3004</v>
      </c>
    </row>
    <row r="40" spans="1:17" ht="14.25" customHeight="1">
      <c r="A40" s="2941" t="s">
        <v>296</v>
      </c>
      <c r="B40" s="2942" t="s">
        <v>202</v>
      </c>
      <c r="C40" s="2941">
        <v>24740</v>
      </c>
      <c r="D40" s="2941">
        <v>24690</v>
      </c>
      <c r="E40" s="2941">
        <v>22610</v>
      </c>
      <c r="F40" s="2941"/>
      <c r="G40" s="2954">
        <v>17280</v>
      </c>
      <c r="M40" s="2941" t="s">
        <v>3005</v>
      </c>
      <c r="N40" s="2941" t="s">
        <v>3006</v>
      </c>
      <c r="O40" s="2941" t="s">
        <v>3007</v>
      </c>
      <c r="P40" s="2941" t="s">
        <v>3008</v>
      </c>
      <c r="Q40" s="2941" t="s">
        <v>3009</v>
      </c>
    </row>
    <row r="41" spans="1:17" ht="14.25" customHeight="1" thickBot="1">
      <c r="A41" s="2941" t="s">
        <v>296</v>
      </c>
      <c r="B41" s="2942" t="s">
        <v>209</v>
      </c>
      <c r="C41" s="2941">
        <v>21220</v>
      </c>
      <c r="D41" s="2941">
        <v>21120</v>
      </c>
      <c r="E41" s="2941">
        <v>22590</v>
      </c>
      <c r="F41" s="2941"/>
      <c r="G41" s="2954">
        <v>14780</v>
      </c>
      <c r="M41" s="2948" t="s">
        <v>3010</v>
      </c>
      <c r="N41" s="2941" t="s">
        <v>3011</v>
      </c>
      <c r="O41" s="2941" t="s">
        <v>3012</v>
      </c>
      <c r="P41" s="2941" t="s">
        <v>3013</v>
      </c>
      <c r="Q41" s="2941" t="s">
        <v>3014</v>
      </c>
    </row>
    <row r="42" spans="1:17" ht="14.25" customHeight="1">
      <c r="A42" s="2941" t="s">
        <v>296</v>
      </c>
      <c r="B42" s="2942" t="s">
        <v>215</v>
      </c>
      <c r="C42" s="2941">
        <v>24800</v>
      </c>
      <c r="D42" s="2941">
        <v>22280</v>
      </c>
      <c r="E42" s="2941">
        <v>24350</v>
      </c>
      <c r="F42" s="2941"/>
      <c r="G42" s="2954">
        <v>15590</v>
      </c>
      <c r="N42" s="2941" t="s">
        <v>3015</v>
      </c>
      <c r="O42" s="2941" t="s">
        <v>3016</v>
      </c>
      <c r="P42" s="2941" t="s">
        <v>3017</v>
      </c>
      <c r="Q42" s="2941" t="s">
        <v>3018</v>
      </c>
    </row>
    <row r="43" spans="1:17" ht="14.25" customHeight="1">
      <c r="A43" s="2941" t="s">
        <v>3019</v>
      </c>
      <c r="B43" s="2942" t="s">
        <v>223</v>
      </c>
      <c r="C43" s="2941">
        <v>21210</v>
      </c>
      <c r="D43" s="2941">
        <v>21160</v>
      </c>
      <c r="E43" s="2941">
        <v>22650</v>
      </c>
      <c r="F43" s="2941"/>
      <c r="G43" s="2954">
        <v>14800</v>
      </c>
      <c r="N43" s="2941" t="s">
        <v>3020</v>
      </c>
      <c r="O43" s="2941" t="s">
        <v>3021</v>
      </c>
      <c r="P43" s="2941" t="s">
        <v>3022</v>
      </c>
      <c r="Q43" s="2941" t="s">
        <v>3023</v>
      </c>
    </row>
    <row r="44" spans="1:17" ht="14.25" customHeight="1" thickBot="1">
      <c r="A44" s="2941" t="s">
        <v>296</v>
      </c>
      <c r="B44" s="2942" t="s">
        <v>231</v>
      </c>
      <c r="C44" s="2941">
        <v>22370</v>
      </c>
      <c r="D44" s="2941">
        <v>23140</v>
      </c>
      <c r="E44" s="2941">
        <v>25090</v>
      </c>
      <c r="F44" s="2941"/>
      <c r="G44" s="2954">
        <v>16190</v>
      </c>
      <c r="N44" s="2941" t="s">
        <v>3024</v>
      </c>
      <c r="O44" s="2941" t="s">
        <v>3025</v>
      </c>
      <c r="P44" s="2948" t="s">
        <v>3026</v>
      </c>
      <c r="Q44" s="2941" t="s">
        <v>3027</v>
      </c>
    </row>
    <row r="45" spans="1:17" ht="14.25" customHeight="1" thickBot="1">
      <c r="A45" s="2941" t="s">
        <v>296</v>
      </c>
      <c r="B45" s="2942" t="s">
        <v>236</v>
      </c>
      <c r="C45" s="2941">
        <v>21240</v>
      </c>
      <c r="D45" s="2941">
        <v>27050</v>
      </c>
      <c r="E45" s="2941">
        <v>28000</v>
      </c>
      <c r="F45" s="2941"/>
      <c r="G45" s="2954">
        <v>18940</v>
      </c>
      <c r="N45" s="2941" t="s">
        <v>3028</v>
      </c>
      <c r="O45" s="2948" t="s">
        <v>3029</v>
      </c>
      <c r="Q45" s="2941" t="s">
        <v>3030</v>
      </c>
    </row>
    <row r="46" spans="1:17" ht="14.25" customHeight="1">
      <c r="A46" s="2941" t="s">
        <v>296</v>
      </c>
      <c r="B46" s="2942" t="s">
        <v>245</v>
      </c>
      <c r="C46" s="2941">
        <v>23240</v>
      </c>
      <c r="D46" s="2941">
        <v>23000</v>
      </c>
      <c r="E46" s="2941">
        <v>24980</v>
      </c>
      <c r="F46" s="2941"/>
      <c r="G46" s="2954">
        <v>16100</v>
      </c>
      <c r="N46" s="2941" t="s">
        <v>3031</v>
      </c>
      <c r="Q46" s="2941" t="s">
        <v>3032</v>
      </c>
    </row>
    <row r="47" spans="1:17" ht="14.25" customHeight="1">
      <c r="A47" s="2941" t="s">
        <v>296</v>
      </c>
      <c r="B47" s="2942" t="s">
        <v>252</v>
      </c>
      <c r="C47" s="2941">
        <v>27150</v>
      </c>
      <c r="D47" s="2941">
        <v>23310</v>
      </c>
      <c r="E47" s="2941">
        <v>25150</v>
      </c>
      <c r="F47" s="2941"/>
      <c r="G47" s="2954">
        <v>16310</v>
      </c>
      <c r="N47" s="2941" t="s">
        <v>3033</v>
      </c>
      <c r="Q47" s="2941" t="s">
        <v>3034</v>
      </c>
    </row>
    <row r="48" spans="1:17" ht="14.25" customHeight="1">
      <c r="A48" s="2941" t="s">
        <v>296</v>
      </c>
      <c r="B48" s="2942" t="s">
        <v>260</v>
      </c>
      <c r="C48" s="2941">
        <v>23100</v>
      </c>
      <c r="D48" s="2941">
        <v>21110</v>
      </c>
      <c r="E48" s="2941">
        <v>23080</v>
      </c>
      <c r="F48" s="2941"/>
      <c r="G48" s="2954">
        <v>14780</v>
      </c>
      <c r="N48" s="2941" t="s">
        <v>3035</v>
      </c>
      <c r="Q48" s="2941" t="s">
        <v>3036</v>
      </c>
    </row>
    <row r="49" spans="1:17" ht="14.25" customHeight="1">
      <c r="A49" s="2941" t="s">
        <v>296</v>
      </c>
      <c r="B49" s="2942" t="s">
        <v>267</v>
      </c>
      <c r="C49" s="2941">
        <v>23400</v>
      </c>
      <c r="D49" s="2941">
        <v>22920</v>
      </c>
      <c r="E49" s="2941">
        <v>24900</v>
      </c>
      <c r="F49" s="2941"/>
      <c r="G49" s="2954">
        <v>16040</v>
      </c>
      <c r="N49" s="2941" t="s">
        <v>3037</v>
      </c>
      <c r="Q49" s="2941" t="s">
        <v>3038</v>
      </c>
    </row>
    <row r="50" spans="1:17" ht="14.25" customHeight="1">
      <c r="A50" s="2941" t="s">
        <v>296</v>
      </c>
      <c r="B50" s="2942" t="s">
        <v>2915</v>
      </c>
      <c r="C50" s="2941">
        <v>21200</v>
      </c>
      <c r="D50" s="2941">
        <v>26540</v>
      </c>
      <c r="E50" s="2941">
        <v>23200</v>
      </c>
      <c r="F50" s="2941"/>
      <c r="G50" s="2954">
        <v>18580</v>
      </c>
      <c r="N50" s="2941" t="s">
        <v>3039</v>
      </c>
      <c r="Q50" s="2942" t="s">
        <v>3040</v>
      </c>
    </row>
    <row r="51" spans="1:17" ht="14.25" customHeight="1" thickBot="1">
      <c r="A51" s="2941" t="s">
        <v>296</v>
      </c>
      <c r="B51" s="2942" t="s">
        <v>2917</v>
      </c>
      <c r="C51" s="2941">
        <v>23000</v>
      </c>
      <c r="D51" s="2941">
        <v>23460</v>
      </c>
      <c r="E51" s="2941">
        <v>25290</v>
      </c>
      <c r="F51" s="2941"/>
      <c r="G51" s="2954">
        <v>16420</v>
      </c>
      <c r="N51" s="2941" t="s">
        <v>3041</v>
      </c>
      <c r="Q51" s="2948" t="s">
        <v>3042</v>
      </c>
    </row>
    <row r="52" spans="1:17" ht="14.25" customHeight="1">
      <c r="A52" s="2941" t="s">
        <v>296</v>
      </c>
      <c r="B52" s="2942" t="s">
        <v>2921</v>
      </c>
      <c r="C52" s="2941">
        <v>26660</v>
      </c>
      <c r="D52" s="2941">
        <v>22350</v>
      </c>
      <c r="E52" s="2941">
        <v>22920</v>
      </c>
      <c r="F52" s="2941"/>
      <c r="G52" s="2954">
        <v>15640</v>
      </c>
      <c r="N52" s="2941" t="s">
        <v>3043</v>
      </c>
    </row>
    <row r="53" spans="1:17" ht="14.25" customHeight="1">
      <c r="A53" s="2941" t="s">
        <v>296</v>
      </c>
      <c r="B53" s="2942" t="s">
        <v>2926</v>
      </c>
      <c r="C53" s="2941">
        <v>23580</v>
      </c>
      <c r="D53" s="2941"/>
      <c r="E53" s="2941">
        <v>24280</v>
      </c>
      <c r="F53" s="2941"/>
      <c r="G53" s="2954"/>
      <c r="N53" s="2941" t="s">
        <v>3044</v>
      </c>
    </row>
    <row r="54" spans="1:17" ht="14.25" customHeight="1" thickBot="1">
      <c r="A54" s="2955" t="s">
        <v>296</v>
      </c>
      <c r="B54" s="2947" t="s">
        <v>2929</v>
      </c>
      <c r="C54" s="2948">
        <v>22460</v>
      </c>
      <c r="D54" s="2948"/>
      <c r="E54" s="2948"/>
      <c r="F54" s="2948"/>
      <c r="G54" s="2956"/>
      <c r="N54" s="2941" t="s">
        <v>3045</v>
      </c>
    </row>
    <row r="55" spans="1:17" ht="14.25" customHeight="1">
      <c r="A55" s="2946" t="s">
        <v>110</v>
      </c>
      <c r="B55" s="2937" t="s">
        <v>3046</v>
      </c>
      <c r="C55" s="2941">
        <v>21970</v>
      </c>
      <c r="D55" s="2941">
        <v>20370</v>
      </c>
      <c r="E55" s="2941">
        <v>20180</v>
      </c>
      <c r="F55" s="2941">
        <v>5730</v>
      </c>
      <c r="G55" s="2941">
        <v>13820</v>
      </c>
      <c r="N55" s="2941" t="s">
        <v>3047</v>
      </c>
    </row>
    <row r="56" spans="1:17" ht="14.25" customHeight="1">
      <c r="A56" s="2941" t="s">
        <v>110</v>
      </c>
      <c r="B56" s="2941" t="s">
        <v>130</v>
      </c>
      <c r="C56" s="2941">
        <v>20470</v>
      </c>
      <c r="D56" s="2941">
        <v>20700</v>
      </c>
      <c r="E56" s="2941">
        <v>20380</v>
      </c>
      <c r="F56" s="2941">
        <v>4760</v>
      </c>
      <c r="G56" s="2941">
        <v>14050</v>
      </c>
      <c r="N56" s="2941" t="s">
        <v>3048</v>
      </c>
    </row>
    <row r="57" spans="1:17" ht="14.25" customHeight="1">
      <c r="A57" s="2941" t="s">
        <v>110</v>
      </c>
      <c r="B57" s="2941" t="s">
        <v>139</v>
      </c>
      <c r="C57" s="2941">
        <v>20790</v>
      </c>
      <c r="D57" s="2941">
        <v>21370</v>
      </c>
      <c r="E57" s="2941">
        <v>20890</v>
      </c>
      <c r="F57" s="2941">
        <v>4910</v>
      </c>
      <c r="G57" s="2941">
        <v>14510</v>
      </c>
      <c r="N57" s="2941" t="s">
        <v>3049</v>
      </c>
    </row>
    <row r="58" spans="1:17" ht="14.25" customHeight="1">
      <c r="A58" s="2941" t="s">
        <v>110</v>
      </c>
      <c r="B58" s="2941" t="s">
        <v>148</v>
      </c>
      <c r="C58" s="2941">
        <v>21460</v>
      </c>
      <c r="D58" s="2941">
        <v>20920</v>
      </c>
      <c r="E58" s="2941">
        <v>23410</v>
      </c>
      <c r="F58" s="2941">
        <v>5100</v>
      </c>
      <c r="G58" s="2941">
        <v>14200</v>
      </c>
      <c r="N58" s="2941" t="s">
        <v>3050</v>
      </c>
    </row>
    <row r="59" spans="1:17" ht="14.25" customHeight="1">
      <c r="A59" s="2941" t="s">
        <v>110</v>
      </c>
      <c r="B59" s="2941" t="s">
        <v>157</v>
      </c>
      <c r="C59" s="2941">
        <v>21000</v>
      </c>
      <c r="D59" s="2941">
        <v>21550</v>
      </c>
      <c r="E59" s="2941">
        <v>21150</v>
      </c>
      <c r="F59" s="2941">
        <v>5250</v>
      </c>
      <c r="G59" s="2941">
        <v>14630</v>
      </c>
      <c r="N59" s="2941" t="s">
        <v>3051</v>
      </c>
    </row>
    <row r="60" spans="1:17" ht="14.25" customHeight="1">
      <c r="A60" s="2941" t="s">
        <v>110</v>
      </c>
      <c r="B60" s="2941" t="s">
        <v>164</v>
      </c>
      <c r="C60" s="2941">
        <v>21640</v>
      </c>
      <c r="D60" s="2941">
        <v>21260</v>
      </c>
      <c r="E60" s="2941">
        <v>24040</v>
      </c>
      <c r="F60" s="2941">
        <v>4470</v>
      </c>
      <c r="G60" s="2941">
        <v>14430</v>
      </c>
      <c r="N60" s="2941" t="s">
        <v>3052</v>
      </c>
    </row>
    <row r="61" spans="1:17" ht="14.25" customHeight="1">
      <c r="A61" s="2941" t="s">
        <v>110</v>
      </c>
      <c r="B61" s="2941" t="s">
        <v>170</v>
      </c>
      <c r="C61" s="2941">
        <v>21330</v>
      </c>
      <c r="D61" s="2941">
        <v>18640</v>
      </c>
      <c r="E61" s="2941">
        <v>21190</v>
      </c>
      <c r="F61" s="2941">
        <v>4180</v>
      </c>
      <c r="G61" s="2941">
        <v>12650</v>
      </c>
      <c r="N61" s="2941" t="s">
        <v>3053</v>
      </c>
    </row>
    <row r="62" spans="1:17" ht="14.25" customHeight="1">
      <c r="A62" s="2941" t="s">
        <v>110</v>
      </c>
      <c r="B62" s="2941" t="s">
        <v>177</v>
      </c>
      <c r="C62" s="2941">
        <v>18710</v>
      </c>
      <c r="D62" s="2941">
        <v>19400</v>
      </c>
      <c r="E62" s="2941">
        <v>23750</v>
      </c>
      <c r="F62" s="2941">
        <v>4860</v>
      </c>
      <c r="G62" s="2941">
        <v>13170</v>
      </c>
      <c r="N62" s="2941" t="s">
        <v>3054</v>
      </c>
    </row>
    <row r="63" spans="1:17" ht="14.25" customHeight="1">
      <c r="A63" s="2941" t="s">
        <v>110</v>
      </c>
      <c r="B63" s="2941" t="s">
        <v>187</v>
      </c>
      <c r="C63" s="2941">
        <v>19480</v>
      </c>
      <c r="D63" s="2941">
        <v>16830</v>
      </c>
      <c r="E63" s="2941">
        <v>21590</v>
      </c>
      <c r="F63" s="2941">
        <v>4560</v>
      </c>
      <c r="G63" s="2941">
        <v>11420</v>
      </c>
      <c r="N63" s="2941" t="s">
        <v>3055</v>
      </c>
    </row>
    <row r="64" spans="1:17" ht="14.25" customHeight="1" thickBot="1">
      <c r="A64" s="2941" t="s">
        <v>110</v>
      </c>
      <c r="B64" s="2941" t="s">
        <v>196</v>
      </c>
      <c r="C64" s="2941">
        <v>16920</v>
      </c>
      <c r="D64" s="2941">
        <v>19190</v>
      </c>
      <c r="E64" s="2941">
        <v>22200</v>
      </c>
      <c r="F64" s="2941">
        <v>4390</v>
      </c>
      <c r="G64" s="2941">
        <v>13030</v>
      </c>
      <c r="N64" s="2948" t="s">
        <v>3056</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2927</v>
      </c>
      <c r="C78" s="2941">
        <v>19820</v>
      </c>
      <c r="D78" s="2941">
        <v>19780</v>
      </c>
      <c r="E78" s="2941">
        <v>18560</v>
      </c>
      <c r="F78" s="2941"/>
      <c r="G78" s="2941">
        <v>13430</v>
      </c>
    </row>
    <row r="79" spans="1:7" s="2775" customFormat="1" ht="14.25" customHeight="1">
      <c r="A79" s="2941" t="s">
        <v>110</v>
      </c>
      <c r="B79" s="2941" t="s">
        <v>2930</v>
      </c>
      <c r="C79" s="2941">
        <v>21660</v>
      </c>
      <c r="D79" s="2941">
        <v>18000</v>
      </c>
      <c r="E79" s="2941">
        <v>22570</v>
      </c>
      <c r="F79" s="2941"/>
      <c r="G79" s="2941">
        <v>12220</v>
      </c>
    </row>
    <row r="80" spans="1:7" s="2775" customFormat="1" ht="14.25" customHeight="1">
      <c r="A80" s="2941" t="s">
        <v>110</v>
      </c>
      <c r="B80" s="2941" t="s">
        <v>2934</v>
      </c>
      <c r="C80" s="2941">
        <v>19850</v>
      </c>
      <c r="D80" s="2941"/>
      <c r="E80" s="2941">
        <v>21700</v>
      </c>
      <c r="F80" s="2941"/>
      <c r="G80" s="2941"/>
    </row>
    <row r="81" spans="1:7" s="2775" customFormat="1" ht="14.25" customHeight="1">
      <c r="A81" s="2941" t="s">
        <v>110</v>
      </c>
      <c r="B81" s="2941" t="s">
        <v>2939</v>
      </c>
      <c r="C81" s="2941">
        <v>18080</v>
      </c>
      <c r="D81" s="2941"/>
      <c r="E81" s="2941">
        <v>20900</v>
      </c>
      <c r="F81" s="2941"/>
      <c r="G81" s="2941"/>
    </row>
    <row r="82" spans="1:7" s="2775" customFormat="1" ht="14.25" customHeight="1">
      <c r="A82" s="2941" t="s">
        <v>110</v>
      </c>
      <c r="B82" s="2941" t="s">
        <v>2946</v>
      </c>
      <c r="C82" s="2941"/>
      <c r="D82" s="2941"/>
      <c r="E82" s="2941">
        <v>20840</v>
      </c>
      <c r="F82" s="2941"/>
      <c r="G82" s="2941"/>
    </row>
    <row r="83" spans="1:7" s="2775" customFormat="1" ht="14.25" customHeight="1">
      <c r="A83" s="2941" t="s">
        <v>110</v>
      </c>
      <c r="B83" s="2941" t="s">
        <v>3057</v>
      </c>
      <c r="C83" s="2941"/>
      <c r="D83" s="2941"/>
      <c r="E83" s="2941"/>
      <c r="F83" s="2941">
        <v>4770</v>
      </c>
      <c r="G83" s="2941"/>
    </row>
    <row r="84" spans="1:7" s="2775" customFormat="1" ht="14.25" customHeight="1">
      <c r="A84" s="2941" t="s">
        <v>110</v>
      </c>
      <c r="B84" s="2941" t="s">
        <v>3058</v>
      </c>
      <c r="C84" s="2941"/>
      <c r="D84" s="2941"/>
      <c r="E84" s="2941"/>
      <c r="F84" s="2941">
        <v>4600</v>
      </c>
      <c r="G84" s="2941"/>
    </row>
    <row r="85" spans="1:7" s="2775" customFormat="1" ht="14.25" customHeight="1">
      <c r="A85" s="2941" t="s">
        <v>110</v>
      </c>
      <c r="B85" s="2941" t="s">
        <v>3059</v>
      </c>
      <c r="C85" s="2941"/>
      <c r="D85" s="2941"/>
      <c r="E85" s="2941"/>
      <c r="F85" s="2941">
        <v>4680</v>
      </c>
      <c r="G85" s="2941"/>
    </row>
    <row r="86" spans="1:7" s="2775" customFormat="1" ht="14.25" customHeight="1" thickBot="1">
      <c r="A86" s="2949" t="s">
        <v>110</v>
      </c>
      <c r="B86" s="2951" t="s">
        <v>3060</v>
      </c>
      <c r="C86" s="2952">
        <v>16610</v>
      </c>
      <c r="D86" s="2952">
        <v>16540</v>
      </c>
      <c r="E86" s="2952">
        <v>18850</v>
      </c>
      <c r="F86" s="2952"/>
      <c r="G86" s="2952">
        <v>11220</v>
      </c>
    </row>
    <row r="87" spans="1:7" s="2775" customFormat="1" ht="14.25" customHeight="1">
      <c r="A87" s="2946" t="s">
        <v>303</v>
      </c>
      <c r="B87" s="2937" t="s">
        <v>3061</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2940</v>
      </c>
      <c r="C113" s="2941">
        <v>15520</v>
      </c>
      <c r="D113" s="2941">
        <v>15450</v>
      </c>
      <c r="E113" s="2941"/>
      <c r="F113" s="2941"/>
      <c r="G113" s="2954">
        <v>10210</v>
      </c>
    </row>
    <row r="114" spans="1:7" s="2775" customFormat="1" ht="14.25" customHeight="1">
      <c r="A114" s="2941" t="s">
        <v>303</v>
      </c>
      <c r="B114" s="2941" t="s">
        <v>2947</v>
      </c>
      <c r="C114" s="2941">
        <v>13110</v>
      </c>
      <c r="D114" s="2941">
        <v>13050</v>
      </c>
      <c r="E114" s="2941"/>
      <c r="F114" s="2941"/>
      <c r="G114" s="2954">
        <v>8620</v>
      </c>
    </row>
    <row r="115" spans="1:7" s="2775" customFormat="1" ht="14.25" customHeight="1">
      <c r="A115" s="2941" t="s">
        <v>303</v>
      </c>
      <c r="B115" s="2941" t="s">
        <v>2953</v>
      </c>
      <c r="C115" s="2941">
        <v>12460</v>
      </c>
      <c r="D115" s="2941">
        <v>12390</v>
      </c>
      <c r="E115" s="2941"/>
      <c r="F115" s="2941"/>
      <c r="G115" s="2954">
        <v>8190</v>
      </c>
    </row>
    <row r="116" spans="1:7" s="2775" customFormat="1" ht="14.25" customHeight="1">
      <c r="A116" s="2941" t="s">
        <v>303</v>
      </c>
      <c r="B116" s="2941" t="s">
        <v>2960</v>
      </c>
      <c r="C116" s="2941">
        <v>13580</v>
      </c>
      <c r="D116" s="2941">
        <v>13520</v>
      </c>
      <c r="E116" s="2941"/>
      <c r="F116" s="2941"/>
      <c r="G116" s="2954">
        <v>8930</v>
      </c>
    </row>
    <row r="117" spans="1:7" s="2775" customFormat="1" ht="14.25" customHeight="1">
      <c r="A117" s="2941" t="s">
        <v>303</v>
      </c>
      <c r="B117" s="2941" t="s">
        <v>2967</v>
      </c>
      <c r="C117" s="2941">
        <v>17120</v>
      </c>
      <c r="D117" s="2941">
        <v>17040</v>
      </c>
      <c r="E117" s="2941"/>
      <c r="F117" s="2941"/>
      <c r="G117" s="2954">
        <v>11260</v>
      </c>
    </row>
    <row r="118" spans="1:7" s="2775" customFormat="1" ht="14.25" customHeight="1">
      <c r="A118" s="2941" t="s">
        <v>303</v>
      </c>
      <c r="B118" s="2941" t="s">
        <v>2972</v>
      </c>
      <c r="C118" s="2941">
        <v>14860</v>
      </c>
      <c r="D118" s="2941">
        <v>14790</v>
      </c>
      <c r="E118" s="2941"/>
      <c r="F118" s="2941"/>
      <c r="G118" s="2954">
        <v>9780</v>
      </c>
    </row>
    <row r="119" spans="1:7" s="2775" customFormat="1" ht="14.25" customHeight="1">
      <c r="A119" s="2941" t="s">
        <v>303</v>
      </c>
      <c r="B119" s="2941" t="s">
        <v>2976</v>
      </c>
      <c r="C119" s="2941">
        <v>16470</v>
      </c>
      <c r="D119" s="2941">
        <v>16400</v>
      </c>
      <c r="E119" s="2941"/>
      <c r="F119" s="2941"/>
      <c r="G119" s="2954">
        <v>10840</v>
      </c>
    </row>
    <row r="120" spans="1:7" s="2775" customFormat="1" ht="14.25" customHeight="1">
      <c r="A120" s="2941" t="s">
        <v>303</v>
      </c>
      <c r="B120" s="2941" t="s">
        <v>3062</v>
      </c>
      <c r="C120" s="2941"/>
      <c r="D120" s="2941"/>
      <c r="E120" s="2941"/>
      <c r="F120" s="2941">
        <v>4160</v>
      </c>
      <c r="G120" s="2954"/>
    </row>
    <row r="121" spans="1:7" s="2775" customFormat="1" ht="14.25" customHeight="1">
      <c r="A121" s="2941" t="s">
        <v>303</v>
      </c>
      <c r="B121" s="2941" t="s">
        <v>3063</v>
      </c>
      <c r="C121" s="2941"/>
      <c r="D121" s="2941"/>
      <c r="E121" s="2941"/>
      <c r="F121" s="2941">
        <v>3880</v>
      </c>
      <c r="G121" s="2954"/>
    </row>
    <row r="122" spans="1:7" s="2775" customFormat="1" ht="14.25" customHeight="1">
      <c r="A122" s="2941" t="s">
        <v>303</v>
      </c>
      <c r="B122" s="2941" t="s">
        <v>3064</v>
      </c>
      <c r="C122" s="2941">
        <v>13750</v>
      </c>
      <c r="D122" s="2941">
        <v>13680</v>
      </c>
      <c r="E122" s="2941">
        <v>16460</v>
      </c>
      <c r="F122" s="2941">
        <v>2880</v>
      </c>
      <c r="G122" s="2954">
        <v>9040</v>
      </c>
    </row>
    <row r="123" spans="1:7" s="2775" customFormat="1" ht="14.25" customHeight="1">
      <c r="A123" s="2941" t="s">
        <v>303</v>
      </c>
      <c r="B123" s="2941" t="s">
        <v>2995</v>
      </c>
      <c r="C123" s="2941">
        <v>13590</v>
      </c>
      <c r="D123" s="2941">
        <v>13520</v>
      </c>
      <c r="E123" s="2941">
        <v>16290</v>
      </c>
      <c r="F123" s="2941">
        <v>2790</v>
      </c>
      <c r="G123" s="2954">
        <v>8930</v>
      </c>
    </row>
    <row r="124" spans="1:7" s="2775" customFormat="1" ht="14.25" customHeight="1">
      <c r="A124" s="2941" t="s">
        <v>303</v>
      </c>
      <c r="B124" s="2941" t="s">
        <v>3000</v>
      </c>
      <c r="C124" s="2941">
        <v>13400</v>
      </c>
      <c r="D124" s="2941">
        <v>13320</v>
      </c>
      <c r="E124" s="2941">
        <v>16100</v>
      </c>
      <c r="F124" s="2941">
        <v>2320</v>
      </c>
      <c r="G124" s="2954">
        <v>8800</v>
      </c>
    </row>
    <row r="125" spans="1:7" s="2775" customFormat="1" ht="14.25" customHeight="1">
      <c r="A125" s="2941" t="s">
        <v>303</v>
      </c>
      <c r="B125" s="2941" t="s">
        <v>3005</v>
      </c>
      <c r="C125" s="2941">
        <v>12860</v>
      </c>
      <c r="D125" s="2941">
        <v>12790</v>
      </c>
      <c r="E125" s="2941">
        <v>15370</v>
      </c>
      <c r="F125" s="2941">
        <v>2280</v>
      </c>
      <c r="G125" s="2954">
        <v>8450</v>
      </c>
    </row>
    <row r="126" spans="1:7" s="2775" customFormat="1" ht="14.25" customHeight="1" thickBot="1">
      <c r="A126" s="2955" t="s">
        <v>303</v>
      </c>
      <c r="B126" s="2948" t="s">
        <v>3010</v>
      </c>
      <c r="C126" s="2948">
        <v>12960</v>
      </c>
      <c r="D126" s="2948">
        <v>12890</v>
      </c>
      <c r="E126" s="2948">
        <v>15530</v>
      </c>
      <c r="F126" s="2948">
        <v>2910</v>
      </c>
      <c r="G126" s="2956">
        <v>8520</v>
      </c>
    </row>
    <row r="127" spans="1:7" s="2775" customFormat="1" ht="14.25" customHeight="1">
      <c r="A127" s="2946" t="s">
        <v>29</v>
      </c>
      <c r="B127" s="2937" t="s">
        <v>3065</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3066</v>
      </c>
      <c r="C148" s="2941">
        <v>10370</v>
      </c>
      <c r="D148" s="2941">
        <v>10310</v>
      </c>
      <c r="E148" s="2941">
        <v>12970</v>
      </c>
      <c r="F148" s="2941"/>
      <c r="G148" s="2941">
        <v>6630</v>
      </c>
    </row>
    <row r="149" spans="1:7" s="2775" customFormat="1" ht="14.25" customHeight="1">
      <c r="A149" s="2941" t="s">
        <v>29</v>
      </c>
      <c r="B149" s="2941" t="s">
        <v>3067</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2941</v>
      </c>
      <c r="C153" s="2941">
        <v>10880</v>
      </c>
      <c r="D153" s="2941">
        <v>10820</v>
      </c>
      <c r="E153" s="2941">
        <v>13660</v>
      </c>
      <c r="F153" s="2941">
        <v>2260</v>
      </c>
      <c r="G153" s="2941">
        <v>6970</v>
      </c>
    </row>
    <row r="154" spans="1:7" s="2775" customFormat="1" ht="14.25" customHeight="1">
      <c r="A154" s="2941" t="s">
        <v>29</v>
      </c>
      <c r="B154" s="2941" t="s">
        <v>3068</v>
      </c>
      <c r="C154" s="2941">
        <v>11220</v>
      </c>
      <c r="D154" s="2941">
        <v>11160</v>
      </c>
      <c r="E154" s="2941">
        <v>14130</v>
      </c>
      <c r="F154" s="2941">
        <v>2230</v>
      </c>
      <c r="G154" s="2941">
        <v>7180</v>
      </c>
    </row>
    <row r="155" spans="1:7" s="2775" customFormat="1" ht="14.25" customHeight="1">
      <c r="A155" s="2941" t="s">
        <v>29</v>
      </c>
      <c r="B155" s="2941" t="s">
        <v>2954</v>
      </c>
      <c r="C155" s="2941">
        <v>10430</v>
      </c>
      <c r="D155" s="2941">
        <v>10380</v>
      </c>
      <c r="E155" s="2941">
        <v>13140</v>
      </c>
      <c r="F155" s="2941">
        <v>2080</v>
      </c>
      <c r="G155" s="2941">
        <v>6650</v>
      </c>
    </row>
    <row r="156" spans="1:7" s="2775" customFormat="1" ht="14.25" customHeight="1">
      <c r="A156" s="2941" t="s">
        <v>29</v>
      </c>
      <c r="B156" s="2941" t="s">
        <v>3069</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3070</v>
      </c>
      <c r="C160" s="2941">
        <v>11180</v>
      </c>
      <c r="D160" s="2941">
        <v>11140</v>
      </c>
      <c r="E160" s="2941">
        <v>14050</v>
      </c>
      <c r="F160" s="2941">
        <v>2270</v>
      </c>
      <c r="G160" s="2941">
        <v>7170</v>
      </c>
    </row>
    <row r="161" spans="1:7" s="2775" customFormat="1" ht="14.25" customHeight="1">
      <c r="A161" s="2941" t="s">
        <v>29</v>
      </c>
      <c r="B161" s="2941" t="s">
        <v>2986</v>
      </c>
      <c r="C161" s="2941">
        <v>11160</v>
      </c>
      <c r="D161" s="2941">
        <v>11120</v>
      </c>
      <c r="E161" s="2941">
        <v>14020</v>
      </c>
      <c r="F161" s="2941">
        <v>2150</v>
      </c>
      <c r="G161" s="2941">
        <v>7160</v>
      </c>
    </row>
    <row r="162" spans="1:7" s="2775" customFormat="1" ht="14.25" customHeight="1">
      <c r="A162" s="2941" t="s">
        <v>29</v>
      </c>
      <c r="B162" s="2941" t="s">
        <v>2991</v>
      </c>
      <c r="C162" s="2941">
        <v>9620</v>
      </c>
      <c r="D162" s="2941">
        <v>9570</v>
      </c>
      <c r="E162" s="2941">
        <v>12320</v>
      </c>
      <c r="F162" s="2941">
        <v>2010</v>
      </c>
      <c r="G162" s="2941">
        <v>6160</v>
      </c>
    </row>
    <row r="163" spans="1:7" s="2775" customFormat="1" ht="14.25" customHeight="1">
      <c r="A163" s="2941" t="s">
        <v>29</v>
      </c>
      <c r="B163" s="2941" t="s">
        <v>2996</v>
      </c>
      <c r="C163" s="2941">
        <v>9320</v>
      </c>
      <c r="D163" s="2941">
        <v>9270</v>
      </c>
      <c r="E163" s="2941">
        <v>11790</v>
      </c>
      <c r="F163" s="2941">
        <v>1920</v>
      </c>
      <c r="G163" s="2941">
        <v>5960</v>
      </c>
    </row>
    <row r="164" spans="1:7" s="2775" customFormat="1" ht="14.25" customHeight="1">
      <c r="A164" s="2941" t="s">
        <v>29</v>
      </c>
      <c r="B164" s="2941" t="s">
        <v>3001</v>
      </c>
      <c r="C164" s="2941"/>
      <c r="D164" s="2941"/>
      <c r="E164" s="2941"/>
      <c r="F164" s="2941">
        <v>1980</v>
      </c>
      <c r="G164" s="2941"/>
    </row>
    <row r="165" spans="1:7" s="2775" customFormat="1" ht="14.25" customHeight="1">
      <c r="A165" s="2941" t="s">
        <v>29</v>
      </c>
      <c r="B165" s="2941" t="s">
        <v>3071</v>
      </c>
      <c r="C165" s="2941">
        <v>11060</v>
      </c>
      <c r="D165" s="2941">
        <v>11030</v>
      </c>
      <c r="E165" s="2941">
        <v>13850</v>
      </c>
      <c r="F165" s="2941">
        <v>2170</v>
      </c>
      <c r="G165" s="2941">
        <v>7090</v>
      </c>
    </row>
    <row r="166" spans="1:7" s="2775" customFormat="1" ht="14.25" customHeight="1">
      <c r="A166" s="2941" t="s">
        <v>29</v>
      </c>
      <c r="B166" s="2941" t="s">
        <v>3011</v>
      </c>
      <c r="C166" s="2941">
        <v>11050</v>
      </c>
      <c r="D166" s="2941">
        <v>11010</v>
      </c>
      <c r="E166" s="2941">
        <v>13920</v>
      </c>
      <c r="F166" s="2941">
        <v>2140</v>
      </c>
      <c r="G166" s="2941">
        <v>7080</v>
      </c>
    </row>
    <row r="167" spans="1:7" s="2775" customFormat="1" ht="14.25" customHeight="1">
      <c r="A167" s="2941" t="s">
        <v>29</v>
      </c>
      <c r="B167" s="2941" t="s">
        <v>3015</v>
      </c>
      <c r="C167" s="2941">
        <v>10930</v>
      </c>
      <c r="D167" s="2941">
        <v>10890</v>
      </c>
      <c r="E167" s="2941">
        <v>13790</v>
      </c>
      <c r="F167" s="2941">
        <v>2010</v>
      </c>
      <c r="G167" s="2941">
        <v>7000</v>
      </c>
    </row>
    <row r="168" spans="1:7" s="2775" customFormat="1" ht="14.25" customHeight="1">
      <c r="A168" s="2941" t="s">
        <v>29</v>
      </c>
      <c r="B168" s="2941" t="s">
        <v>3020</v>
      </c>
      <c r="C168" s="2941">
        <v>9420</v>
      </c>
      <c r="D168" s="2941">
        <v>9380</v>
      </c>
      <c r="E168" s="2941">
        <v>11970</v>
      </c>
      <c r="F168" s="2941"/>
      <c r="G168" s="2941">
        <v>6040</v>
      </c>
    </row>
    <row r="169" spans="1:7" s="2775" customFormat="1" ht="14.25" customHeight="1">
      <c r="A169" s="2941" t="s">
        <v>29</v>
      </c>
      <c r="B169" s="2941" t="s">
        <v>3072</v>
      </c>
      <c r="C169" s="2941"/>
      <c r="D169" s="2941"/>
      <c r="E169" s="2941"/>
      <c r="F169" s="2941">
        <v>2880</v>
      </c>
      <c r="G169" s="2941"/>
    </row>
    <row r="170" spans="1:7" s="2775" customFormat="1" ht="14.25" customHeight="1">
      <c r="A170" s="2941" t="s">
        <v>29</v>
      </c>
      <c r="B170" s="2941" t="s">
        <v>3028</v>
      </c>
      <c r="C170" s="2941"/>
      <c r="D170" s="2941"/>
      <c r="E170" s="2941"/>
      <c r="F170" s="2941">
        <v>2880</v>
      </c>
      <c r="G170" s="2941"/>
    </row>
    <row r="171" spans="1:7" s="2775" customFormat="1" ht="14.25" customHeight="1">
      <c r="A171" s="2941" t="s">
        <v>29</v>
      </c>
      <c r="B171" s="2941" t="s">
        <v>3031</v>
      </c>
      <c r="C171" s="2941"/>
      <c r="D171" s="2941"/>
      <c r="E171" s="2941"/>
      <c r="F171" s="2941">
        <v>2880</v>
      </c>
      <c r="G171" s="2941"/>
    </row>
    <row r="172" spans="1:7" s="2775" customFormat="1" ht="14.25" customHeight="1">
      <c r="A172" s="2941" t="s">
        <v>29</v>
      </c>
      <c r="B172" s="2941" t="s">
        <v>3033</v>
      </c>
      <c r="C172" s="2941"/>
      <c r="D172" s="2941"/>
      <c r="E172" s="2941"/>
      <c r="F172" s="2941">
        <v>2880</v>
      </c>
      <c r="G172" s="2941"/>
    </row>
    <row r="173" spans="1:7" s="2775" customFormat="1" ht="14.25" customHeight="1">
      <c r="A173" s="2941" t="s">
        <v>29</v>
      </c>
      <c r="B173" s="2941" t="s">
        <v>3035</v>
      </c>
      <c r="C173" s="2941"/>
      <c r="D173" s="2941"/>
      <c r="E173" s="2941"/>
      <c r="F173" s="2941">
        <v>2150</v>
      </c>
      <c r="G173" s="2941"/>
    </row>
    <row r="174" spans="1:7" s="2775" customFormat="1" ht="14.25" customHeight="1">
      <c r="A174" s="2941" t="s">
        <v>29</v>
      </c>
      <c r="B174" s="2941" t="s">
        <v>3037</v>
      </c>
      <c r="C174" s="2941"/>
      <c r="D174" s="2941"/>
      <c r="E174" s="2941"/>
      <c r="F174" s="2941">
        <v>2030</v>
      </c>
      <c r="G174" s="2941"/>
    </row>
    <row r="175" spans="1:7" s="2775" customFormat="1" ht="14.25" customHeight="1">
      <c r="A175" s="2941" t="s">
        <v>29</v>
      </c>
      <c r="B175" s="2941" t="s">
        <v>3039</v>
      </c>
      <c r="C175" s="2941"/>
      <c r="D175" s="2941"/>
      <c r="E175" s="2941"/>
      <c r="F175" s="2941">
        <v>2780</v>
      </c>
      <c r="G175" s="2941"/>
    </row>
    <row r="176" spans="1:7" s="2775" customFormat="1" ht="14.25" customHeight="1">
      <c r="A176" s="2941" t="s">
        <v>29</v>
      </c>
      <c r="B176" s="2941" t="s">
        <v>3041</v>
      </c>
      <c r="C176" s="2941"/>
      <c r="D176" s="2941"/>
      <c r="E176" s="2941"/>
      <c r="F176" s="2941">
        <v>2780</v>
      </c>
      <c r="G176" s="2941"/>
    </row>
    <row r="177" spans="1:7" s="2775" customFormat="1" ht="14.25" customHeight="1">
      <c r="A177" s="2941" t="s">
        <v>29</v>
      </c>
      <c r="B177" s="2941" t="s">
        <v>3073</v>
      </c>
      <c r="C177" s="2941"/>
      <c r="D177" s="2941"/>
      <c r="E177" s="2941"/>
      <c r="F177" s="2941">
        <v>2780</v>
      </c>
      <c r="G177" s="2941"/>
    </row>
    <row r="178" spans="1:7" s="2775" customFormat="1" ht="14.25" customHeight="1">
      <c r="A178" s="2941" t="s">
        <v>29</v>
      </c>
      <c r="B178" s="2941" t="s">
        <v>3074</v>
      </c>
      <c r="C178" s="2941"/>
      <c r="D178" s="2941"/>
      <c r="E178" s="2941"/>
      <c r="F178" s="2941">
        <v>2060</v>
      </c>
      <c r="G178" s="2941"/>
    </row>
    <row r="179" spans="1:7" s="2775" customFormat="1" ht="14.25" customHeight="1">
      <c r="A179" s="2941" t="s">
        <v>29</v>
      </c>
      <c r="B179" s="2941" t="s">
        <v>3075</v>
      </c>
      <c r="C179" s="2941"/>
      <c r="D179" s="2941"/>
      <c r="E179" s="2941"/>
      <c r="F179" s="2941">
        <v>2120</v>
      </c>
      <c r="G179" s="2941"/>
    </row>
    <row r="180" spans="1:7" s="2775" customFormat="1" ht="14.25" customHeight="1">
      <c r="A180" s="2941" t="s">
        <v>29</v>
      </c>
      <c r="B180" s="2941" t="s">
        <v>3047</v>
      </c>
      <c r="C180" s="2941"/>
      <c r="D180" s="2941"/>
      <c r="E180" s="2941"/>
      <c r="F180" s="2941">
        <v>2340</v>
      </c>
      <c r="G180" s="2941"/>
    </row>
    <row r="181" spans="1:7" s="2775" customFormat="1" ht="14.25" customHeight="1">
      <c r="A181" s="2941" t="s">
        <v>29</v>
      </c>
      <c r="B181" s="2941" t="s">
        <v>3048</v>
      </c>
      <c r="C181" s="2941"/>
      <c r="D181" s="2941"/>
      <c r="E181" s="2941"/>
      <c r="F181" s="2941">
        <v>2340</v>
      </c>
      <c r="G181" s="2941"/>
    </row>
    <row r="182" spans="1:7" s="2775" customFormat="1" ht="14.25" customHeight="1">
      <c r="A182" s="2941" t="s">
        <v>29</v>
      </c>
      <c r="B182" s="2941" t="s">
        <v>3049</v>
      </c>
      <c r="C182" s="2941"/>
      <c r="D182" s="2941"/>
      <c r="E182" s="2941"/>
      <c r="F182" s="2941">
        <v>2340</v>
      </c>
      <c r="G182" s="2941"/>
    </row>
    <row r="183" spans="1:7" s="2775" customFormat="1" ht="14.25" customHeight="1">
      <c r="A183" s="2941" t="s">
        <v>29</v>
      </c>
      <c r="B183" s="2941" t="s">
        <v>3050</v>
      </c>
      <c r="C183" s="2941"/>
      <c r="D183" s="2941"/>
      <c r="E183" s="2941"/>
      <c r="F183" s="2941">
        <v>2340</v>
      </c>
      <c r="G183" s="2941"/>
    </row>
    <row r="184" spans="1:7" s="2775" customFormat="1" ht="14.25" customHeight="1">
      <c r="A184" s="2941" t="s">
        <v>29</v>
      </c>
      <c r="B184" s="2941" t="s">
        <v>3051</v>
      </c>
      <c r="C184" s="2941"/>
      <c r="D184" s="2941"/>
      <c r="E184" s="2941"/>
      <c r="F184" s="2941">
        <v>2340</v>
      </c>
      <c r="G184" s="2941"/>
    </row>
    <row r="185" spans="1:7" s="2775" customFormat="1" ht="14.25" customHeight="1">
      <c r="A185" s="2941" t="s">
        <v>29</v>
      </c>
      <c r="B185" s="2941" t="s">
        <v>3052</v>
      </c>
      <c r="C185" s="2941"/>
      <c r="D185" s="2941"/>
      <c r="E185" s="2941"/>
      <c r="F185" s="2941">
        <v>2530</v>
      </c>
      <c r="G185" s="2941"/>
    </row>
    <row r="186" spans="1:7" s="2775" customFormat="1" ht="14.25" customHeight="1">
      <c r="A186" s="2941" t="s">
        <v>29</v>
      </c>
      <c r="B186" s="2941" t="s">
        <v>3053</v>
      </c>
      <c r="C186" s="2941"/>
      <c r="D186" s="2941"/>
      <c r="E186" s="2941"/>
      <c r="F186" s="2941">
        <v>2550</v>
      </c>
      <c r="G186" s="2941"/>
    </row>
    <row r="187" spans="1:7" s="2775" customFormat="1" ht="14.25" customHeight="1">
      <c r="A187" s="2941" t="s">
        <v>29</v>
      </c>
      <c r="B187" s="2941" t="s">
        <v>3054</v>
      </c>
      <c r="C187" s="2941"/>
      <c r="D187" s="2941"/>
      <c r="E187" s="2941"/>
      <c r="F187" s="2941">
        <v>2070</v>
      </c>
      <c r="G187" s="2941"/>
    </row>
    <row r="188" spans="1:7" s="2775" customFormat="1" ht="14.25" customHeight="1">
      <c r="A188" s="2941" t="s">
        <v>29</v>
      </c>
      <c r="B188" s="2941" t="s">
        <v>3055</v>
      </c>
      <c r="C188" s="2941"/>
      <c r="D188" s="2941"/>
      <c r="E188" s="2941"/>
      <c r="F188" s="2941">
        <v>2340</v>
      </c>
      <c r="G188" s="2941"/>
    </row>
    <row r="189" spans="1:7" s="2775" customFormat="1" ht="14.25" customHeight="1" thickBot="1">
      <c r="A189" s="2949" t="s">
        <v>29</v>
      </c>
      <c r="B189" s="2952" t="s">
        <v>3056</v>
      </c>
      <c r="C189" s="2952"/>
      <c r="D189" s="2952"/>
      <c r="E189" s="2952"/>
      <c r="F189" s="2952">
        <v>2050</v>
      </c>
      <c r="G189" s="2952"/>
    </row>
    <row r="190" spans="1:7" s="2775" customFormat="1" ht="14.25" customHeight="1">
      <c r="A190" s="2946" t="s">
        <v>304</v>
      </c>
      <c r="B190" s="2937" t="s">
        <v>3076</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3077</v>
      </c>
      <c r="C199" s="2941">
        <v>8690</v>
      </c>
      <c r="D199" s="2941">
        <v>8630</v>
      </c>
      <c r="E199" s="2941">
        <v>11350</v>
      </c>
      <c r="F199" s="2941">
        <v>1600</v>
      </c>
      <c r="G199" s="2954">
        <v>5450</v>
      </c>
    </row>
    <row r="200" spans="1:7" s="2775" customFormat="1" ht="14.25" customHeight="1">
      <c r="A200" s="2941" t="s">
        <v>304</v>
      </c>
      <c r="B200" s="2941" t="s">
        <v>2888</v>
      </c>
      <c r="C200" s="2941"/>
      <c r="D200" s="2941"/>
      <c r="E200" s="2941"/>
      <c r="F200" s="2941">
        <v>1510</v>
      </c>
      <c r="G200" s="2954"/>
    </row>
    <row r="201" spans="1:7" s="2775" customFormat="1" ht="14.25" customHeight="1">
      <c r="A201" s="2941" t="s">
        <v>304</v>
      </c>
      <c r="B201" s="2941" t="s">
        <v>3078</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3079</v>
      </c>
      <c r="C203" s="2941">
        <v>8130</v>
      </c>
      <c r="D203" s="2941">
        <v>8070</v>
      </c>
      <c r="E203" s="2941">
        <v>10820</v>
      </c>
      <c r="F203" s="2941">
        <v>1690</v>
      </c>
      <c r="G203" s="2954">
        <v>5100</v>
      </c>
    </row>
    <row r="204" spans="1:7" s="2775" customFormat="1" ht="14.25" customHeight="1">
      <c r="A204" s="2941" t="s">
        <v>304</v>
      </c>
      <c r="B204" s="2941" t="s">
        <v>2899</v>
      </c>
      <c r="C204" s="2941">
        <v>8350</v>
      </c>
      <c r="D204" s="2941">
        <v>8290</v>
      </c>
      <c r="E204" s="2941">
        <v>11080</v>
      </c>
      <c r="F204" s="2941">
        <v>1450</v>
      </c>
      <c r="G204" s="2954">
        <v>5240</v>
      </c>
    </row>
    <row r="205" spans="1:7" s="2775" customFormat="1" ht="14.25" customHeight="1">
      <c r="A205" s="2941" t="s">
        <v>304</v>
      </c>
      <c r="B205" s="2941" t="s">
        <v>2901</v>
      </c>
      <c r="C205" s="2941">
        <v>7190</v>
      </c>
      <c r="D205" s="2941">
        <v>7130</v>
      </c>
      <c r="E205" s="2941">
        <v>9490</v>
      </c>
      <c r="F205" s="2941">
        <v>1470</v>
      </c>
      <c r="G205" s="2954">
        <v>4510</v>
      </c>
    </row>
    <row r="206" spans="1:7" s="2775" customFormat="1" ht="14.25" customHeight="1">
      <c r="A206" s="2941" t="s">
        <v>304</v>
      </c>
      <c r="B206" s="2941" t="s">
        <v>2904</v>
      </c>
      <c r="C206" s="2941">
        <v>7000</v>
      </c>
      <c r="D206" s="2941">
        <v>6950</v>
      </c>
      <c r="E206" s="2941">
        <v>9170</v>
      </c>
      <c r="F206" s="2941">
        <v>1400</v>
      </c>
      <c r="G206" s="2954">
        <v>4380</v>
      </c>
    </row>
    <row r="207" spans="1:7" s="2775" customFormat="1" ht="14.25" customHeight="1">
      <c r="A207" s="2941" t="s">
        <v>304</v>
      </c>
      <c r="B207" s="2941" t="s">
        <v>2906</v>
      </c>
      <c r="C207" s="2941">
        <v>6950</v>
      </c>
      <c r="D207" s="2941">
        <v>6900</v>
      </c>
      <c r="E207" s="2941">
        <v>9110</v>
      </c>
      <c r="F207" s="2941">
        <v>1790</v>
      </c>
      <c r="G207" s="2954">
        <v>4360</v>
      </c>
    </row>
    <row r="208" spans="1:7" s="2775" customFormat="1" ht="14.25" customHeight="1">
      <c r="A208" s="2941" t="s">
        <v>304</v>
      </c>
      <c r="B208" s="2941" t="s">
        <v>3080</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2916</v>
      </c>
      <c r="C210" s="2941">
        <v>8710</v>
      </c>
      <c r="D210" s="2941">
        <v>8660</v>
      </c>
      <c r="E210" s="2941">
        <v>11440</v>
      </c>
      <c r="F210" s="2941">
        <v>1740</v>
      </c>
      <c r="G210" s="2954">
        <v>5470</v>
      </c>
    </row>
    <row r="211" spans="1:7" s="2775" customFormat="1" ht="14.25" customHeight="1">
      <c r="A211" s="2941" t="s">
        <v>304</v>
      </c>
      <c r="B211" s="2941" t="s">
        <v>3081</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3082</v>
      </c>
      <c r="C214" s="2941">
        <v>8090</v>
      </c>
      <c r="D214" s="2941">
        <v>8030</v>
      </c>
      <c r="E214" s="2941">
        <v>10780</v>
      </c>
      <c r="F214" s="2941">
        <v>1570</v>
      </c>
      <c r="G214" s="2954">
        <v>5070</v>
      </c>
    </row>
    <row r="215" spans="1:7" s="2775" customFormat="1" ht="14.25" customHeight="1">
      <c r="A215" s="2941" t="s">
        <v>304</v>
      </c>
      <c r="B215" s="2941" t="s">
        <v>3083</v>
      </c>
      <c r="C215" s="2941">
        <v>7950</v>
      </c>
      <c r="D215" s="2941">
        <v>7900</v>
      </c>
      <c r="E215" s="2941">
        <v>10560</v>
      </c>
      <c r="F215" s="2941">
        <v>1630</v>
      </c>
      <c r="G215" s="2954">
        <v>4990</v>
      </c>
    </row>
    <row r="216" spans="1:7" s="2775" customFormat="1" ht="14.25" customHeight="1">
      <c r="A216" s="2941" t="s">
        <v>304</v>
      </c>
      <c r="B216" s="2941" t="s">
        <v>3084</v>
      </c>
      <c r="C216" s="2941">
        <v>8490</v>
      </c>
      <c r="D216" s="2941">
        <v>8440</v>
      </c>
      <c r="E216" s="2941">
        <v>11260</v>
      </c>
      <c r="F216" s="2941">
        <v>1690</v>
      </c>
      <c r="G216" s="2954">
        <v>5330</v>
      </c>
    </row>
    <row r="217" spans="1:7" s="2775" customFormat="1" ht="14.25" customHeight="1">
      <c r="A217" s="2941" t="s">
        <v>304</v>
      </c>
      <c r="B217" s="2941" t="s">
        <v>2949</v>
      </c>
      <c r="C217" s="2941">
        <v>8200</v>
      </c>
      <c r="D217" s="2941">
        <v>8150</v>
      </c>
      <c r="E217" s="2941">
        <v>10910</v>
      </c>
      <c r="F217" s="2941">
        <v>1670</v>
      </c>
      <c r="G217" s="2954">
        <v>5150</v>
      </c>
    </row>
    <row r="218" spans="1:7" s="2775" customFormat="1" ht="14.25" customHeight="1">
      <c r="A218" s="2941" t="s">
        <v>304</v>
      </c>
      <c r="B218" s="2941" t="s">
        <v>3085</v>
      </c>
      <c r="C218" s="2941"/>
      <c r="D218" s="2941"/>
      <c r="E218" s="2941"/>
      <c r="F218" s="2941">
        <v>2040</v>
      </c>
      <c r="G218" s="2954"/>
    </row>
    <row r="219" spans="1:7" s="2775" customFormat="1" ht="14.25" customHeight="1">
      <c r="A219" s="2941" t="s">
        <v>304</v>
      </c>
      <c r="B219" s="2941" t="s">
        <v>3086</v>
      </c>
      <c r="C219" s="2941"/>
      <c r="D219" s="2941"/>
      <c r="E219" s="2941"/>
      <c r="F219" s="2941">
        <v>2040</v>
      </c>
      <c r="G219" s="2954"/>
    </row>
    <row r="220" spans="1:7" s="2775" customFormat="1" ht="14.25" customHeight="1">
      <c r="A220" s="2941" t="s">
        <v>304</v>
      </c>
      <c r="B220" s="2941" t="s">
        <v>3087</v>
      </c>
      <c r="C220" s="2941"/>
      <c r="D220" s="2941"/>
      <c r="E220" s="2941"/>
      <c r="F220" s="2941">
        <v>2040</v>
      </c>
      <c r="G220" s="2954"/>
    </row>
    <row r="221" spans="1:7" s="2775" customFormat="1" ht="14.25" customHeight="1">
      <c r="A221" s="2941" t="s">
        <v>304</v>
      </c>
      <c r="B221" s="2941" t="s">
        <v>3088</v>
      </c>
      <c r="C221" s="2941"/>
      <c r="D221" s="2941"/>
      <c r="E221" s="2941"/>
      <c r="F221" s="2941">
        <v>2040</v>
      </c>
      <c r="G221" s="2954"/>
    </row>
    <row r="222" spans="1:7" s="2775" customFormat="1" ht="14.25" customHeight="1">
      <c r="A222" s="2941" t="s">
        <v>304</v>
      </c>
      <c r="B222" s="2941" t="s">
        <v>3089</v>
      </c>
      <c r="C222" s="2941"/>
      <c r="D222" s="2941"/>
      <c r="E222" s="2941"/>
      <c r="F222" s="2941">
        <v>2040</v>
      </c>
      <c r="G222" s="2954"/>
    </row>
    <row r="223" spans="1:7" s="2775" customFormat="1" ht="14.25" customHeight="1">
      <c r="A223" s="2941" t="s">
        <v>304</v>
      </c>
      <c r="B223" s="2941" t="s">
        <v>3090</v>
      </c>
      <c r="C223" s="2941"/>
      <c r="D223" s="2941"/>
      <c r="E223" s="2941"/>
      <c r="F223" s="2941">
        <v>1930</v>
      </c>
      <c r="G223" s="2954"/>
    </row>
    <row r="224" spans="1:7" s="2775" customFormat="1" ht="14.25" customHeight="1">
      <c r="A224" s="2941" t="s">
        <v>304</v>
      </c>
      <c r="B224" s="2941" t="s">
        <v>3091</v>
      </c>
      <c r="C224" s="2941"/>
      <c r="D224" s="2941"/>
      <c r="E224" s="2941"/>
      <c r="F224" s="2941">
        <v>1930</v>
      </c>
      <c r="G224" s="2954"/>
    </row>
    <row r="225" spans="1:7" s="2775" customFormat="1" ht="14.25" customHeight="1">
      <c r="A225" s="2941" t="s">
        <v>304</v>
      </c>
      <c r="B225" s="2941" t="s">
        <v>3092</v>
      </c>
      <c r="C225" s="2941"/>
      <c r="D225" s="2941"/>
      <c r="E225" s="2941"/>
      <c r="F225" s="2941">
        <v>1930</v>
      </c>
      <c r="G225" s="2954"/>
    </row>
    <row r="226" spans="1:7" s="2775" customFormat="1" ht="14.25" customHeight="1">
      <c r="A226" s="2941" t="s">
        <v>304</v>
      </c>
      <c r="B226" s="2941" t="s">
        <v>3093</v>
      </c>
      <c r="C226" s="2941"/>
      <c r="D226" s="2941"/>
      <c r="E226" s="2941"/>
      <c r="F226" s="2941">
        <v>1700</v>
      </c>
      <c r="G226" s="2954"/>
    </row>
    <row r="227" spans="1:7" s="2775" customFormat="1" ht="14.25" customHeight="1">
      <c r="A227" s="2941" t="s">
        <v>304</v>
      </c>
      <c r="B227" s="2941" t="s">
        <v>3094</v>
      </c>
      <c r="C227" s="2941"/>
      <c r="D227" s="2941"/>
      <c r="E227" s="2941"/>
      <c r="F227" s="2941">
        <v>1520</v>
      </c>
      <c r="G227" s="2954"/>
    </row>
    <row r="228" spans="1:7" s="2775" customFormat="1" ht="14.25" customHeight="1">
      <c r="A228" s="2941" t="s">
        <v>304</v>
      </c>
      <c r="B228" s="2941" t="s">
        <v>3095</v>
      </c>
      <c r="C228" s="2941"/>
      <c r="D228" s="2941"/>
      <c r="E228" s="2941"/>
      <c r="F228" s="2941">
        <v>1520</v>
      </c>
      <c r="G228" s="2954"/>
    </row>
    <row r="229" spans="1:7" s="2775" customFormat="1" ht="14.25" customHeight="1">
      <c r="A229" s="2941" t="s">
        <v>304</v>
      </c>
      <c r="B229" s="2941" t="s">
        <v>3012</v>
      </c>
      <c r="C229" s="2941"/>
      <c r="D229" s="2941"/>
      <c r="E229" s="2941"/>
      <c r="F229" s="2941">
        <v>1520</v>
      </c>
      <c r="G229" s="2954"/>
    </row>
    <row r="230" spans="1:7" s="2775" customFormat="1" ht="14.25" customHeight="1">
      <c r="A230" s="2941" t="s">
        <v>304</v>
      </c>
      <c r="B230" s="2941" t="s">
        <v>3096</v>
      </c>
      <c r="C230" s="2941"/>
      <c r="D230" s="2941"/>
      <c r="E230" s="2941"/>
      <c r="F230" s="2941">
        <v>1820</v>
      </c>
      <c r="G230" s="2954"/>
    </row>
    <row r="231" spans="1:7" s="2775" customFormat="1" ht="14.25" customHeight="1">
      <c r="A231" s="2941" t="s">
        <v>304</v>
      </c>
      <c r="B231" s="2941" t="s">
        <v>3097</v>
      </c>
      <c r="C231" s="2941"/>
      <c r="D231" s="2941"/>
      <c r="E231" s="2941"/>
      <c r="F231" s="2941">
        <v>1760</v>
      </c>
      <c r="G231" s="2954"/>
    </row>
    <row r="232" spans="1:7" s="2775" customFormat="1" ht="14.25" customHeight="1">
      <c r="A232" s="2941" t="s">
        <v>304</v>
      </c>
      <c r="B232" s="2941" t="s">
        <v>3098</v>
      </c>
      <c r="C232" s="2941"/>
      <c r="D232" s="2941"/>
      <c r="E232" s="2941"/>
      <c r="F232" s="2941">
        <v>1840</v>
      </c>
      <c r="G232" s="2954"/>
    </row>
    <row r="233" spans="1:7" s="2775" customFormat="1" ht="14.25" customHeight="1" thickBot="1">
      <c r="A233" s="2955" t="s">
        <v>304</v>
      </c>
      <c r="B233" s="2948" t="s">
        <v>3029</v>
      </c>
      <c r="C233" s="2948"/>
      <c r="D233" s="2948"/>
      <c r="E233" s="2948"/>
      <c r="F233" s="2948">
        <v>1770</v>
      </c>
      <c r="G233" s="2956"/>
    </row>
    <row r="234" spans="1:7" s="2775" customFormat="1" ht="14.25" customHeight="1">
      <c r="A234" s="2946" t="s">
        <v>305</v>
      </c>
      <c r="B234" s="2937" t="s">
        <v>3099</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2870</v>
      </c>
      <c r="C238" s="2941">
        <v>6920</v>
      </c>
      <c r="D238" s="2941">
        <v>6890</v>
      </c>
      <c r="E238" s="2941">
        <v>8640</v>
      </c>
      <c r="F238" s="2941">
        <v>1310</v>
      </c>
      <c r="G238" s="2941">
        <v>4230</v>
      </c>
    </row>
    <row r="239" spans="1:7" s="2775" customFormat="1" ht="14.25" customHeight="1">
      <c r="A239" s="2941" t="s">
        <v>305</v>
      </c>
      <c r="B239" s="2941" t="s">
        <v>3100</v>
      </c>
      <c r="C239" s="2941">
        <v>6780</v>
      </c>
      <c r="D239" s="2941">
        <v>6750</v>
      </c>
      <c r="E239" s="2941">
        <v>8440</v>
      </c>
      <c r="F239" s="2941">
        <v>1160</v>
      </c>
      <c r="G239" s="2941">
        <v>4140</v>
      </c>
    </row>
    <row r="240" spans="1:7" s="2775" customFormat="1" ht="14.25" customHeight="1">
      <c r="A240" s="2941" t="s">
        <v>305</v>
      </c>
      <c r="B240" s="2941" t="s">
        <v>3101</v>
      </c>
      <c r="C240" s="2941">
        <v>5420</v>
      </c>
      <c r="D240" s="2941">
        <v>5380</v>
      </c>
      <c r="E240" s="2941">
        <v>6640</v>
      </c>
      <c r="F240" s="2941">
        <v>1020</v>
      </c>
      <c r="G240" s="2941">
        <v>3300</v>
      </c>
    </row>
    <row r="241" spans="1:7" s="2775" customFormat="1" ht="14.25" customHeight="1">
      <c r="A241" s="2941" t="s">
        <v>305</v>
      </c>
      <c r="B241" s="2941" t="s">
        <v>3102</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3103</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3104</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3105</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3106</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3107</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2932</v>
      </c>
      <c r="C258" s="2941">
        <v>6190</v>
      </c>
      <c r="D258" s="2941">
        <v>6160</v>
      </c>
      <c r="E258" s="2941">
        <v>7680</v>
      </c>
      <c r="F258" s="2941">
        <v>1170</v>
      </c>
      <c r="G258" s="2941">
        <v>3780</v>
      </c>
    </row>
    <row r="259" spans="1:7" s="2775" customFormat="1" ht="14.25" customHeight="1">
      <c r="A259" s="2941" t="s">
        <v>305</v>
      </c>
      <c r="B259" s="2941" t="s">
        <v>3108</v>
      </c>
      <c r="C259" s="2941">
        <v>7610</v>
      </c>
      <c r="D259" s="2941">
        <v>7570</v>
      </c>
      <c r="E259" s="2941">
        <v>9350</v>
      </c>
      <c r="F259" s="2941">
        <v>1350</v>
      </c>
      <c r="G259" s="2941">
        <v>4650</v>
      </c>
    </row>
    <row r="260" spans="1:7" s="2775" customFormat="1" ht="14.25" customHeight="1">
      <c r="A260" s="2941" t="s">
        <v>305</v>
      </c>
      <c r="B260" s="2941" t="s">
        <v>3109</v>
      </c>
      <c r="C260" s="2941">
        <v>6920</v>
      </c>
      <c r="D260" s="2941">
        <v>6880</v>
      </c>
      <c r="E260" s="2941">
        <v>8380</v>
      </c>
      <c r="F260" s="2941">
        <v>1160</v>
      </c>
      <c r="G260" s="2941">
        <v>4220</v>
      </c>
    </row>
    <row r="261" spans="1:7" s="2775" customFormat="1" ht="14.25" customHeight="1">
      <c r="A261" s="2941" t="s">
        <v>305</v>
      </c>
      <c r="B261" s="2941" t="s">
        <v>3110</v>
      </c>
      <c r="C261" s="2941">
        <v>6850</v>
      </c>
      <c r="D261" s="2941">
        <v>6810</v>
      </c>
      <c r="E261" s="2941">
        <v>8290</v>
      </c>
      <c r="F261" s="2941">
        <v>1130</v>
      </c>
      <c r="G261" s="2941">
        <v>4180</v>
      </c>
    </row>
    <row r="262" spans="1:7" s="2775" customFormat="1" ht="14.25" customHeight="1">
      <c r="A262" s="2941" t="s">
        <v>305</v>
      </c>
      <c r="B262" s="2941" t="s">
        <v>3111</v>
      </c>
      <c r="C262" s="2941">
        <v>5860</v>
      </c>
      <c r="D262" s="2941">
        <v>5820</v>
      </c>
      <c r="E262" s="2941">
        <v>7640</v>
      </c>
      <c r="F262" s="2941">
        <v>1070</v>
      </c>
      <c r="G262" s="2941">
        <v>3570</v>
      </c>
    </row>
    <row r="263" spans="1:7" s="2775" customFormat="1" ht="14.25" customHeight="1">
      <c r="A263" s="2941" t="s">
        <v>305</v>
      </c>
      <c r="B263" s="2941" t="s">
        <v>3112</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3113</v>
      </c>
      <c r="C265" s="2941"/>
      <c r="D265" s="2941"/>
      <c r="E265" s="2941"/>
      <c r="F265" s="2941">
        <v>1500</v>
      </c>
      <c r="G265" s="2941"/>
    </row>
    <row r="266" spans="1:7" s="2775" customFormat="1" ht="14.25" customHeight="1">
      <c r="A266" s="2941" t="s">
        <v>305</v>
      </c>
      <c r="B266" s="2941" t="s">
        <v>3114</v>
      </c>
      <c r="C266" s="2941"/>
      <c r="D266" s="2941"/>
      <c r="E266" s="2941"/>
      <c r="F266" s="2941">
        <v>1500</v>
      </c>
      <c r="G266" s="2941"/>
    </row>
    <row r="267" spans="1:7" s="2775" customFormat="1" ht="14.25" customHeight="1">
      <c r="A267" s="2941" t="s">
        <v>305</v>
      </c>
      <c r="B267" s="2941" t="s">
        <v>3115</v>
      </c>
      <c r="C267" s="2941"/>
      <c r="D267" s="2941"/>
      <c r="E267" s="2941"/>
      <c r="F267" s="2941">
        <v>1500</v>
      </c>
      <c r="G267" s="2941"/>
    </row>
    <row r="268" spans="1:7" s="2775" customFormat="1" ht="14.25" customHeight="1">
      <c r="A268" s="2941" t="s">
        <v>305</v>
      </c>
      <c r="B268" s="2941" t="s">
        <v>3116</v>
      </c>
      <c r="C268" s="2941"/>
      <c r="D268" s="2941"/>
      <c r="E268" s="2941"/>
      <c r="F268" s="2941">
        <v>1290</v>
      </c>
      <c r="G268" s="2941"/>
    </row>
    <row r="269" spans="1:7" s="2775" customFormat="1" ht="14.25" customHeight="1">
      <c r="A269" s="2941" t="s">
        <v>305</v>
      </c>
      <c r="B269" s="2941" t="s">
        <v>3117</v>
      </c>
      <c r="C269" s="2941"/>
      <c r="D269" s="2941"/>
      <c r="E269" s="2941"/>
      <c r="F269" s="2941">
        <v>1150</v>
      </c>
      <c r="G269" s="2941"/>
    </row>
    <row r="270" spans="1:7" s="2775" customFormat="1" ht="14.25" customHeight="1">
      <c r="A270" s="2941" t="s">
        <v>305</v>
      </c>
      <c r="B270" s="2941" t="s">
        <v>3118</v>
      </c>
      <c r="C270" s="2941"/>
      <c r="D270" s="2941"/>
      <c r="E270" s="2941"/>
      <c r="F270" s="2941">
        <v>1380</v>
      </c>
      <c r="G270" s="2941"/>
    </row>
    <row r="271" spans="1:7" s="2775" customFormat="1" ht="14.25" customHeight="1">
      <c r="A271" s="2941" t="s">
        <v>305</v>
      </c>
      <c r="B271" s="2941" t="s">
        <v>3119</v>
      </c>
      <c r="C271" s="2941"/>
      <c r="D271" s="2941"/>
      <c r="E271" s="2941"/>
      <c r="F271" s="2941">
        <v>1460</v>
      </c>
      <c r="G271" s="2941"/>
    </row>
    <row r="272" spans="1:7" s="2775" customFormat="1" ht="14.25" customHeight="1">
      <c r="A272" s="2941" t="s">
        <v>305</v>
      </c>
      <c r="B272" s="2941" t="s">
        <v>3120</v>
      </c>
      <c r="C272" s="2941"/>
      <c r="D272" s="2941"/>
      <c r="E272" s="2941"/>
      <c r="F272" s="2941">
        <v>1460</v>
      </c>
      <c r="G272" s="2941"/>
    </row>
    <row r="273" spans="1:7" s="2775" customFormat="1" ht="14.25" customHeight="1">
      <c r="A273" s="2941" t="s">
        <v>305</v>
      </c>
      <c r="B273" s="2941" t="s">
        <v>3013</v>
      </c>
      <c r="C273" s="2941"/>
      <c r="D273" s="2941"/>
      <c r="E273" s="2941"/>
      <c r="F273" s="2941">
        <v>1490</v>
      </c>
      <c r="G273" s="2941"/>
    </row>
    <row r="274" spans="1:7" s="2775" customFormat="1" ht="14.25" customHeight="1">
      <c r="A274" s="2941" t="s">
        <v>305</v>
      </c>
      <c r="B274" s="2941" t="s">
        <v>3121</v>
      </c>
      <c r="C274" s="2941"/>
      <c r="D274" s="2941"/>
      <c r="E274" s="2941"/>
      <c r="F274" s="2941">
        <v>1490</v>
      </c>
      <c r="G274" s="2941"/>
    </row>
    <row r="275" spans="1:7" s="2775" customFormat="1" ht="14.25" customHeight="1">
      <c r="A275" s="2941" t="s">
        <v>305</v>
      </c>
      <c r="B275" s="2941" t="s">
        <v>3122</v>
      </c>
      <c r="C275" s="2941"/>
      <c r="D275" s="2941"/>
      <c r="E275" s="2941"/>
      <c r="F275" s="2941">
        <v>1220</v>
      </c>
      <c r="G275" s="2941"/>
    </row>
    <row r="276" spans="1:7" s="2775" customFormat="1" ht="14.25" customHeight="1" thickBot="1">
      <c r="A276" s="2949" t="s">
        <v>305</v>
      </c>
      <c r="B276" s="2951" t="s">
        <v>3123</v>
      </c>
      <c r="C276" s="2952"/>
      <c r="D276" s="2952"/>
      <c r="E276" s="2952"/>
      <c r="F276" s="2952">
        <v>1380</v>
      </c>
      <c r="G276" s="2952"/>
    </row>
    <row r="277" spans="1:7" s="2775" customFormat="1" ht="14.25" customHeight="1">
      <c r="A277" s="2946" t="s">
        <v>306</v>
      </c>
      <c r="B277" s="2937" t="s">
        <v>3124</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3125</v>
      </c>
      <c r="C279" s="2941">
        <v>4760</v>
      </c>
      <c r="D279" s="2941">
        <v>4720</v>
      </c>
      <c r="E279" s="2941">
        <v>5540</v>
      </c>
      <c r="F279" s="2941">
        <v>810</v>
      </c>
      <c r="G279" s="2954">
        <v>2850</v>
      </c>
    </row>
    <row r="280" spans="1:7" s="2775" customFormat="1" ht="14.25" customHeight="1">
      <c r="A280" s="2941" t="s">
        <v>306</v>
      </c>
      <c r="B280" s="2941" t="s">
        <v>3126</v>
      </c>
      <c r="C280" s="2941">
        <v>4010</v>
      </c>
      <c r="D280" s="2941">
        <v>3950</v>
      </c>
      <c r="E280" s="2941">
        <v>4710</v>
      </c>
      <c r="F280" s="2941">
        <v>800</v>
      </c>
      <c r="G280" s="2954">
        <v>2390</v>
      </c>
    </row>
    <row r="281" spans="1:7" s="2775" customFormat="1" ht="14.25" customHeight="1">
      <c r="A281" s="2941" t="s">
        <v>306</v>
      </c>
      <c r="B281" s="2941" t="s">
        <v>3127</v>
      </c>
      <c r="C281" s="2941">
        <v>4480</v>
      </c>
      <c r="D281" s="2941">
        <v>4420</v>
      </c>
      <c r="E281" s="2941">
        <v>5230</v>
      </c>
      <c r="F281" s="2941">
        <v>870</v>
      </c>
      <c r="G281" s="2954">
        <v>2660</v>
      </c>
    </row>
    <row r="282" spans="1:7" s="2775" customFormat="1" ht="14.25" customHeight="1">
      <c r="A282" s="2941" t="s">
        <v>306</v>
      </c>
      <c r="B282" s="2941" t="s">
        <v>3128</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3129</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3130</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2905</v>
      </c>
      <c r="C293" s="2941">
        <v>5320</v>
      </c>
      <c r="D293" s="2941">
        <v>5270</v>
      </c>
      <c r="E293" s="2941">
        <v>6160</v>
      </c>
      <c r="F293" s="2941">
        <v>990</v>
      </c>
      <c r="G293" s="2954">
        <v>3170</v>
      </c>
    </row>
    <row r="294" spans="1:7" s="2775" customFormat="1" ht="14.25" customHeight="1">
      <c r="A294" s="2941" t="s">
        <v>306</v>
      </c>
      <c r="B294" s="2941" t="s">
        <v>3131</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2924</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3132</v>
      </c>
      <c r="C302" s="2941">
        <v>5520</v>
      </c>
      <c r="D302" s="2941">
        <v>5470</v>
      </c>
      <c r="E302" s="2941">
        <v>6410</v>
      </c>
      <c r="F302" s="2941">
        <v>950</v>
      </c>
      <c r="G302" s="2954">
        <v>3300</v>
      </c>
    </row>
    <row r="303" spans="1:7" s="2775" customFormat="1" ht="14.25" customHeight="1">
      <c r="A303" s="2941" t="s">
        <v>306</v>
      </c>
      <c r="B303" s="2941" t="s">
        <v>2944</v>
      </c>
      <c r="C303" s="2941">
        <v>5630</v>
      </c>
      <c r="D303" s="2941">
        <v>5590</v>
      </c>
      <c r="E303" s="2941">
        <v>6550</v>
      </c>
      <c r="F303" s="2941">
        <v>1010</v>
      </c>
      <c r="G303" s="2954">
        <v>3370</v>
      </c>
    </row>
    <row r="304" spans="1:7" s="2775" customFormat="1" ht="14.25" customHeight="1">
      <c r="A304" s="2941" t="s">
        <v>306</v>
      </c>
      <c r="B304" s="2941" t="s">
        <v>2951</v>
      </c>
      <c r="C304" s="2941">
        <v>5680</v>
      </c>
      <c r="D304" s="2941">
        <v>5620</v>
      </c>
      <c r="E304" s="2941">
        <v>6620</v>
      </c>
      <c r="F304" s="2941">
        <v>1050</v>
      </c>
      <c r="G304" s="2954">
        <v>3390</v>
      </c>
    </row>
    <row r="305" spans="1:7" s="2775" customFormat="1" ht="14.25" customHeight="1">
      <c r="A305" s="2941" t="s">
        <v>306</v>
      </c>
      <c r="B305" s="2941" t="s">
        <v>2957</v>
      </c>
      <c r="C305" s="2941">
        <v>5590</v>
      </c>
      <c r="D305" s="2941">
        <v>5530</v>
      </c>
      <c r="E305" s="2941">
        <v>6460</v>
      </c>
      <c r="F305" s="2941">
        <v>900</v>
      </c>
      <c r="G305" s="2954">
        <v>3340</v>
      </c>
    </row>
    <row r="306" spans="1:7" s="2775" customFormat="1" ht="14.25" customHeight="1">
      <c r="A306" s="2941" t="s">
        <v>306</v>
      </c>
      <c r="B306" s="2941" t="s">
        <v>3133</v>
      </c>
      <c r="C306" s="2941">
        <v>5560</v>
      </c>
      <c r="D306" s="2941">
        <v>5510</v>
      </c>
      <c r="E306" s="2941">
        <v>6440</v>
      </c>
      <c r="F306" s="2941">
        <v>900</v>
      </c>
      <c r="G306" s="2954">
        <v>3320</v>
      </c>
    </row>
    <row r="307" spans="1:7" s="2775" customFormat="1" ht="14.25" customHeight="1">
      <c r="A307" s="2941" t="s">
        <v>306</v>
      </c>
      <c r="B307" s="2941" t="s">
        <v>2969</v>
      </c>
      <c r="C307" s="2941">
        <v>5650</v>
      </c>
      <c r="D307" s="2941">
        <v>5600</v>
      </c>
      <c r="E307" s="2941">
        <v>6590</v>
      </c>
      <c r="F307" s="2941">
        <v>930</v>
      </c>
      <c r="G307" s="2954">
        <v>3380</v>
      </c>
    </row>
    <row r="308" spans="1:7" s="2775" customFormat="1" ht="14.25" customHeight="1">
      <c r="A308" s="2941" t="s">
        <v>306</v>
      </c>
      <c r="B308" s="2941" t="s">
        <v>3134</v>
      </c>
      <c r="C308" s="2941">
        <v>5620</v>
      </c>
      <c r="D308" s="2941">
        <v>5580</v>
      </c>
      <c r="E308" s="2941">
        <v>6540</v>
      </c>
      <c r="F308" s="2941">
        <v>910</v>
      </c>
      <c r="G308" s="2954">
        <v>3370</v>
      </c>
    </row>
    <row r="309" spans="1:7" s="2775" customFormat="1" ht="14.25" customHeight="1">
      <c r="A309" s="2941" t="s">
        <v>306</v>
      </c>
      <c r="B309" s="2941" t="s">
        <v>3135</v>
      </c>
      <c r="C309" s="2941">
        <v>5060</v>
      </c>
      <c r="D309" s="2941">
        <v>5020</v>
      </c>
      <c r="E309" s="2941">
        <v>6370</v>
      </c>
      <c r="F309" s="2941">
        <v>800</v>
      </c>
      <c r="G309" s="2954">
        <v>3020</v>
      </c>
    </row>
    <row r="310" spans="1:7" s="2775" customFormat="1" ht="14.25" customHeight="1">
      <c r="A310" s="2941" t="s">
        <v>306</v>
      </c>
      <c r="B310" s="2941" t="s">
        <v>2984</v>
      </c>
      <c r="C310" s="2941">
        <v>5150</v>
      </c>
      <c r="D310" s="2941">
        <v>5110</v>
      </c>
      <c r="E310" s="2941">
        <v>6500</v>
      </c>
      <c r="F310" s="2941">
        <v>880</v>
      </c>
      <c r="G310" s="2954">
        <v>3080</v>
      </c>
    </row>
    <row r="311" spans="1:7" s="2775" customFormat="1" ht="14.25" customHeight="1">
      <c r="A311" s="2941" t="s">
        <v>306</v>
      </c>
      <c r="B311" s="2941" t="s">
        <v>3136</v>
      </c>
      <c r="C311" s="2941">
        <v>4750</v>
      </c>
      <c r="D311" s="2941">
        <v>4710</v>
      </c>
      <c r="E311" s="2941">
        <v>5510</v>
      </c>
      <c r="F311" s="2941">
        <v>880</v>
      </c>
      <c r="G311" s="2954">
        <v>2840</v>
      </c>
    </row>
    <row r="312" spans="1:7" s="2775" customFormat="1" ht="14.25" customHeight="1">
      <c r="A312" s="2941" t="s">
        <v>306</v>
      </c>
      <c r="B312" s="2941" t="s">
        <v>2994</v>
      </c>
      <c r="C312" s="2941">
        <v>4690</v>
      </c>
      <c r="D312" s="2941">
        <v>4640</v>
      </c>
      <c r="E312" s="2941">
        <v>5420</v>
      </c>
      <c r="F312" s="2941">
        <v>800</v>
      </c>
      <c r="G312" s="2954">
        <v>2800</v>
      </c>
    </row>
    <row r="313" spans="1:7" s="2775" customFormat="1" ht="14.25" customHeight="1">
      <c r="A313" s="2941" t="s">
        <v>306</v>
      </c>
      <c r="B313" s="2941" t="s">
        <v>2999</v>
      </c>
      <c r="C313" s="2941">
        <v>4810</v>
      </c>
      <c r="D313" s="2941">
        <v>4760</v>
      </c>
      <c r="E313" s="2941">
        <v>5550</v>
      </c>
      <c r="F313" s="2941">
        <v>920</v>
      </c>
      <c r="G313" s="2954">
        <v>2870</v>
      </c>
    </row>
    <row r="314" spans="1:7" s="2775" customFormat="1" ht="14.25" customHeight="1">
      <c r="A314" s="2941" t="s">
        <v>306</v>
      </c>
      <c r="B314" s="2941" t="s">
        <v>3137</v>
      </c>
      <c r="C314" s="2941"/>
      <c r="D314" s="2941"/>
      <c r="E314" s="2941"/>
      <c r="F314" s="2941">
        <v>1020</v>
      </c>
      <c r="G314" s="2954"/>
    </row>
    <row r="315" spans="1:7" s="2775" customFormat="1" ht="14.25" customHeight="1">
      <c r="A315" s="2941" t="s">
        <v>306</v>
      </c>
      <c r="B315" s="2941" t="s">
        <v>3138</v>
      </c>
      <c r="C315" s="2941"/>
      <c r="D315" s="2941"/>
      <c r="E315" s="2941"/>
      <c r="F315" s="2941">
        <v>1050</v>
      </c>
      <c r="G315" s="2954"/>
    </row>
    <row r="316" spans="1:7" s="2775" customFormat="1" ht="14.25" customHeight="1">
      <c r="A316" s="2941" t="s">
        <v>306</v>
      </c>
      <c r="B316" s="2941" t="s">
        <v>3014</v>
      </c>
      <c r="C316" s="2941"/>
      <c r="D316" s="2941"/>
      <c r="E316" s="2941"/>
      <c r="F316" s="2941">
        <v>900</v>
      </c>
      <c r="G316" s="2954"/>
    </row>
    <row r="317" spans="1:7" s="2775" customFormat="1" ht="14.25" customHeight="1">
      <c r="A317" s="2941" t="s">
        <v>306</v>
      </c>
      <c r="B317" s="2941" t="s">
        <v>3139</v>
      </c>
      <c r="C317" s="2941"/>
      <c r="D317" s="2941"/>
      <c r="E317" s="2941"/>
      <c r="F317" s="2941">
        <v>920</v>
      </c>
      <c r="G317" s="2954"/>
    </row>
    <row r="318" spans="1:7" s="2775" customFormat="1" ht="14.25" customHeight="1">
      <c r="A318" s="2941" t="s">
        <v>306</v>
      </c>
      <c r="B318" s="2941" t="s">
        <v>3140</v>
      </c>
      <c r="C318" s="2941"/>
      <c r="D318" s="2941"/>
      <c r="E318" s="2941"/>
      <c r="F318" s="2941">
        <v>1080</v>
      </c>
      <c r="G318" s="2954"/>
    </row>
    <row r="319" spans="1:7" s="2775" customFormat="1" ht="14.25" customHeight="1">
      <c r="A319" s="2941" t="s">
        <v>306</v>
      </c>
      <c r="B319" s="2941" t="s">
        <v>3027</v>
      </c>
      <c r="C319" s="2941"/>
      <c r="D319" s="2941"/>
      <c r="E319" s="2941"/>
      <c r="F319" s="2941">
        <v>1020</v>
      </c>
      <c r="G319" s="2954"/>
    </row>
    <row r="320" spans="1:7" s="2775" customFormat="1" ht="14.25" customHeight="1">
      <c r="A320" s="2941" t="s">
        <v>306</v>
      </c>
      <c r="B320" s="2941" t="s">
        <v>3030</v>
      </c>
      <c r="C320" s="2941"/>
      <c r="D320" s="2941"/>
      <c r="E320" s="2941"/>
      <c r="F320" s="2941">
        <v>1050</v>
      </c>
      <c r="G320" s="2954"/>
    </row>
    <row r="321" spans="1:7" s="2775" customFormat="1" ht="14.25" customHeight="1">
      <c r="A321" s="2941" t="s">
        <v>306</v>
      </c>
      <c r="B321" s="2941" t="s">
        <v>3032</v>
      </c>
      <c r="C321" s="2941"/>
      <c r="D321" s="2941"/>
      <c r="E321" s="2941"/>
      <c r="F321" s="2941">
        <v>960</v>
      </c>
      <c r="G321" s="2954"/>
    </row>
    <row r="322" spans="1:7" s="2775" customFormat="1" ht="14.25" customHeight="1">
      <c r="A322" s="2941" t="s">
        <v>306</v>
      </c>
      <c r="B322" s="2941" t="s">
        <v>3034</v>
      </c>
      <c r="C322" s="2941"/>
      <c r="D322" s="2941"/>
      <c r="E322" s="2941"/>
      <c r="F322" s="2941">
        <v>960</v>
      </c>
      <c r="G322" s="2954"/>
    </row>
    <row r="323" spans="1:7" s="2775" customFormat="1" ht="14.25" customHeight="1">
      <c r="A323" s="2941" t="s">
        <v>306</v>
      </c>
      <c r="B323" s="2941" t="s">
        <v>3036</v>
      </c>
      <c r="C323" s="2941"/>
      <c r="D323" s="2941"/>
      <c r="E323" s="2941"/>
      <c r="F323" s="2941">
        <v>880</v>
      </c>
      <c r="G323" s="2954"/>
    </row>
    <row r="324" spans="1:7" s="2775" customFormat="1" ht="14.25" customHeight="1">
      <c r="A324" s="2941" t="s">
        <v>306</v>
      </c>
      <c r="B324" s="2941" t="s">
        <v>3038</v>
      </c>
      <c r="C324" s="2941"/>
      <c r="D324" s="2941"/>
      <c r="E324" s="2941"/>
      <c r="F324" s="2941">
        <v>930</v>
      </c>
      <c r="G324" s="2954"/>
    </row>
    <row r="325" spans="1:7" s="2775" customFormat="1" ht="14.25" customHeight="1">
      <c r="A325" s="2941" t="s">
        <v>306</v>
      </c>
      <c r="B325" s="2942" t="s">
        <v>3040</v>
      </c>
      <c r="C325" s="2941"/>
      <c r="D325" s="2941"/>
      <c r="E325" s="2941"/>
      <c r="F325" s="2941">
        <v>900</v>
      </c>
      <c r="G325" s="2954"/>
    </row>
    <row r="326" spans="1:7" s="2775" customFormat="1" ht="14.25" customHeight="1" thickBot="1">
      <c r="A326" s="2955" t="s">
        <v>306</v>
      </c>
      <c r="B326" s="2948" t="s">
        <v>3042</v>
      </c>
      <c r="C326" s="2948"/>
      <c r="D326" s="2948"/>
      <c r="E326" s="2948"/>
      <c r="F326" s="2948">
        <v>790</v>
      </c>
      <c r="G326" s="2956"/>
    </row>
    <row r="327" spans="1:7" s="2775" customFormat="1" ht="14.25" customHeight="1">
      <c r="A327" s="2946" t="s">
        <v>307</v>
      </c>
      <c r="B327" s="2937" t="s">
        <v>3141</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3142</v>
      </c>
      <c r="C329" s="2941">
        <v>2730</v>
      </c>
      <c r="D329" s="2941">
        <v>2690</v>
      </c>
      <c r="E329" s="2941">
        <v>3100</v>
      </c>
      <c r="F329" s="2941">
        <v>660</v>
      </c>
      <c r="G329" s="2941">
        <v>1610</v>
      </c>
    </row>
    <row r="330" spans="1:7" s="2775" customFormat="1" ht="14.25" customHeight="1">
      <c r="A330" s="2941" t="s">
        <v>307</v>
      </c>
      <c r="B330" s="2941" t="s">
        <v>3143</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2876</v>
      </c>
      <c r="C332" s="2941">
        <v>3520</v>
      </c>
      <c r="D332" s="2941">
        <v>3480</v>
      </c>
      <c r="E332" s="2941">
        <v>3830</v>
      </c>
      <c r="F332" s="2941">
        <v>720</v>
      </c>
      <c r="G332" s="2941">
        <v>2090</v>
      </c>
    </row>
    <row r="333" spans="1:7" s="2775" customFormat="1" ht="14.25" customHeight="1">
      <c r="A333" s="2941" t="s">
        <v>307</v>
      </c>
      <c r="B333" s="2941" t="s">
        <v>3144</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2886</v>
      </c>
      <c r="C336" s="2941">
        <v>3570</v>
      </c>
      <c r="D336" s="2941">
        <v>3530</v>
      </c>
      <c r="E336" s="2941">
        <v>3880</v>
      </c>
      <c r="F336" s="2941">
        <v>770</v>
      </c>
      <c r="G336" s="2941">
        <v>2110</v>
      </c>
    </row>
    <row r="337" spans="1:10" s="2775" customFormat="1" ht="14.25" customHeight="1">
      <c r="A337" s="2941" t="s">
        <v>307</v>
      </c>
      <c r="B337" s="2941" t="s">
        <v>3145</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3146</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3147</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2911</v>
      </c>
      <c r="C345" s="2941">
        <v>3190</v>
      </c>
      <c r="D345" s="2941">
        <v>3140</v>
      </c>
      <c r="E345" s="2941">
        <v>3450</v>
      </c>
      <c r="F345" s="2941">
        <v>720</v>
      </c>
      <c r="G345" s="2941">
        <v>1880</v>
      </c>
      <c r="J345" s="2775"/>
    </row>
    <row r="346" spans="1:10">
      <c r="A346" s="2941" t="s">
        <v>307</v>
      </c>
      <c r="B346" s="2941" t="s">
        <v>3148</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2920</v>
      </c>
      <c r="C348" s="2941">
        <v>4000</v>
      </c>
      <c r="D348" s="2941">
        <v>3950</v>
      </c>
      <c r="E348" s="2941">
        <v>4430</v>
      </c>
      <c r="F348" s="2941">
        <v>760</v>
      </c>
      <c r="G348" s="2941">
        <v>2360</v>
      </c>
      <c r="J348" s="2775"/>
    </row>
    <row r="349" spans="1:10">
      <c r="A349" s="2941" t="s">
        <v>307</v>
      </c>
      <c r="B349" s="2941" t="s">
        <v>2925</v>
      </c>
      <c r="C349" s="2941">
        <v>3820</v>
      </c>
      <c r="D349" s="2941">
        <v>3780</v>
      </c>
      <c r="E349" s="2941">
        <v>4170</v>
      </c>
      <c r="F349" s="2941">
        <v>710</v>
      </c>
      <c r="G349" s="2941">
        <v>2260</v>
      </c>
      <c r="J349" s="2775"/>
    </row>
    <row r="350" spans="1:10">
      <c r="A350" s="2941" t="s">
        <v>307</v>
      </c>
      <c r="B350" s="2941" t="s">
        <v>3149</v>
      </c>
      <c r="C350" s="2941">
        <v>3760</v>
      </c>
      <c r="D350" s="2941">
        <v>3730</v>
      </c>
      <c r="E350" s="2941">
        <v>4100</v>
      </c>
      <c r="F350" s="2941">
        <v>800</v>
      </c>
      <c r="G350" s="2941">
        <v>2230</v>
      </c>
      <c r="J350" s="2775"/>
    </row>
    <row r="351" spans="1:10">
      <c r="A351" s="2941" t="s">
        <v>307</v>
      </c>
      <c r="B351" s="2941" t="s">
        <v>2933</v>
      </c>
      <c r="C351" s="2941">
        <v>3610</v>
      </c>
      <c r="D351" s="2941">
        <v>3580</v>
      </c>
      <c r="E351" s="2941">
        <v>3930</v>
      </c>
      <c r="F351" s="2941">
        <v>700</v>
      </c>
      <c r="G351" s="2941">
        <v>2140</v>
      </c>
      <c r="J351" s="2775"/>
    </row>
    <row r="352" spans="1:10">
      <c r="A352" s="2941" t="s">
        <v>307</v>
      </c>
      <c r="B352" s="2941" t="s">
        <v>2938</v>
      </c>
      <c r="C352" s="2941">
        <v>3670</v>
      </c>
      <c r="D352" s="2941">
        <v>3630</v>
      </c>
      <c r="E352" s="2941">
        <v>4000</v>
      </c>
      <c r="F352" s="2941">
        <v>750</v>
      </c>
      <c r="G352" s="2941">
        <v>2180</v>
      </c>
    </row>
    <row r="353" spans="1:7" s="2776" customFormat="1">
      <c r="A353" s="2941" t="s">
        <v>307</v>
      </c>
      <c r="B353" s="2941" t="s">
        <v>3150</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2958</v>
      </c>
      <c r="C355" s="2941">
        <v>3650</v>
      </c>
      <c r="D355" s="2941">
        <v>3610</v>
      </c>
      <c r="E355" s="2941">
        <v>4200</v>
      </c>
      <c r="F355" s="2941">
        <v>640</v>
      </c>
      <c r="G355" s="2941">
        <v>2160</v>
      </c>
    </row>
    <row r="356" spans="1:7" s="2776" customFormat="1">
      <c r="A356" s="2941" t="s">
        <v>307</v>
      </c>
      <c r="B356" s="2941" t="s">
        <v>2965</v>
      </c>
      <c r="C356" s="2941">
        <v>3260</v>
      </c>
      <c r="D356" s="2941">
        <v>3230</v>
      </c>
      <c r="E356" s="2941">
        <v>3740</v>
      </c>
      <c r="F356" s="2941">
        <v>600</v>
      </c>
      <c r="G356" s="2941">
        <v>1930</v>
      </c>
    </row>
    <row r="357" spans="1:7" s="2776" customFormat="1" ht="12" thickBot="1">
      <c r="A357" s="2949" t="s">
        <v>307</v>
      </c>
      <c r="B357" s="2952" t="s">
        <v>3151</v>
      </c>
      <c r="C357" s="2952">
        <v>3690</v>
      </c>
      <c r="D357" s="2952">
        <v>3650</v>
      </c>
      <c r="E357" s="2952">
        <v>4020</v>
      </c>
      <c r="F357" s="2952">
        <v>700</v>
      </c>
      <c r="G357" s="2952">
        <v>2190</v>
      </c>
    </row>
    <row r="358" spans="1:7" s="2776" customFormat="1">
      <c r="A358" s="2946" t="s">
        <v>3152</v>
      </c>
      <c r="B358" s="2937" t="s">
        <v>3153</v>
      </c>
      <c r="C358" s="2937">
        <v>2080</v>
      </c>
      <c r="D358" s="2937">
        <v>2040</v>
      </c>
      <c r="E358" s="2937">
        <v>2010</v>
      </c>
      <c r="F358" s="2937">
        <v>530</v>
      </c>
      <c r="G358" s="2953">
        <v>1230</v>
      </c>
    </row>
    <row r="359" spans="1:7" s="2776" customFormat="1">
      <c r="A359" s="2941" t="s">
        <v>3152</v>
      </c>
      <c r="B359" s="2941" t="s">
        <v>3154</v>
      </c>
      <c r="C359" s="2941">
        <v>1850</v>
      </c>
      <c r="D359" s="2941">
        <v>1820</v>
      </c>
      <c r="E359" s="2941">
        <v>1780</v>
      </c>
      <c r="F359" s="2941">
        <v>520</v>
      </c>
      <c r="G359" s="2954">
        <v>1100</v>
      </c>
    </row>
    <row r="360" spans="1:7" s="2776" customFormat="1">
      <c r="A360" s="2941" t="s">
        <v>3152</v>
      </c>
      <c r="B360" s="2941" t="s">
        <v>3155</v>
      </c>
      <c r="C360" s="2941">
        <v>2020</v>
      </c>
      <c r="D360" s="2941">
        <v>1990</v>
      </c>
      <c r="E360" s="2941">
        <v>1950</v>
      </c>
      <c r="F360" s="2941">
        <v>500</v>
      </c>
      <c r="G360" s="2954">
        <v>1200</v>
      </c>
    </row>
    <row r="361" spans="1:7" s="2776" customFormat="1">
      <c r="A361" s="2941" t="s">
        <v>3152</v>
      </c>
      <c r="B361" s="2941" t="s">
        <v>153</v>
      </c>
      <c r="C361" s="2941">
        <v>2260</v>
      </c>
      <c r="D361" s="2941">
        <v>2220</v>
      </c>
      <c r="E361" s="2941">
        <v>2180</v>
      </c>
      <c r="F361" s="2941">
        <v>580</v>
      </c>
      <c r="G361" s="2954">
        <v>1340</v>
      </c>
    </row>
    <row r="362" spans="1:7" s="2776" customFormat="1">
      <c r="A362" s="2941" t="s">
        <v>3152</v>
      </c>
      <c r="B362" s="2941" t="s">
        <v>3156</v>
      </c>
      <c r="C362" s="2941">
        <v>2650</v>
      </c>
      <c r="D362" s="2941">
        <v>2610</v>
      </c>
      <c r="E362" s="2941">
        <v>2570</v>
      </c>
      <c r="F362" s="2941">
        <v>630</v>
      </c>
      <c r="G362" s="2954">
        <v>1570</v>
      </c>
    </row>
    <row r="363" spans="1:7" s="2776" customFormat="1">
      <c r="A363" s="2941" t="s">
        <v>3152</v>
      </c>
      <c r="B363" s="2941" t="s">
        <v>2877</v>
      </c>
      <c r="C363" s="2941">
        <v>2390</v>
      </c>
      <c r="D363" s="2941">
        <v>2360</v>
      </c>
      <c r="E363" s="2941">
        <v>2320</v>
      </c>
      <c r="F363" s="2941">
        <v>600</v>
      </c>
      <c r="G363" s="2954">
        <v>1420</v>
      </c>
    </row>
    <row r="364" spans="1:7" s="2776" customFormat="1">
      <c r="A364" s="2941" t="s">
        <v>3152</v>
      </c>
      <c r="B364" s="2941" t="s">
        <v>3157</v>
      </c>
      <c r="C364" s="2941">
        <v>2050</v>
      </c>
      <c r="D364" s="2941">
        <v>2030</v>
      </c>
      <c r="E364" s="2941">
        <v>1990</v>
      </c>
      <c r="F364" s="2941">
        <v>550</v>
      </c>
      <c r="G364" s="2954">
        <v>1220</v>
      </c>
    </row>
    <row r="365" spans="1:7" s="2776" customFormat="1">
      <c r="A365" s="2941" t="s">
        <v>3152</v>
      </c>
      <c r="B365" s="2941" t="s">
        <v>200</v>
      </c>
      <c r="C365" s="2941">
        <v>2140</v>
      </c>
      <c r="D365" s="2941">
        <v>2100</v>
      </c>
      <c r="E365" s="2941">
        <v>2060</v>
      </c>
      <c r="F365" s="2941">
        <v>540</v>
      </c>
      <c r="G365" s="2954">
        <v>1270</v>
      </c>
    </row>
    <row r="366" spans="1:7" s="2776" customFormat="1">
      <c r="A366" s="2941" t="s">
        <v>3152</v>
      </c>
      <c r="B366" s="2941" t="s">
        <v>2884</v>
      </c>
      <c r="C366" s="2941">
        <v>2410</v>
      </c>
      <c r="D366" s="2941">
        <v>2370</v>
      </c>
      <c r="E366" s="2941">
        <v>2330</v>
      </c>
      <c r="F366" s="2941">
        <v>570</v>
      </c>
      <c r="G366" s="2954">
        <v>1440</v>
      </c>
    </row>
    <row r="367" spans="1:7" s="2776" customFormat="1">
      <c r="A367" s="2941" t="s">
        <v>3152</v>
      </c>
      <c r="B367" s="2941" t="s">
        <v>3158</v>
      </c>
      <c r="C367" s="2941">
        <v>2300</v>
      </c>
      <c r="D367" s="2941">
        <v>2260</v>
      </c>
      <c r="E367" s="2941">
        <v>2220</v>
      </c>
      <c r="F367" s="2941">
        <v>560</v>
      </c>
      <c r="G367" s="2954">
        <v>1370</v>
      </c>
    </row>
    <row r="368" spans="1:7" s="2776" customFormat="1">
      <c r="A368" s="2941" t="s">
        <v>3152</v>
      </c>
      <c r="B368" s="2941" t="s">
        <v>3159</v>
      </c>
      <c r="C368" s="2941">
        <v>2430</v>
      </c>
      <c r="D368" s="2941">
        <v>2390</v>
      </c>
      <c r="E368" s="2941">
        <v>2350</v>
      </c>
      <c r="F368" s="2941">
        <v>570</v>
      </c>
      <c r="G368" s="2954">
        <v>1450</v>
      </c>
    </row>
    <row r="369" spans="1:7" s="2776" customFormat="1">
      <c r="A369" s="2941" t="s">
        <v>3152</v>
      </c>
      <c r="B369" s="2941" t="s">
        <v>214</v>
      </c>
      <c r="C369" s="2941">
        <v>2320</v>
      </c>
      <c r="D369" s="2941">
        <v>2290</v>
      </c>
      <c r="E369" s="2941">
        <v>2250</v>
      </c>
      <c r="F369" s="2941">
        <v>550</v>
      </c>
      <c r="G369" s="2954">
        <v>1380</v>
      </c>
    </row>
    <row r="370" spans="1:7" s="2776" customFormat="1">
      <c r="A370" s="2941" t="s">
        <v>3152</v>
      </c>
      <c r="B370" s="2941" t="s">
        <v>221</v>
      </c>
      <c r="C370" s="2941">
        <v>2190</v>
      </c>
      <c r="D370" s="2941">
        <v>2170</v>
      </c>
      <c r="E370" s="2941">
        <v>2130</v>
      </c>
      <c r="F370" s="2941">
        <v>530</v>
      </c>
      <c r="G370" s="2954">
        <v>1310</v>
      </c>
    </row>
    <row r="371" spans="1:7" s="2776" customFormat="1">
      <c r="A371" s="2941" t="s">
        <v>3152</v>
      </c>
      <c r="B371" s="2941" t="s">
        <v>229</v>
      </c>
      <c r="C371" s="2941">
        <v>2460</v>
      </c>
      <c r="D371" s="2941">
        <v>2420</v>
      </c>
      <c r="E371" s="2941">
        <v>2370</v>
      </c>
      <c r="F371" s="2941">
        <v>560</v>
      </c>
      <c r="G371" s="2954">
        <v>1470</v>
      </c>
    </row>
    <row r="372" spans="1:7" s="2776" customFormat="1">
      <c r="A372" s="2941" t="s">
        <v>3152</v>
      </c>
      <c r="B372" s="2941" t="s">
        <v>3160</v>
      </c>
      <c r="C372" s="2941">
        <v>2250</v>
      </c>
      <c r="D372" s="2941">
        <v>2210</v>
      </c>
      <c r="E372" s="2941">
        <v>2180</v>
      </c>
      <c r="F372" s="2941">
        <v>550</v>
      </c>
      <c r="G372" s="2954">
        <v>1340</v>
      </c>
    </row>
    <row r="373" spans="1:7" s="2776" customFormat="1">
      <c r="A373" s="2941" t="s">
        <v>3152</v>
      </c>
      <c r="B373" s="2941" t="s">
        <v>258</v>
      </c>
      <c r="C373" s="2941">
        <v>2210</v>
      </c>
      <c r="D373" s="2941">
        <v>2190</v>
      </c>
      <c r="E373" s="2941">
        <v>2150</v>
      </c>
      <c r="F373" s="2941">
        <v>530</v>
      </c>
      <c r="G373" s="2954">
        <v>1320</v>
      </c>
    </row>
    <row r="374" spans="1:7" s="2776" customFormat="1">
      <c r="A374" s="2941" t="s">
        <v>3152</v>
      </c>
      <c r="B374" s="2941" t="s">
        <v>266</v>
      </c>
      <c r="C374" s="2941">
        <v>2320</v>
      </c>
      <c r="D374" s="2941">
        <v>2280</v>
      </c>
      <c r="E374" s="2941">
        <v>2230</v>
      </c>
      <c r="F374" s="2941">
        <v>580</v>
      </c>
      <c r="G374" s="2954">
        <v>1380</v>
      </c>
    </row>
    <row r="375" spans="1:7" s="2776" customFormat="1">
      <c r="A375" s="2941" t="s">
        <v>3152</v>
      </c>
      <c r="B375" s="2941" t="s">
        <v>3161</v>
      </c>
      <c r="C375" s="2941">
        <v>2090</v>
      </c>
      <c r="D375" s="2941">
        <v>2050</v>
      </c>
      <c r="E375" s="2941">
        <v>2020</v>
      </c>
      <c r="F375" s="2941">
        <v>520</v>
      </c>
      <c r="G375" s="2954">
        <v>1240</v>
      </c>
    </row>
    <row r="376" spans="1:7" s="2776" customFormat="1">
      <c r="A376" s="2941" t="s">
        <v>3152</v>
      </c>
      <c r="B376" s="2941" t="s">
        <v>277</v>
      </c>
      <c r="C376" s="2941">
        <v>2010</v>
      </c>
      <c r="D376" s="2941">
        <v>1980</v>
      </c>
      <c r="E376" s="2941">
        <v>1940</v>
      </c>
      <c r="F376" s="2941">
        <v>540</v>
      </c>
      <c r="G376" s="2954">
        <v>1190</v>
      </c>
    </row>
    <row r="377" spans="1:7" s="2776" customFormat="1" ht="12" thickBot="1">
      <c r="A377" s="2949" t="s">
        <v>3152</v>
      </c>
      <c r="B377" s="2952" t="s">
        <v>2914</v>
      </c>
      <c r="C377" s="2952">
        <v>1930</v>
      </c>
      <c r="D377" s="2952">
        <v>1890</v>
      </c>
      <c r="E377" s="2952">
        <v>1860</v>
      </c>
      <c r="F377" s="2952">
        <v>530</v>
      </c>
      <c r="G377" s="2957">
        <v>1150</v>
      </c>
    </row>
    <row r="378" spans="1:7" s="2776" customFormat="1">
      <c r="A378" s="2958" t="s">
        <v>3162</v>
      </c>
      <c r="B378" s="2937" t="s">
        <v>3163</v>
      </c>
      <c r="C378" s="2937">
        <v>1520</v>
      </c>
      <c r="D378" s="2937">
        <v>1490</v>
      </c>
      <c r="E378" s="2937">
        <v>1460</v>
      </c>
      <c r="F378" s="2937">
        <v>460</v>
      </c>
      <c r="G378" s="2953">
        <v>940</v>
      </c>
    </row>
    <row r="379" spans="1:7" s="2776" customFormat="1">
      <c r="A379" s="2959" t="s">
        <v>3162</v>
      </c>
      <c r="B379" s="2941" t="s">
        <v>3164</v>
      </c>
      <c r="C379" s="2941">
        <v>1500</v>
      </c>
      <c r="D379" s="2941">
        <v>1470</v>
      </c>
      <c r="E379" s="2941">
        <v>1430</v>
      </c>
      <c r="F379" s="2941">
        <v>460</v>
      </c>
      <c r="G379" s="2954">
        <v>920</v>
      </c>
    </row>
    <row r="380" spans="1:7" s="2776" customFormat="1">
      <c r="A380" s="2959" t="s">
        <v>3162</v>
      </c>
      <c r="B380" s="2941" t="s">
        <v>3165</v>
      </c>
      <c r="C380" s="2941">
        <v>1620</v>
      </c>
      <c r="D380" s="2941">
        <v>1590</v>
      </c>
      <c r="E380" s="2941">
        <v>1560</v>
      </c>
      <c r="F380" s="2941">
        <v>480</v>
      </c>
      <c r="G380" s="2954">
        <v>1000</v>
      </c>
    </row>
    <row r="381" spans="1:7" s="2776" customFormat="1">
      <c r="A381" s="2959" t="s">
        <v>3162</v>
      </c>
      <c r="B381" s="2941" t="s">
        <v>3166</v>
      </c>
      <c r="C381" s="2941">
        <v>1460</v>
      </c>
      <c r="D381" s="2941">
        <v>1430</v>
      </c>
      <c r="E381" s="2941">
        <v>1390</v>
      </c>
      <c r="F381" s="2941">
        <v>450</v>
      </c>
      <c r="G381" s="2954">
        <v>900</v>
      </c>
    </row>
    <row r="382" spans="1:7" s="2776" customFormat="1">
      <c r="A382" s="2959" t="s">
        <v>3162</v>
      </c>
      <c r="B382" s="2941" t="s">
        <v>3167</v>
      </c>
      <c r="C382" s="2941">
        <v>1310</v>
      </c>
      <c r="D382" s="2941">
        <v>1280</v>
      </c>
      <c r="E382" s="2941">
        <v>1250</v>
      </c>
      <c r="F382" s="2941">
        <v>440</v>
      </c>
      <c r="G382" s="2954">
        <v>800</v>
      </c>
    </row>
    <row r="383" spans="1:7" s="2776" customFormat="1">
      <c r="A383" s="2959" t="s">
        <v>3162</v>
      </c>
      <c r="B383" s="2941" t="s">
        <v>3168</v>
      </c>
      <c r="C383" s="2941">
        <v>1260</v>
      </c>
      <c r="D383" s="2941">
        <v>1230</v>
      </c>
      <c r="E383" s="2941">
        <v>1200</v>
      </c>
      <c r="F383" s="2941">
        <v>420</v>
      </c>
      <c r="G383" s="2954">
        <v>770</v>
      </c>
    </row>
    <row r="384" spans="1:7" s="2776" customFormat="1" ht="12" thickBot="1">
      <c r="A384" s="2960" t="s">
        <v>3162</v>
      </c>
      <c r="B384" s="2948" t="s">
        <v>3169</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9" t="s">
        <v>946</v>
      </c>
      <c r="B1" s="3229"/>
      <c r="C1" s="3229"/>
      <c r="D1" s="3229"/>
    </row>
    <row r="2" spans="1:4" ht="18">
      <c r="A2" s="3230" t="s">
        <v>930</v>
      </c>
      <c r="B2" s="3230"/>
      <c r="C2" s="3230"/>
      <c r="D2" s="3230"/>
    </row>
    <row r="3" spans="1:4" ht="18.75">
      <c r="A3" s="1400" t="s">
        <v>931</v>
      </c>
      <c r="B3" s="1400" t="s">
        <v>932</v>
      </c>
      <c r="C3" s="1400" t="s">
        <v>933</v>
      </c>
      <c r="D3" s="1400" t="s">
        <v>934</v>
      </c>
    </row>
    <row r="4" spans="1:4" ht="56.25" customHeight="1">
      <c r="A4" s="1401">
        <f>项目基本情况!B4</f>
        <v>0</v>
      </c>
      <c r="B4" s="1402">
        <f>项目基本情况!C4</f>
        <v>0</v>
      </c>
      <c r="C4" s="1403"/>
      <c r="D4" s="1404" t="s">
        <v>935</v>
      </c>
    </row>
    <row r="5" spans="1:4" ht="56.25" customHeight="1">
      <c r="A5" s="1401">
        <f>项目基本情况!D4</f>
        <v>0</v>
      </c>
      <c r="B5" s="1402">
        <f>项目基本情况!E4</f>
        <v>0</v>
      </c>
      <c r="C5" s="1405"/>
      <c r="D5" s="1404" t="s">
        <v>935</v>
      </c>
    </row>
    <row r="6" spans="1:4" ht="18">
      <c r="A6" s="3230" t="s">
        <v>936</v>
      </c>
      <c r="B6" s="3230"/>
      <c r="C6" s="3230"/>
      <c r="D6" s="3230"/>
    </row>
    <row r="7" spans="1:4" ht="18.75">
      <c r="A7" s="1400" t="s">
        <v>931</v>
      </c>
      <c r="B7" s="1402" t="s">
        <v>937</v>
      </c>
      <c r="C7" s="1400" t="s">
        <v>933</v>
      </c>
      <c r="D7" s="1400" t="s">
        <v>934</v>
      </c>
    </row>
    <row r="8" spans="1:4" ht="56.25" customHeight="1">
      <c r="A8" s="1406" t="s">
        <v>390</v>
      </c>
      <c r="B8" s="1406" t="s">
        <v>0</v>
      </c>
      <c r="C8" s="1403"/>
      <c r="D8" s="1404" t="s">
        <v>935</v>
      </c>
    </row>
    <row r="10" spans="1:4" ht="18.75">
      <c r="A10" s="1407" t="s">
        <v>938</v>
      </c>
    </row>
    <row r="11" spans="1:4" ht="30" customHeight="1">
      <c r="A11" s="3231" t="s">
        <v>939</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940</v>
      </c>
      <c r="B16" s="3225"/>
      <c r="C16" s="3225"/>
      <c r="D16" s="3225"/>
    </row>
    <row r="17" spans="1:4" ht="144" customHeight="1">
      <c r="A17" s="3225" t="s">
        <v>941</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942</v>
      </c>
      <c r="B22" s="3227"/>
      <c r="C22" s="3227"/>
      <c r="D22" s="3227"/>
    </row>
    <row r="23" spans="1:4">
      <c r="A23" s="1408"/>
      <c r="B23" s="458"/>
      <c r="C23" s="458"/>
      <c r="D23" s="458"/>
    </row>
    <row r="24" spans="1:4">
      <c r="A24" s="1408"/>
      <c r="B24" s="458"/>
      <c r="C24" s="458"/>
      <c r="D24" s="458"/>
    </row>
    <row r="25" spans="1:4" ht="18.75">
      <c r="A25" s="1409" t="s">
        <v>943</v>
      </c>
    </row>
    <row r="26" spans="1:4" ht="18">
      <c r="A26" s="1380"/>
    </row>
    <row r="27" spans="1:4" ht="18.75">
      <c r="A27" s="1380" t="s">
        <v>944</v>
      </c>
    </row>
    <row r="30" spans="1:4" ht="18.75">
      <c r="D30" s="1409" t="s">
        <v>945</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6" t="s">
        <v>3170</v>
      </c>
      <c r="B1" s="3526"/>
    </row>
    <row r="2" spans="1:7" ht="14.25" thickBot="1">
      <c r="A2" s="2962"/>
      <c r="B2" s="2962"/>
    </row>
    <row r="3" spans="1:7" ht="14.25" thickBot="1">
      <c r="A3" s="2962"/>
      <c r="B3" s="2962"/>
      <c r="C3" s="2963" t="s">
        <v>2800</v>
      </c>
      <c r="D3" s="2963" t="s">
        <v>2856</v>
      </c>
      <c r="E3" s="2963" t="s">
        <v>2802</v>
      </c>
      <c r="F3" s="2963" t="s">
        <v>2857</v>
      </c>
      <c r="G3" s="2963" t="s">
        <v>2620</v>
      </c>
    </row>
    <row r="4" spans="1:7" ht="14.25" thickBot="1">
      <c r="A4" s="2964" t="s">
        <v>2855</v>
      </c>
      <c r="B4" s="2965" t="s">
        <v>2861</v>
      </c>
      <c r="C4" s="2963"/>
      <c r="D4" s="2963"/>
      <c r="E4" s="2963"/>
      <c r="F4" s="2963"/>
      <c r="G4" s="2963"/>
    </row>
    <row r="5" spans="1:7">
      <c r="A5" s="2966" t="s">
        <v>2829</v>
      </c>
      <c r="B5" s="2967" t="s">
        <v>2843</v>
      </c>
      <c r="C5" s="2968">
        <v>9.8000000000000004E-2</v>
      </c>
      <c r="D5" s="2968">
        <v>8.6999999999999994E-2</v>
      </c>
      <c r="E5" s="2968">
        <v>8.6999999999999994E-2</v>
      </c>
      <c r="F5" s="2968">
        <v>9.8000000000000004E-2</v>
      </c>
      <c r="G5" s="2969">
        <v>9.5000000000000001E-2</v>
      </c>
    </row>
    <row r="6" spans="1:7">
      <c r="A6" s="2970" t="s">
        <v>144</v>
      </c>
      <c r="B6" s="2971" t="s">
        <v>2858</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2844</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2894</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2912</v>
      </c>
      <c r="C29" s="2980"/>
      <c r="D29" s="2976">
        <v>5.1999999999999998E-2</v>
      </c>
      <c r="E29" s="2976">
        <v>7.0000000000000007E-2</v>
      </c>
      <c r="F29" s="2980"/>
      <c r="G29" s="2978">
        <v>7.0999999999999994E-2</v>
      </c>
    </row>
    <row r="30" spans="1:7">
      <c r="A30" s="2981" t="s">
        <v>296</v>
      </c>
      <c r="B30" s="2967" t="s">
        <v>2845</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2831</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2915</v>
      </c>
      <c r="C50" s="2972">
        <v>9.8000000000000004E-2</v>
      </c>
      <c r="D50" s="2972">
        <v>7.2999999999999995E-2</v>
      </c>
      <c r="E50" s="2972">
        <v>7.0999999999999994E-2</v>
      </c>
      <c r="F50" s="2983"/>
      <c r="G50" s="2973">
        <v>7.2999999999999995E-2</v>
      </c>
    </row>
    <row r="51" spans="1:7">
      <c r="A51" s="2982" t="s">
        <v>296</v>
      </c>
      <c r="B51" s="2971" t="s">
        <v>2917</v>
      </c>
      <c r="C51" s="2972">
        <v>9.9000000000000005E-2</v>
      </c>
      <c r="D51" s="2972">
        <v>8.5000000000000006E-2</v>
      </c>
      <c r="E51" s="2972">
        <v>6.3E-2</v>
      </c>
      <c r="F51" s="2983"/>
      <c r="G51" s="2973">
        <v>9.6000000000000002E-2</v>
      </c>
    </row>
    <row r="52" spans="1:7">
      <c r="A52" s="2982" t="s">
        <v>296</v>
      </c>
      <c r="B52" s="2971" t="s">
        <v>2921</v>
      </c>
      <c r="C52" s="2972">
        <v>7.3999999999999996E-2</v>
      </c>
      <c r="D52" s="2972">
        <v>9.6000000000000002E-2</v>
      </c>
      <c r="E52" s="2972">
        <v>0.05</v>
      </c>
      <c r="F52" s="2983"/>
      <c r="G52" s="2973">
        <v>9.8000000000000004E-2</v>
      </c>
    </row>
    <row r="53" spans="1:7">
      <c r="A53" s="2982" t="s">
        <v>296</v>
      </c>
      <c r="B53" s="2971" t="s">
        <v>2926</v>
      </c>
      <c r="C53" s="2972">
        <v>8.5999999999999993E-2</v>
      </c>
      <c r="D53" s="2983"/>
      <c r="E53" s="2972">
        <v>9.1999999999999998E-2</v>
      </c>
      <c r="F53" s="2983"/>
      <c r="G53" s="2984"/>
    </row>
    <row r="54" spans="1:7" ht="14.25" thickBot="1">
      <c r="A54" s="2985" t="s">
        <v>296</v>
      </c>
      <c r="B54" s="2975" t="s">
        <v>2929</v>
      </c>
      <c r="C54" s="2976">
        <v>9.6000000000000002E-2</v>
      </c>
      <c r="D54" s="2977"/>
      <c r="E54" s="2986"/>
      <c r="F54" s="2977"/>
      <c r="G54" s="2987"/>
    </row>
    <row r="55" spans="1:7">
      <c r="A55" s="2981" t="s">
        <v>110</v>
      </c>
      <c r="B55" s="2967" t="s">
        <v>2846</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2927</v>
      </c>
      <c r="C78" s="2972">
        <v>0.1</v>
      </c>
      <c r="D78" s="2972">
        <v>8.5000000000000006E-2</v>
      </c>
      <c r="E78" s="2972">
        <v>9.6000000000000002E-2</v>
      </c>
      <c r="F78" s="2983"/>
      <c r="G78" s="2973">
        <v>9.6000000000000002E-2</v>
      </c>
    </row>
    <row r="79" spans="1:7">
      <c r="A79" s="2982" t="s">
        <v>110</v>
      </c>
      <c r="B79" s="2971" t="s">
        <v>2930</v>
      </c>
      <c r="C79" s="2972">
        <v>0.05</v>
      </c>
      <c r="D79" s="2972">
        <v>9.6000000000000002E-2</v>
      </c>
      <c r="E79" s="2972">
        <v>9.5000000000000001E-2</v>
      </c>
      <c r="F79" s="2983"/>
      <c r="G79" s="2973">
        <v>9.8000000000000004E-2</v>
      </c>
    </row>
    <row r="80" spans="1:7">
      <c r="A80" s="2982" t="s">
        <v>110</v>
      </c>
      <c r="B80" s="2971" t="s">
        <v>2934</v>
      </c>
      <c r="C80" s="2972">
        <v>8.5999999999999993E-2</v>
      </c>
      <c r="D80" s="2988"/>
      <c r="E80" s="2972">
        <v>0.1</v>
      </c>
      <c r="F80" s="2983"/>
      <c r="G80" s="2984"/>
    </row>
    <row r="81" spans="1:7">
      <c r="A81" s="2982" t="s">
        <v>110</v>
      </c>
      <c r="B81" s="2971" t="s">
        <v>2939</v>
      </c>
      <c r="C81" s="2972">
        <v>9.6000000000000002E-2</v>
      </c>
      <c r="D81" s="2983"/>
      <c r="E81" s="2972">
        <v>9.8000000000000004E-2</v>
      </c>
      <c r="F81" s="2983"/>
      <c r="G81" s="2984"/>
    </row>
    <row r="82" spans="1:7">
      <c r="A82" s="2982" t="s">
        <v>110</v>
      </c>
      <c r="B82" s="2971" t="s">
        <v>2946</v>
      </c>
      <c r="C82" s="2988"/>
      <c r="D82" s="2983"/>
      <c r="E82" s="2972">
        <v>7.6999999999999999E-2</v>
      </c>
      <c r="F82" s="2983"/>
      <c r="G82" s="2984"/>
    </row>
    <row r="83" spans="1:7">
      <c r="A83" s="2982" t="s">
        <v>110</v>
      </c>
      <c r="B83" s="2971" t="s">
        <v>2952</v>
      </c>
      <c r="C83" s="2983"/>
      <c r="D83" s="2983"/>
      <c r="E83" s="2983"/>
      <c r="F83" s="2972">
        <v>0.1</v>
      </c>
      <c r="G83" s="2989"/>
    </row>
    <row r="84" spans="1:7">
      <c r="A84" s="2982" t="s">
        <v>110</v>
      </c>
      <c r="B84" s="2971" t="s">
        <v>2959</v>
      </c>
      <c r="C84" s="2983"/>
      <c r="D84" s="2983"/>
      <c r="E84" s="2983"/>
      <c r="F84" s="2972">
        <v>0.1</v>
      </c>
      <c r="G84" s="2989"/>
    </row>
    <row r="85" spans="1:7">
      <c r="A85" s="2982" t="s">
        <v>110</v>
      </c>
      <c r="B85" s="2971" t="s">
        <v>2966</v>
      </c>
      <c r="C85" s="2983"/>
      <c r="D85" s="2983"/>
      <c r="E85" s="2983"/>
      <c r="F85" s="2972">
        <v>0.1</v>
      </c>
      <c r="G85" s="2989"/>
    </row>
    <row r="86" spans="1:7" ht="14.25" thickBot="1">
      <c r="A86" s="2985" t="s">
        <v>110</v>
      </c>
      <c r="B86" s="2975" t="s">
        <v>2971</v>
      </c>
      <c r="C86" s="2976">
        <v>9.8000000000000004E-2</v>
      </c>
      <c r="D86" s="2976">
        <v>9.8000000000000004E-2</v>
      </c>
      <c r="E86" s="2976">
        <v>9.6000000000000002E-2</v>
      </c>
      <c r="F86" s="2986"/>
      <c r="G86" s="2978">
        <v>0.1</v>
      </c>
    </row>
    <row r="87" spans="1:7">
      <c r="A87" s="2981" t="s">
        <v>303</v>
      </c>
      <c r="B87" s="2967" t="s">
        <v>2847</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2940</v>
      </c>
      <c r="C113" s="2972">
        <v>0.1</v>
      </c>
      <c r="D113" s="2972">
        <v>0.1</v>
      </c>
      <c r="E113" s="2983"/>
      <c r="F113" s="2983"/>
      <c r="G113" s="2973">
        <v>0.1</v>
      </c>
    </row>
    <row r="114" spans="1:7">
      <c r="A114" s="2982" t="s">
        <v>303</v>
      </c>
      <c r="B114" s="2971" t="s">
        <v>2947</v>
      </c>
      <c r="C114" s="2972">
        <v>9.7000000000000003E-2</v>
      </c>
      <c r="D114" s="2972">
        <v>9.7000000000000003E-2</v>
      </c>
      <c r="E114" s="2983"/>
      <c r="F114" s="2983"/>
      <c r="G114" s="2973">
        <v>9.9000000000000005E-2</v>
      </c>
    </row>
    <row r="115" spans="1:7">
      <c r="A115" s="2982" t="s">
        <v>303</v>
      </c>
      <c r="B115" s="2971" t="s">
        <v>2953</v>
      </c>
      <c r="C115" s="2972">
        <v>0.1</v>
      </c>
      <c r="D115" s="2972">
        <v>0.1</v>
      </c>
      <c r="E115" s="2983"/>
      <c r="F115" s="2983"/>
      <c r="G115" s="2973">
        <v>0.1</v>
      </c>
    </row>
    <row r="116" spans="1:7">
      <c r="A116" s="2982" t="s">
        <v>303</v>
      </c>
      <c r="B116" s="2971" t="s">
        <v>2960</v>
      </c>
      <c r="C116" s="2972">
        <v>0.1</v>
      </c>
      <c r="D116" s="2972">
        <v>0.1</v>
      </c>
      <c r="E116" s="2983"/>
      <c r="F116" s="2983"/>
      <c r="G116" s="2973">
        <v>0.1</v>
      </c>
    </row>
    <row r="117" spans="1:7">
      <c r="A117" s="2982" t="s">
        <v>303</v>
      </c>
      <c r="B117" s="2971" t="s">
        <v>2967</v>
      </c>
      <c r="C117" s="2972">
        <v>9.7000000000000003E-2</v>
      </c>
      <c r="D117" s="2972">
        <v>9.7000000000000003E-2</v>
      </c>
      <c r="E117" s="2983"/>
      <c r="F117" s="2983"/>
      <c r="G117" s="2973">
        <v>9.7000000000000003E-2</v>
      </c>
    </row>
    <row r="118" spans="1:7">
      <c r="A118" s="2982" t="s">
        <v>303</v>
      </c>
      <c r="B118" s="2971" t="s">
        <v>2972</v>
      </c>
      <c r="C118" s="2972">
        <v>0.1</v>
      </c>
      <c r="D118" s="2972">
        <v>0.1</v>
      </c>
      <c r="E118" s="2983"/>
      <c r="F118" s="2983"/>
      <c r="G118" s="2973">
        <v>0.1</v>
      </c>
    </row>
    <row r="119" spans="1:7">
      <c r="A119" s="2982" t="s">
        <v>303</v>
      </c>
      <c r="B119" s="2971" t="s">
        <v>2976</v>
      </c>
      <c r="C119" s="2972">
        <v>5.0999999999999997E-2</v>
      </c>
      <c r="D119" s="2972">
        <v>5.1999999999999998E-2</v>
      </c>
      <c r="E119" s="2983"/>
      <c r="F119" s="2988"/>
      <c r="G119" s="2973">
        <v>0.06</v>
      </c>
    </row>
    <row r="120" spans="1:7">
      <c r="A120" s="2982" t="s">
        <v>303</v>
      </c>
      <c r="B120" s="2971" t="s">
        <v>2980</v>
      </c>
      <c r="C120" s="2983"/>
      <c r="D120" s="2983"/>
      <c r="E120" s="2983"/>
      <c r="F120" s="2972">
        <v>0.1</v>
      </c>
      <c r="G120" s="2989"/>
    </row>
    <row r="121" spans="1:7">
      <c r="A121" s="2982" t="s">
        <v>303</v>
      </c>
      <c r="B121" s="2971" t="s">
        <v>2985</v>
      </c>
      <c r="C121" s="2983"/>
      <c r="D121" s="2983"/>
      <c r="E121" s="2983"/>
      <c r="F121" s="2972">
        <v>0.1</v>
      </c>
      <c r="G121" s="2989"/>
    </row>
    <row r="122" spans="1:7">
      <c r="A122" s="2982" t="s">
        <v>303</v>
      </c>
      <c r="B122" s="2971" t="s">
        <v>2990</v>
      </c>
      <c r="C122" s="2972">
        <v>0.1</v>
      </c>
      <c r="D122" s="2972">
        <v>0.1</v>
      </c>
      <c r="E122" s="2972">
        <v>9.8000000000000004E-2</v>
      </c>
      <c r="F122" s="2972">
        <v>0.1</v>
      </c>
      <c r="G122" s="2973">
        <v>0.1</v>
      </c>
    </row>
    <row r="123" spans="1:7">
      <c r="A123" s="2982" t="s">
        <v>303</v>
      </c>
      <c r="B123" s="2971" t="s">
        <v>2995</v>
      </c>
      <c r="C123" s="2972">
        <v>0.1</v>
      </c>
      <c r="D123" s="2972">
        <v>0.1</v>
      </c>
      <c r="E123" s="2972">
        <v>9.8000000000000004E-2</v>
      </c>
      <c r="F123" s="2972">
        <v>0.1</v>
      </c>
      <c r="G123" s="2973">
        <v>0.1</v>
      </c>
    </row>
    <row r="124" spans="1:7">
      <c r="A124" s="2982" t="s">
        <v>303</v>
      </c>
      <c r="B124" s="2971" t="s">
        <v>3000</v>
      </c>
      <c r="C124" s="2972">
        <v>0.1</v>
      </c>
      <c r="D124" s="2972">
        <v>0.1</v>
      </c>
      <c r="E124" s="2972">
        <v>9.8000000000000004E-2</v>
      </c>
      <c r="F124" s="2988"/>
      <c r="G124" s="2973">
        <v>0.1</v>
      </c>
    </row>
    <row r="125" spans="1:7">
      <c r="A125" s="2982" t="s">
        <v>303</v>
      </c>
      <c r="B125" s="2971" t="s">
        <v>3005</v>
      </c>
      <c r="C125" s="2972">
        <v>9.8000000000000004E-2</v>
      </c>
      <c r="D125" s="2972">
        <v>9.8000000000000004E-2</v>
      </c>
      <c r="E125" s="2972">
        <v>9.6000000000000002E-2</v>
      </c>
      <c r="F125" s="2988"/>
      <c r="G125" s="2973">
        <v>0.1</v>
      </c>
    </row>
    <row r="126" spans="1:7" ht="14.25" thickBot="1">
      <c r="A126" s="2985" t="s">
        <v>303</v>
      </c>
      <c r="B126" s="2975" t="s">
        <v>3171</v>
      </c>
      <c r="C126" s="2976">
        <v>0.1</v>
      </c>
      <c r="D126" s="2976">
        <v>0.1</v>
      </c>
      <c r="E126" s="2976">
        <v>9.8000000000000004E-2</v>
      </c>
      <c r="F126" s="2976">
        <v>0.1</v>
      </c>
      <c r="G126" s="2978">
        <v>0.1</v>
      </c>
    </row>
    <row r="127" spans="1:7">
      <c r="A127" s="2981" t="s">
        <v>29</v>
      </c>
      <c r="B127" s="2967" t="s">
        <v>2848</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2918</v>
      </c>
      <c r="C148" s="2972">
        <v>0.13</v>
      </c>
      <c r="D148" s="2972">
        <v>0.13</v>
      </c>
      <c r="E148" s="2972">
        <v>0.13</v>
      </c>
      <c r="F148" s="2983"/>
      <c r="G148" s="2973">
        <v>0.13</v>
      </c>
    </row>
    <row r="149" spans="1:7">
      <c r="A149" s="2982" t="s">
        <v>29</v>
      </c>
      <c r="B149" s="2971" t="s">
        <v>2922</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2941</v>
      </c>
      <c r="C153" s="2972">
        <v>0.13</v>
      </c>
      <c r="D153" s="2972">
        <v>0.13</v>
      </c>
      <c r="E153" s="2972">
        <v>0.13</v>
      </c>
      <c r="F153" s="2972">
        <v>0.13</v>
      </c>
      <c r="G153" s="2973">
        <v>0.13</v>
      </c>
    </row>
    <row r="154" spans="1:7">
      <c r="A154" s="2982" t="s">
        <v>29</v>
      </c>
      <c r="B154" s="2971" t="s">
        <v>2948</v>
      </c>
      <c r="C154" s="2972">
        <v>0.121</v>
      </c>
      <c r="D154" s="2972">
        <v>0.121</v>
      </c>
      <c r="E154" s="2972">
        <v>0.105</v>
      </c>
      <c r="F154" s="2972">
        <v>0.121</v>
      </c>
      <c r="G154" s="2973">
        <v>0.123</v>
      </c>
    </row>
    <row r="155" spans="1:7">
      <c r="A155" s="2982" t="s">
        <v>29</v>
      </c>
      <c r="B155" s="2971" t="s">
        <v>2954</v>
      </c>
      <c r="C155" s="2972">
        <v>0.1</v>
      </c>
      <c r="D155" s="2972">
        <v>0.1</v>
      </c>
      <c r="E155" s="2972">
        <v>0.1</v>
      </c>
      <c r="F155" s="2972">
        <v>0.1</v>
      </c>
      <c r="G155" s="2973">
        <v>0.1</v>
      </c>
    </row>
    <row r="156" spans="1:7">
      <c r="A156" s="2982" t="s">
        <v>29</v>
      </c>
      <c r="B156" s="2971" t="s">
        <v>2961</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2981</v>
      </c>
      <c r="C160" s="2972">
        <v>0.13</v>
      </c>
      <c r="D160" s="2972">
        <v>0.13</v>
      </c>
      <c r="E160" s="2972">
        <v>0.124</v>
      </c>
      <c r="F160" s="2972">
        <v>0.126</v>
      </c>
      <c r="G160" s="2973">
        <v>0.13</v>
      </c>
    </row>
    <row r="161" spans="1:7">
      <c r="A161" s="2982" t="s">
        <v>29</v>
      </c>
      <c r="B161" s="2971" t="s">
        <v>2986</v>
      </c>
      <c r="C161" s="2972">
        <v>0.13</v>
      </c>
      <c r="D161" s="2972">
        <v>0.13</v>
      </c>
      <c r="E161" s="2972">
        <v>0.124</v>
      </c>
      <c r="F161" s="2972">
        <v>0.127</v>
      </c>
      <c r="G161" s="2973">
        <v>0.13</v>
      </c>
    </row>
    <row r="162" spans="1:7">
      <c r="A162" s="2982" t="s">
        <v>29</v>
      </c>
      <c r="B162" s="2971" t="s">
        <v>2991</v>
      </c>
      <c r="C162" s="2972">
        <v>0.1</v>
      </c>
      <c r="D162" s="2972">
        <v>0.1</v>
      </c>
      <c r="E162" s="2972">
        <v>0.1</v>
      </c>
      <c r="F162" s="2972">
        <v>0.121</v>
      </c>
      <c r="G162" s="2973">
        <v>0.105</v>
      </c>
    </row>
    <row r="163" spans="1:7">
      <c r="A163" s="2982" t="s">
        <v>29</v>
      </c>
      <c r="B163" s="2971" t="s">
        <v>2996</v>
      </c>
      <c r="C163" s="2972">
        <v>0.1</v>
      </c>
      <c r="D163" s="2972">
        <v>0.1</v>
      </c>
      <c r="E163" s="2972">
        <v>0.1</v>
      </c>
      <c r="F163" s="2972">
        <v>0.1</v>
      </c>
      <c r="G163" s="2973">
        <v>0.1</v>
      </c>
    </row>
    <row r="164" spans="1:7">
      <c r="A164" s="2982" t="s">
        <v>29</v>
      </c>
      <c r="B164" s="2971" t="s">
        <v>3001</v>
      </c>
      <c r="C164" s="2988"/>
      <c r="D164" s="2988"/>
      <c r="E164" s="2988"/>
      <c r="F164" s="2972">
        <v>0.1</v>
      </c>
      <c r="G164" s="2984"/>
    </row>
    <row r="165" spans="1:7">
      <c r="A165" s="2982" t="s">
        <v>29</v>
      </c>
      <c r="B165" s="2971" t="s">
        <v>3172</v>
      </c>
      <c r="C165" s="2972">
        <v>0.126</v>
      </c>
      <c r="D165" s="2972">
        <v>0.126</v>
      </c>
      <c r="E165" s="2972">
        <v>0.11899999999999999</v>
      </c>
      <c r="F165" s="2972">
        <v>0.13</v>
      </c>
      <c r="G165" s="2973">
        <v>0.128</v>
      </c>
    </row>
    <row r="166" spans="1:7">
      <c r="A166" s="2982" t="s">
        <v>29</v>
      </c>
      <c r="B166" s="2971" t="s">
        <v>3011</v>
      </c>
      <c r="C166" s="2972">
        <v>0.129</v>
      </c>
      <c r="D166" s="2972">
        <v>0.129</v>
      </c>
      <c r="E166" s="2972">
        <v>0.123</v>
      </c>
      <c r="F166" s="2972">
        <v>0.128</v>
      </c>
      <c r="G166" s="2973">
        <v>0.13</v>
      </c>
    </row>
    <row r="167" spans="1:7">
      <c r="A167" s="2982" t="s">
        <v>29</v>
      </c>
      <c r="B167" s="2971" t="s">
        <v>3015</v>
      </c>
      <c r="C167" s="2972">
        <v>0.125</v>
      </c>
      <c r="D167" s="2972">
        <v>0.125</v>
      </c>
      <c r="E167" s="2972">
        <v>0.11700000000000001</v>
      </c>
      <c r="F167" s="2972">
        <v>0.13</v>
      </c>
      <c r="G167" s="2973">
        <v>0.126</v>
      </c>
    </row>
    <row r="168" spans="1:7">
      <c r="A168" s="2982" t="s">
        <v>29</v>
      </c>
      <c r="B168" s="2971" t="s">
        <v>3020</v>
      </c>
      <c r="C168" s="2972">
        <v>0.128</v>
      </c>
      <c r="D168" s="2972">
        <v>0.128</v>
      </c>
      <c r="E168" s="2972">
        <v>0.123</v>
      </c>
      <c r="F168" s="2983"/>
      <c r="G168" s="2973">
        <v>0.13</v>
      </c>
    </row>
    <row r="169" spans="1:7">
      <c r="A169" s="2982" t="s">
        <v>29</v>
      </c>
      <c r="B169" s="2971" t="s">
        <v>3173</v>
      </c>
      <c r="C169" s="2988"/>
      <c r="D169" s="2988"/>
      <c r="E169" s="2988"/>
      <c r="F169" s="2972">
        <v>0.05</v>
      </c>
      <c r="G169" s="2984"/>
    </row>
    <row r="170" spans="1:7">
      <c r="A170" s="2982" t="s">
        <v>29</v>
      </c>
      <c r="B170" s="2971" t="s">
        <v>3174</v>
      </c>
      <c r="C170" s="2988"/>
      <c r="D170" s="2988"/>
      <c r="E170" s="2988"/>
      <c r="F170" s="2972">
        <v>0.05</v>
      </c>
      <c r="G170" s="2984"/>
    </row>
    <row r="171" spans="1:7">
      <c r="A171" s="2982" t="s">
        <v>29</v>
      </c>
      <c r="B171" s="2971" t="s">
        <v>3175</v>
      </c>
      <c r="C171" s="2988"/>
      <c r="D171" s="2988"/>
      <c r="E171" s="2988"/>
      <c r="F171" s="2972">
        <v>0.05</v>
      </c>
      <c r="G171" s="2989"/>
    </row>
    <row r="172" spans="1:7">
      <c r="A172" s="2982" t="s">
        <v>29</v>
      </c>
      <c r="B172" s="2971" t="s">
        <v>3176</v>
      </c>
      <c r="C172" s="2988"/>
      <c r="D172" s="2988"/>
      <c r="E172" s="2988"/>
      <c r="F172" s="2972">
        <v>0.05</v>
      </c>
      <c r="G172" s="2989"/>
    </row>
    <row r="173" spans="1:7">
      <c r="A173" s="2982" t="s">
        <v>29</v>
      </c>
      <c r="B173" s="2971" t="s">
        <v>3177</v>
      </c>
      <c r="C173" s="2988"/>
      <c r="D173" s="2988"/>
      <c r="E173" s="2988"/>
      <c r="F173" s="2972">
        <v>0.05</v>
      </c>
      <c r="G173" s="2984"/>
    </row>
    <row r="174" spans="1:7">
      <c r="A174" s="2982" t="s">
        <v>29</v>
      </c>
      <c r="B174" s="2971" t="s">
        <v>3178</v>
      </c>
      <c r="C174" s="2988"/>
      <c r="D174" s="2988"/>
      <c r="E174" s="2988"/>
      <c r="F174" s="2972">
        <v>0.05</v>
      </c>
      <c r="G174" s="2984"/>
    </row>
    <row r="175" spans="1:7">
      <c r="A175" s="2982" t="s">
        <v>29</v>
      </c>
      <c r="B175" s="2971" t="s">
        <v>3179</v>
      </c>
      <c r="C175" s="2988"/>
      <c r="D175" s="2988"/>
      <c r="E175" s="2988"/>
      <c r="F175" s="2972">
        <v>0.05</v>
      </c>
      <c r="G175" s="2984"/>
    </row>
    <row r="176" spans="1:7">
      <c r="A176" s="2982" t="s">
        <v>29</v>
      </c>
      <c r="B176" s="2971" t="s">
        <v>3180</v>
      </c>
      <c r="C176" s="2988"/>
      <c r="D176" s="2988"/>
      <c r="E176" s="2988"/>
      <c r="F176" s="2972">
        <v>0.05</v>
      </c>
      <c r="G176" s="2984"/>
    </row>
    <row r="177" spans="1:7">
      <c r="A177" s="2982" t="s">
        <v>29</v>
      </c>
      <c r="B177" s="2971" t="s">
        <v>3181</v>
      </c>
      <c r="C177" s="2983"/>
      <c r="D177" s="2983"/>
      <c r="E177" s="2983"/>
      <c r="F177" s="2972">
        <v>0.05</v>
      </c>
      <c r="G177" s="2989"/>
    </row>
    <row r="178" spans="1:7">
      <c r="A178" s="2982" t="s">
        <v>29</v>
      </c>
      <c r="B178" s="2971" t="s">
        <v>3182</v>
      </c>
      <c r="C178" s="2983"/>
      <c r="D178" s="2983"/>
      <c r="E178" s="2983"/>
      <c r="F178" s="2972">
        <v>0.05</v>
      </c>
      <c r="G178" s="2989"/>
    </row>
    <row r="179" spans="1:7">
      <c r="A179" s="2982" t="s">
        <v>29</v>
      </c>
      <c r="B179" s="2971" t="s">
        <v>3183</v>
      </c>
      <c r="C179" s="2983"/>
      <c r="D179" s="2983"/>
      <c r="E179" s="2983"/>
      <c r="F179" s="2972">
        <v>0.05</v>
      </c>
      <c r="G179" s="2989"/>
    </row>
    <row r="180" spans="1:7">
      <c r="A180" s="2982" t="s">
        <v>29</v>
      </c>
      <c r="B180" s="2971" t="s">
        <v>3184</v>
      </c>
      <c r="C180" s="2983"/>
      <c r="D180" s="2983"/>
      <c r="E180" s="2983"/>
      <c r="F180" s="2972">
        <v>0.05</v>
      </c>
      <c r="G180" s="2989"/>
    </row>
    <row r="181" spans="1:7">
      <c r="A181" s="2982" t="s">
        <v>29</v>
      </c>
      <c r="B181" s="2971" t="s">
        <v>3185</v>
      </c>
      <c r="C181" s="2983"/>
      <c r="D181" s="2983"/>
      <c r="E181" s="2983"/>
      <c r="F181" s="2972">
        <v>0.05</v>
      </c>
      <c r="G181" s="2989"/>
    </row>
    <row r="182" spans="1:7">
      <c r="A182" s="2982" t="s">
        <v>29</v>
      </c>
      <c r="B182" s="2971" t="s">
        <v>3186</v>
      </c>
      <c r="C182" s="2983"/>
      <c r="D182" s="2983"/>
      <c r="E182" s="2983"/>
      <c r="F182" s="2972">
        <v>0.05</v>
      </c>
      <c r="G182" s="2989"/>
    </row>
    <row r="183" spans="1:7">
      <c r="A183" s="2982" t="s">
        <v>29</v>
      </c>
      <c r="B183" s="2971" t="s">
        <v>3187</v>
      </c>
      <c r="C183" s="2983"/>
      <c r="D183" s="2983"/>
      <c r="E183" s="2983"/>
      <c r="F183" s="2972">
        <v>0.05</v>
      </c>
      <c r="G183" s="2989"/>
    </row>
    <row r="184" spans="1:7">
      <c r="A184" s="2982" t="s">
        <v>29</v>
      </c>
      <c r="B184" s="2971" t="s">
        <v>3188</v>
      </c>
      <c r="C184" s="2983"/>
      <c r="D184" s="2983"/>
      <c r="E184" s="2983"/>
      <c r="F184" s="2972">
        <v>0.05</v>
      </c>
      <c r="G184" s="2989"/>
    </row>
    <row r="185" spans="1:7">
      <c r="A185" s="2982" t="s">
        <v>29</v>
      </c>
      <c r="B185" s="2971" t="s">
        <v>3189</v>
      </c>
      <c r="C185" s="2983"/>
      <c r="D185" s="2983"/>
      <c r="E185" s="2983"/>
      <c r="F185" s="2972">
        <v>0.05</v>
      </c>
      <c r="G185" s="2989"/>
    </row>
    <row r="186" spans="1:7">
      <c r="A186" s="2982" t="s">
        <v>29</v>
      </c>
      <c r="B186" s="2971" t="s">
        <v>3190</v>
      </c>
      <c r="C186" s="2983"/>
      <c r="D186" s="2983"/>
      <c r="E186" s="2983"/>
      <c r="F186" s="2972">
        <v>0.05</v>
      </c>
      <c r="G186" s="2989"/>
    </row>
    <row r="187" spans="1:7">
      <c r="A187" s="2982" t="s">
        <v>29</v>
      </c>
      <c r="B187" s="2971" t="s">
        <v>3191</v>
      </c>
      <c r="C187" s="2983"/>
      <c r="D187" s="2983"/>
      <c r="E187" s="2983"/>
      <c r="F187" s="2972">
        <v>0.05</v>
      </c>
      <c r="G187" s="2989"/>
    </row>
    <row r="188" spans="1:7">
      <c r="A188" s="2982" t="s">
        <v>29</v>
      </c>
      <c r="B188" s="2971" t="s">
        <v>3192</v>
      </c>
      <c r="C188" s="2983"/>
      <c r="D188" s="2983"/>
      <c r="E188" s="2983"/>
      <c r="F188" s="2972">
        <v>0.05</v>
      </c>
      <c r="G188" s="2989"/>
    </row>
    <row r="189" spans="1:7" ht="14.25" thickBot="1">
      <c r="A189" s="2985" t="s">
        <v>29</v>
      </c>
      <c r="B189" s="2975" t="s">
        <v>3193</v>
      </c>
      <c r="C189" s="2977"/>
      <c r="D189" s="2977"/>
      <c r="E189" s="2977"/>
      <c r="F189" s="2976">
        <v>0.05</v>
      </c>
      <c r="G189" s="2990"/>
    </row>
    <row r="190" spans="1:7">
      <c r="A190" s="2981" t="s">
        <v>304</v>
      </c>
      <c r="B190" s="2967" t="s">
        <v>2849</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2885</v>
      </c>
      <c r="C199" s="2972">
        <v>0.13</v>
      </c>
      <c r="D199" s="2972">
        <v>0.13</v>
      </c>
      <c r="E199" s="2972">
        <v>0.13</v>
      </c>
      <c r="F199" s="2972">
        <v>0.13</v>
      </c>
      <c r="G199" s="2973">
        <v>0.13</v>
      </c>
    </row>
    <row r="200" spans="1:7">
      <c r="A200" s="2982" t="s">
        <v>304</v>
      </c>
      <c r="B200" s="2971" t="s">
        <v>2888</v>
      </c>
      <c r="C200" s="2988"/>
      <c r="D200" s="2988"/>
      <c r="E200" s="2988"/>
      <c r="F200" s="2972">
        <v>0.13</v>
      </c>
      <c r="G200" s="2984"/>
    </row>
    <row r="201" spans="1:7">
      <c r="A201" s="2982" t="s">
        <v>304</v>
      </c>
      <c r="B201" s="2971" t="s">
        <v>2893</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2896</v>
      </c>
      <c r="C203" s="2972">
        <v>0.129</v>
      </c>
      <c r="D203" s="2972">
        <v>0.129</v>
      </c>
      <c r="E203" s="2972">
        <v>0.13</v>
      </c>
      <c r="F203" s="2972">
        <v>0.13</v>
      </c>
      <c r="G203" s="2973">
        <v>0.13</v>
      </c>
    </row>
    <row r="204" spans="1:7">
      <c r="A204" s="2982" t="s">
        <v>304</v>
      </c>
      <c r="B204" s="2971" t="s">
        <v>2899</v>
      </c>
      <c r="C204" s="2972">
        <v>0.129</v>
      </c>
      <c r="D204" s="2972">
        <v>0.129</v>
      </c>
      <c r="E204" s="2972">
        <v>0.123</v>
      </c>
      <c r="F204" s="2972">
        <v>0.13</v>
      </c>
      <c r="G204" s="2973">
        <v>0.13</v>
      </c>
    </row>
    <row r="205" spans="1:7">
      <c r="A205" s="2982" t="s">
        <v>304</v>
      </c>
      <c r="B205" s="2971" t="s">
        <v>2901</v>
      </c>
      <c r="C205" s="2972">
        <v>0.13</v>
      </c>
      <c r="D205" s="2972">
        <v>0.13</v>
      </c>
      <c r="E205" s="2972">
        <v>0.13</v>
      </c>
      <c r="F205" s="2972">
        <v>0.13</v>
      </c>
      <c r="G205" s="2973">
        <v>0.13</v>
      </c>
    </row>
    <row r="206" spans="1:7">
      <c r="A206" s="2982" t="s">
        <v>304</v>
      </c>
      <c r="B206" s="2971" t="s">
        <v>2904</v>
      </c>
      <c r="C206" s="2972">
        <v>0.13</v>
      </c>
      <c r="D206" s="2972">
        <v>0.13</v>
      </c>
      <c r="E206" s="2972">
        <v>0.13</v>
      </c>
      <c r="F206" s="2972">
        <v>0.128</v>
      </c>
      <c r="G206" s="2973">
        <v>0.13</v>
      </c>
    </row>
    <row r="207" spans="1:7">
      <c r="A207" s="2982" t="s">
        <v>304</v>
      </c>
      <c r="B207" s="2971" t="s">
        <v>2906</v>
      </c>
      <c r="C207" s="2972">
        <v>0.13</v>
      </c>
      <c r="D207" s="2972">
        <v>0.13</v>
      </c>
      <c r="E207" s="2972">
        <v>0.13</v>
      </c>
      <c r="F207" s="2972">
        <v>0.13</v>
      </c>
      <c r="G207" s="2973">
        <v>0.13</v>
      </c>
    </row>
    <row r="208" spans="1:7">
      <c r="A208" s="2982" t="s">
        <v>304</v>
      </c>
      <c r="B208" s="2971" t="s">
        <v>2909</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2916</v>
      </c>
      <c r="C210" s="2972">
        <v>0.121</v>
      </c>
      <c r="D210" s="2972">
        <v>0.121</v>
      </c>
      <c r="E210" s="2972">
        <v>0.125</v>
      </c>
      <c r="F210" s="2972">
        <v>0.13</v>
      </c>
      <c r="G210" s="2973">
        <v>0.123</v>
      </c>
    </row>
    <row r="211" spans="1:7">
      <c r="A211" s="2982" t="s">
        <v>304</v>
      </c>
      <c r="B211" s="2971" t="s">
        <v>2919</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2931</v>
      </c>
      <c r="C214" s="2972">
        <v>0.128</v>
      </c>
      <c r="D214" s="2972">
        <v>0.128</v>
      </c>
      <c r="E214" s="2972">
        <v>0.13</v>
      </c>
      <c r="F214" s="2972">
        <v>0.13</v>
      </c>
      <c r="G214" s="2973">
        <v>0.13</v>
      </c>
    </row>
    <row r="215" spans="1:7">
      <c r="A215" s="2982" t="s">
        <v>304</v>
      </c>
      <c r="B215" s="2971" t="s">
        <v>2935</v>
      </c>
      <c r="C215" s="2972">
        <v>0.13</v>
      </c>
      <c r="D215" s="2972">
        <v>0.13</v>
      </c>
      <c r="E215" s="2972">
        <v>0.13</v>
      </c>
      <c r="F215" s="2972">
        <v>0.129</v>
      </c>
      <c r="G215" s="2973">
        <v>0.13</v>
      </c>
    </row>
    <row r="216" spans="1:7">
      <c r="A216" s="2982" t="s">
        <v>304</v>
      </c>
      <c r="B216" s="2971" t="s">
        <v>2942</v>
      </c>
      <c r="C216" s="2972">
        <v>0.13</v>
      </c>
      <c r="D216" s="2972">
        <v>0.13</v>
      </c>
      <c r="E216" s="2972">
        <v>0.13</v>
      </c>
      <c r="F216" s="2972">
        <v>0.13</v>
      </c>
      <c r="G216" s="2973">
        <v>0.13</v>
      </c>
    </row>
    <row r="217" spans="1:7">
      <c r="A217" s="2982" t="s">
        <v>304</v>
      </c>
      <c r="B217" s="2971" t="s">
        <v>2949</v>
      </c>
      <c r="C217" s="2972">
        <v>0.129</v>
      </c>
      <c r="D217" s="2972">
        <v>0.129</v>
      </c>
      <c r="E217" s="2972">
        <v>0.13</v>
      </c>
      <c r="F217" s="2972">
        <v>0.13</v>
      </c>
      <c r="G217" s="2973">
        <v>0.13</v>
      </c>
    </row>
    <row r="218" spans="1:7">
      <c r="A218" s="2982" t="s">
        <v>304</v>
      </c>
      <c r="B218" s="2971" t="s">
        <v>2955</v>
      </c>
      <c r="C218" s="2983"/>
      <c r="D218" s="2983"/>
      <c r="E218" s="2983"/>
      <c r="F218" s="2972">
        <v>0.05</v>
      </c>
      <c r="G218" s="2989"/>
    </row>
    <row r="219" spans="1:7">
      <c r="A219" s="2982" t="s">
        <v>304</v>
      </c>
      <c r="B219" s="2971" t="s">
        <v>2962</v>
      </c>
      <c r="C219" s="2983"/>
      <c r="D219" s="2983"/>
      <c r="E219" s="2983"/>
      <c r="F219" s="2972">
        <v>0.05</v>
      </c>
      <c r="G219" s="2989"/>
    </row>
    <row r="220" spans="1:7">
      <c r="A220" s="2982" t="s">
        <v>304</v>
      </c>
      <c r="B220" s="2971" t="s">
        <v>2968</v>
      </c>
      <c r="C220" s="2983"/>
      <c r="D220" s="2983"/>
      <c r="E220" s="2983"/>
      <c r="F220" s="2972">
        <v>0.05</v>
      </c>
      <c r="G220" s="2989"/>
    </row>
    <row r="221" spans="1:7">
      <c r="A221" s="2982" t="s">
        <v>304</v>
      </c>
      <c r="B221" s="2971" t="s">
        <v>2973</v>
      </c>
      <c r="C221" s="2983"/>
      <c r="D221" s="2983"/>
      <c r="E221" s="2983"/>
      <c r="F221" s="2972">
        <v>0.05</v>
      </c>
      <c r="G221" s="2989"/>
    </row>
    <row r="222" spans="1:7">
      <c r="A222" s="2982" t="s">
        <v>304</v>
      </c>
      <c r="B222" s="2971" t="s">
        <v>2977</v>
      </c>
      <c r="C222" s="2983"/>
      <c r="D222" s="2983"/>
      <c r="E222" s="2983"/>
      <c r="F222" s="2972">
        <v>0.05</v>
      </c>
      <c r="G222" s="2989"/>
    </row>
    <row r="223" spans="1:7">
      <c r="A223" s="2982" t="s">
        <v>304</v>
      </c>
      <c r="B223" s="2971" t="s">
        <v>2982</v>
      </c>
      <c r="C223" s="2983"/>
      <c r="D223" s="2983"/>
      <c r="E223" s="2983"/>
      <c r="F223" s="2972">
        <v>0.05</v>
      </c>
      <c r="G223" s="2989"/>
    </row>
    <row r="224" spans="1:7">
      <c r="A224" s="2982" t="s">
        <v>304</v>
      </c>
      <c r="B224" s="2971" t="s">
        <v>2987</v>
      </c>
      <c r="C224" s="2983"/>
      <c r="D224" s="2983"/>
      <c r="E224" s="2983"/>
      <c r="F224" s="2972">
        <v>0.05</v>
      </c>
      <c r="G224" s="2989"/>
    </row>
    <row r="225" spans="1:7">
      <c r="A225" s="2982" t="s">
        <v>304</v>
      </c>
      <c r="B225" s="2971" t="s">
        <v>2992</v>
      </c>
      <c r="C225" s="2983"/>
      <c r="D225" s="2983"/>
      <c r="E225" s="2983"/>
      <c r="F225" s="2972">
        <v>0.05</v>
      </c>
      <c r="G225" s="2989"/>
    </row>
    <row r="226" spans="1:7">
      <c r="A226" s="2982" t="s">
        <v>304</v>
      </c>
      <c r="B226" s="2971" t="s">
        <v>3194</v>
      </c>
      <c r="C226" s="2983"/>
      <c r="D226" s="2983"/>
      <c r="E226" s="2983"/>
      <c r="F226" s="2972">
        <v>0.05</v>
      </c>
      <c r="G226" s="2989"/>
    </row>
    <row r="227" spans="1:7">
      <c r="A227" s="2982" t="s">
        <v>304</v>
      </c>
      <c r="B227" s="2971" t="s">
        <v>3195</v>
      </c>
      <c r="C227" s="2983"/>
      <c r="D227" s="2983"/>
      <c r="E227" s="2983"/>
      <c r="F227" s="2972">
        <v>0.05</v>
      </c>
      <c r="G227" s="2989"/>
    </row>
    <row r="228" spans="1:7">
      <c r="A228" s="2982" t="s">
        <v>304</v>
      </c>
      <c r="B228" s="2971" t="s">
        <v>3196</v>
      </c>
      <c r="C228" s="2983"/>
      <c r="D228" s="2983"/>
      <c r="E228" s="2983"/>
      <c r="F228" s="2972">
        <v>0.05</v>
      </c>
      <c r="G228" s="2989"/>
    </row>
    <row r="229" spans="1:7">
      <c r="A229" s="2982" t="s">
        <v>304</v>
      </c>
      <c r="B229" s="2971" t="s">
        <v>3197</v>
      </c>
      <c r="C229" s="2983"/>
      <c r="D229" s="2983"/>
      <c r="E229" s="2983"/>
      <c r="F229" s="2972">
        <v>0.05</v>
      </c>
      <c r="G229" s="2989"/>
    </row>
    <row r="230" spans="1:7">
      <c r="A230" s="2982" t="s">
        <v>304</v>
      </c>
      <c r="B230" s="2971" t="s">
        <v>3198</v>
      </c>
      <c r="C230" s="2983"/>
      <c r="D230" s="2983"/>
      <c r="E230" s="2983"/>
      <c r="F230" s="2972">
        <v>0.05</v>
      </c>
      <c r="G230" s="2989"/>
    </row>
    <row r="231" spans="1:7">
      <c r="A231" s="2982" t="s">
        <v>304</v>
      </c>
      <c r="B231" s="2971" t="s">
        <v>3199</v>
      </c>
      <c r="C231" s="2983"/>
      <c r="D231" s="2983"/>
      <c r="E231" s="2983"/>
      <c r="F231" s="2972">
        <v>0.05</v>
      </c>
      <c r="G231" s="2989"/>
    </row>
    <row r="232" spans="1:7">
      <c r="A232" s="2982" t="s">
        <v>304</v>
      </c>
      <c r="B232" s="2971" t="s">
        <v>3200</v>
      </c>
      <c r="C232" s="2983"/>
      <c r="D232" s="2983"/>
      <c r="E232" s="2983"/>
      <c r="F232" s="2972">
        <v>0.05</v>
      </c>
      <c r="G232" s="2989"/>
    </row>
    <row r="233" spans="1:7" ht="14.25" thickBot="1">
      <c r="A233" s="2985" t="s">
        <v>304</v>
      </c>
      <c r="B233" s="2975" t="s">
        <v>3201</v>
      </c>
      <c r="C233" s="2977"/>
      <c r="D233" s="2977"/>
      <c r="E233" s="2977"/>
      <c r="F233" s="2976">
        <v>0.05</v>
      </c>
      <c r="G233" s="2990"/>
    </row>
    <row r="234" spans="1:7">
      <c r="A234" s="2981" t="s">
        <v>305</v>
      </c>
      <c r="B234" s="2967" t="s">
        <v>2850</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2870</v>
      </c>
      <c r="C238" s="2972">
        <v>0.14899999999999999</v>
      </c>
      <c r="D238" s="2972">
        <v>0.14899999999999999</v>
      </c>
      <c r="E238" s="2972">
        <v>0.15</v>
      </c>
      <c r="F238" s="2972">
        <v>0.15</v>
      </c>
      <c r="G238" s="2973">
        <v>0.15</v>
      </c>
    </row>
    <row r="239" spans="1:7">
      <c r="A239" s="2982" t="s">
        <v>305</v>
      </c>
      <c r="B239" s="2971" t="s">
        <v>2874</v>
      </c>
      <c r="C239" s="2972">
        <v>0.15</v>
      </c>
      <c r="D239" s="2972">
        <v>0.15</v>
      </c>
      <c r="E239" s="2972">
        <v>0.15</v>
      </c>
      <c r="F239" s="2972">
        <v>0.15</v>
      </c>
      <c r="G239" s="2973">
        <v>0.15</v>
      </c>
    </row>
    <row r="240" spans="1:7">
      <c r="A240" s="2982" t="s">
        <v>305</v>
      </c>
      <c r="B240" s="2971" t="s">
        <v>2879</v>
      </c>
      <c r="C240" s="2972">
        <v>0.15</v>
      </c>
      <c r="D240" s="2972">
        <v>0.15</v>
      </c>
      <c r="E240" s="2972">
        <v>0.15</v>
      </c>
      <c r="F240" s="2972">
        <v>0.15</v>
      </c>
      <c r="G240" s="2973">
        <v>0.15</v>
      </c>
    </row>
    <row r="241" spans="1:7">
      <c r="A241" s="2982" t="s">
        <v>305</v>
      </c>
      <c r="B241" s="2971" t="s">
        <v>2883</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2889</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2897</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2902</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2910</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2923</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2932</v>
      </c>
      <c r="C258" s="2972">
        <v>0.14299999999999999</v>
      </c>
      <c r="D258" s="2972">
        <v>0.14299999999999999</v>
      </c>
      <c r="E258" s="2972">
        <v>0.15</v>
      </c>
      <c r="F258" s="2972">
        <v>0.14799999999999999</v>
      </c>
      <c r="G258" s="2973">
        <v>0.14599999999999999</v>
      </c>
    </row>
    <row r="259" spans="1:7">
      <c r="A259" s="2982" t="s">
        <v>305</v>
      </c>
      <c r="B259" s="2971" t="s">
        <v>2936</v>
      </c>
      <c r="C259" s="2972">
        <v>0.14399999999999999</v>
      </c>
      <c r="D259" s="2972">
        <v>0.14399999999999999</v>
      </c>
      <c r="E259" s="2972">
        <v>0.14899999999999999</v>
      </c>
      <c r="F259" s="2972">
        <v>0.14699999999999999</v>
      </c>
      <c r="G259" s="2973">
        <v>0.14599999999999999</v>
      </c>
    </row>
    <row r="260" spans="1:7">
      <c r="A260" s="2982" t="s">
        <v>305</v>
      </c>
      <c r="B260" s="2971" t="s">
        <v>2943</v>
      </c>
      <c r="C260" s="2972">
        <v>0.109</v>
      </c>
      <c r="D260" s="2972">
        <v>0.111</v>
      </c>
      <c r="E260" s="2972">
        <v>0.13100000000000001</v>
      </c>
      <c r="F260" s="2972">
        <v>0.126</v>
      </c>
      <c r="G260" s="2973">
        <v>0.11899999999999999</v>
      </c>
    </row>
    <row r="261" spans="1:7">
      <c r="A261" s="2982" t="s">
        <v>305</v>
      </c>
      <c r="B261" s="2971" t="s">
        <v>2950</v>
      </c>
      <c r="C261" s="2972">
        <v>0.1</v>
      </c>
      <c r="D261" s="2972">
        <v>0.1</v>
      </c>
      <c r="E261" s="2972">
        <v>0.11799999999999999</v>
      </c>
      <c r="F261" s="2972">
        <v>0.108</v>
      </c>
      <c r="G261" s="2973">
        <v>0.107</v>
      </c>
    </row>
    <row r="262" spans="1:7">
      <c r="A262" s="2982" t="s">
        <v>305</v>
      </c>
      <c r="B262" s="2971" t="s">
        <v>2956</v>
      </c>
      <c r="C262" s="2972">
        <v>0.1</v>
      </c>
      <c r="D262" s="2972">
        <v>0.1</v>
      </c>
      <c r="E262" s="2972">
        <v>0.1</v>
      </c>
      <c r="F262" s="2972">
        <v>0.14099999999999999</v>
      </c>
      <c r="G262" s="2973">
        <v>0.1</v>
      </c>
    </row>
    <row r="263" spans="1:7">
      <c r="A263" s="2982" t="s">
        <v>305</v>
      </c>
      <c r="B263" s="2971" t="s">
        <v>2963</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2974</v>
      </c>
      <c r="C265" s="2983"/>
      <c r="D265" s="2983"/>
      <c r="E265" s="2983"/>
      <c r="F265" s="2972">
        <v>0.05</v>
      </c>
      <c r="G265" s="2989"/>
    </row>
    <row r="266" spans="1:7">
      <c r="A266" s="2982" t="s">
        <v>305</v>
      </c>
      <c r="B266" s="2971" t="s">
        <v>2978</v>
      </c>
      <c r="C266" s="2983"/>
      <c r="D266" s="2983"/>
      <c r="E266" s="2983"/>
      <c r="F266" s="2972">
        <v>0.05</v>
      </c>
      <c r="G266" s="2989"/>
    </row>
    <row r="267" spans="1:7">
      <c r="A267" s="2982" t="s">
        <v>305</v>
      </c>
      <c r="B267" s="2971" t="s">
        <v>2983</v>
      </c>
      <c r="C267" s="2983"/>
      <c r="D267" s="2983"/>
      <c r="E267" s="2983"/>
      <c r="F267" s="2972">
        <v>0.05</v>
      </c>
      <c r="G267" s="2989"/>
    </row>
    <row r="268" spans="1:7">
      <c r="A268" s="2982" t="s">
        <v>305</v>
      </c>
      <c r="B268" s="2971" t="s">
        <v>2988</v>
      </c>
      <c r="C268" s="2983"/>
      <c r="D268" s="2983"/>
      <c r="E268" s="2983"/>
      <c r="F268" s="2972">
        <v>0.05</v>
      </c>
      <c r="G268" s="2989"/>
    </row>
    <row r="269" spans="1:7">
      <c r="A269" s="2982" t="s">
        <v>305</v>
      </c>
      <c r="B269" s="2971" t="s">
        <v>2993</v>
      </c>
      <c r="C269" s="2983"/>
      <c r="D269" s="2983"/>
      <c r="E269" s="2983"/>
      <c r="F269" s="2972">
        <v>0.05</v>
      </c>
      <c r="G269" s="2989"/>
    </row>
    <row r="270" spans="1:7">
      <c r="A270" s="2982" t="s">
        <v>305</v>
      </c>
      <c r="B270" s="2971" t="s">
        <v>2998</v>
      </c>
      <c r="C270" s="2983"/>
      <c r="D270" s="2983"/>
      <c r="E270" s="2983"/>
      <c r="F270" s="2972">
        <v>0.05</v>
      </c>
      <c r="G270" s="2989"/>
    </row>
    <row r="271" spans="1:7">
      <c r="A271" s="2982" t="s">
        <v>305</v>
      </c>
      <c r="B271" s="2971" t="s">
        <v>3202</v>
      </c>
      <c r="C271" s="2983"/>
      <c r="D271" s="2983"/>
      <c r="E271" s="2983"/>
      <c r="F271" s="2972">
        <v>0.05</v>
      </c>
      <c r="G271" s="2989"/>
    </row>
    <row r="272" spans="1:7">
      <c r="A272" s="2982" t="s">
        <v>305</v>
      </c>
      <c r="B272" s="2971" t="s">
        <v>3203</v>
      </c>
      <c r="C272" s="2983"/>
      <c r="D272" s="2983"/>
      <c r="E272" s="2983"/>
      <c r="F272" s="2972">
        <v>0.05</v>
      </c>
      <c r="G272" s="2989"/>
    </row>
    <row r="273" spans="1:7">
      <c r="A273" s="2982" t="s">
        <v>305</v>
      </c>
      <c r="B273" s="2971" t="s">
        <v>3204</v>
      </c>
      <c r="C273" s="2983"/>
      <c r="D273" s="2983"/>
      <c r="E273" s="2983"/>
      <c r="F273" s="2972">
        <v>0.05</v>
      </c>
      <c r="G273" s="2989"/>
    </row>
    <row r="274" spans="1:7">
      <c r="A274" s="2982" t="s">
        <v>305</v>
      </c>
      <c r="B274" s="2971" t="s">
        <v>3205</v>
      </c>
      <c r="C274" s="2983"/>
      <c r="D274" s="2983"/>
      <c r="E274" s="2983"/>
      <c r="F274" s="2972">
        <v>0.05</v>
      </c>
      <c r="G274" s="2989"/>
    </row>
    <row r="275" spans="1:7">
      <c r="A275" s="2982" t="s">
        <v>305</v>
      </c>
      <c r="B275" s="2971" t="s">
        <v>3206</v>
      </c>
      <c r="C275" s="2983"/>
      <c r="D275" s="2983"/>
      <c r="E275" s="2983"/>
      <c r="F275" s="2972">
        <v>0.05</v>
      </c>
      <c r="G275" s="2989"/>
    </row>
    <row r="276" spans="1:7" ht="14.25" thickBot="1">
      <c r="A276" s="2985" t="s">
        <v>305</v>
      </c>
      <c r="B276" s="2975" t="s">
        <v>3207</v>
      </c>
      <c r="C276" s="2977"/>
      <c r="D276" s="2977"/>
      <c r="E276" s="2977"/>
      <c r="F276" s="2976">
        <v>0.05</v>
      </c>
      <c r="G276" s="2990"/>
    </row>
    <row r="277" spans="1:7">
      <c r="A277" s="2981" t="s">
        <v>306</v>
      </c>
      <c r="B277" s="2967" t="s">
        <v>2851</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2863</v>
      </c>
      <c r="C279" s="2972">
        <v>0.15</v>
      </c>
      <c r="D279" s="2972">
        <v>0.15</v>
      </c>
      <c r="E279" s="2972">
        <v>0.15</v>
      </c>
      <c r="F279" s="2972">
        <v>0.15</v>
      </c>
      <c r="G279" s="2973">
        <v>0.15</v>
      </c>
    </row>
    <row r="280" spans="1:7">
      <c r="A280" s="2982" t="s">
        <v>306</v>
      </c>
      <c r="B280" s="2971" t="s">
        <v>2867</v>
      </c>
      <c r="C280" s="2972">
        <v>0.15</v>
      </c>
      <c r="D280" s="2972">
        <v>0.15</v>
      </c>
      <c r="E280" s="2972">
        <v>0.15</v>
      </c>
      <c r="F280" s="2972">
        <v>0.15</v>
      </c>
      <c r="G280" s="2973">
        <v>0.15</v>
      </c>
    </row>
    <row r="281" spans="1:7">
      <c r="A281" s="2982" t="s">
        <v>306</v>
      </c>
      <c r="B281" s="2971" t="s">
        <v>2871</v>
      </c>
      <c r="C281" s="2972">
        <v>0.15</v>
      </c>
      <c r="D281" s="2972">
        <v>0.15</v>
      </c>
      <c r="E281" s="2972">
        <v>0.15</v>
      </c>
      <c r="F281" s="2972">
        <v>0.15</v>
      </c>
      <c r="G281" s="2973">
        <v>0.15</v>
      </c>
    </row>
    <row r="282" spans="1:7">
      <c r="A282" s="2982" t="s">
        <v>306</v>
      </c>
      <c r="B282" s="2971" t="s">
        <v>2875</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2890</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2895</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2905</v>
      </c>
      <c r="C293" s="2972">
        <v>0.15</v>
      </c>
      <c r="D293" s="2972">
        <v>0.15</v>
      </c>
      <c r="E293" s="2972">
        <v>0.15</v>
      </c>
      <c r="F293" s="2972">
        <v>0.14499999999999999</v>
      </c>
      <c r="G293" s="2973">
        <v>0.15</v>
      </c>
    </row>
    <row r="294" spans="1:7">
      <c r="A294" s="2982" t="s">
        <v>306</v>
      </c>
      <c r="B294" s="2971" t="s">
        <v>2907</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2924</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2937</v>
      </c>
      <c r="C302" s="2972">
        <v>0.15</v>
      </c>
      <c r="D302" s="2972">
        <v>0.15</v>
      </c>
      <c r="E302" s="2972">
        <v>0.15</v>
      </c>
      <c r="F302" s="2972">
        <v>0.14699999999999999</v>
      </c>
      <c r="G302" s="2973">
        <v>0.15</v>
      </c>
    </row>
    <row r="303" spans="1:7">
      <c r="A303" s="2982" t="s">
        <v>306</v>
      </c>
      <c r="B303" s="2971" t="s">
        <v>2944</v>
      </c>
      <c r="C303" s="2972">
        <v>0.15</v>
      </c>
      <c r="D303" s="2972">
        <v>0.15</v>
      </c>
      <c r="E303" s="2972">
        <v>0.15</v>
      </c>
      <c r="F303" s="2972">
        <v>0.14199999999999999</v>
      </c>
      <c r="G303" s="2973">
        <v>0.15</v>
      </c>
    </row>
    <row r="304" spans="1:7">
      <c r="A304" s="2982" t="s">
        <v>306</v>
      </c>
      <c r="B304" s="2971" t="s">
        <v>2951</v>
      </c>
      <c r="C304" s="2972">
        <v>0.15</v>
      </c>
      <c r="D304" s="2972">
        <v>0.15</v>
      </c>
      <c r="E304" s="2972">
        <v>0.15</v>
      </c>
      <c r="F304" s="2972">
        <v>0.14499999999999999</v>
      </c>
      <c r="G304" s="2973">
        <v>0.15</v>
      </c>
    </row>
    <row r="305" spans="1:7">
      <c r="A305" s="2982" t="s">
        <v>306</v>
      </c>
      <c r="B305" s="2971" t="s">
        <v>2957</v>
      </c>
      <c r="C305" s="2972">
        <v>0.15</v>
      </c>
      <c r="D305" s="2972">
        <v>0.15</v>
      </c>
      <c r="E305" s="2972">
        <v>0.15</v>
      </c>
      <c r="F305" s="2972">
        <v>0.111</v>
      </c>
      <c r="G305" s="2973">
        <v>0.15</v>
      </c>
    </row>
    <row r="306" spans="1:7">
      <c r="A306" s="2982" t="s">
        <v>306</v>
      </c>
      <c r="B306" s="2971" t="s">
        <v>2964</v>
      </c>
      <c r="C306" s="2972">
        <v>0.15</v>
      </c>
      <c r="D306" s="2972">
        <v>0.15</v>
      </c>
      <c r="E306" s="2972">
        <v>0.15</v>
      </c>
      <c r="F306" s="2972">
        <v>0.126</v>
      </c>
      <c r="G306" s="2973">
        <v>0.15</v>
      </c>
    </row>
    <row r="307" spans="1:7">
      <c r="A307" s="2982" t="s">
        <v>306</v>
      </c>
      <c r="B307" s="2971" t="s">
        <v>2969</v>
      </c>
      <c r="C307" s="2972">
        <v>0.15</v>
      </c>
      <c r="D307" s="2972">
        <v>0.15</v>
      </c>
      <c r="E307" s="2972">
        <v>0.15</v>
      </c>
      <c r="F307" s="2972">
        <v>0.12</v>
      </c>
      <c r="G307" s="2973">
        <v>0.15</v>
      </c>
    </row>
    <row r="308" spans="1:7">
      <c r="A308" s="2982" t="s">
        <v>306</v>
      </c>
      <c r="B308" s="2971" t="s">
        <v>2975</v>
      </c>
      <c r="C308" s="2972">
        <v>0.15</v>
      </c>
      <c r="D308" s="2972">
        <v>0.15</v>
      </c>
      <c r="E308" s="2972">
        <v>0.15</v>
      </c>
      <c r="F308" s="2972">
        <v>0.13</v>
      </c>
      <c r="G308" s="2973">
        <v>0.15</v>
      </c>
    </row>
    <row r="309" spans="1:7">
      <c r="A309" s="2982" t="s">
        <v>306</v>
      </c>
      <c r="B309" s="2971" t="s">
        <v>2979</v>
      </c>
      <c r="C309" s="2972">
        <v>0.15</v>
      </c>
      <c r="D309" s="2972">
        <v>0.15</v>
      </c>
      <c r="E309" s="2972">
        <v>0.15</v>
      </c>
      <c r="F309" s="2972">
        <v>0.14099999999999999</v>
      </c>
      <c r="G309" s="2973">
        <v>0.15</v>
      </c>
    </row>
    <row r="310" spans="1:7">
      <c r="A310" s="2982" t="s">
        <v>306</v>
      </c>
      <c r="B310" s="2971" t="s">
        <v>2984</v>
      </c>
      <c r="C310" s="2972">
        <v>0.15</v>
      </c>
      <c r="D310" s="2972">
        <v>0.15</v>
      </c>
      <c r="E310" s="2972">
        <v>0.15</v>
      </c>
      <c r="F310" s="2972">
        <v>0.15</v>
      </c>
      <c r="G310" s="2973">
        <v>0.15</v>
      </c>
    </row>
    <row r="311" spans="1:7">
      <c r="A311" s="2982" t="s">
        <v>306</v>
      </c>
      <c r="B311" s="2971" t="s">
        <v>2989</v>
      </c>
      <c r="C311" s="2972">
        <v>0.13200000000000001</v>
      </c>
      <c r="D311" s="2972">
        <v>0.13300000000000001</v>
      </c>
      <c r="E311" s="2972">
        <v>0.14499999999999999</v>
      </c>
      <c r="F311" s="2972">
        <v>0.14199999999999999</v>
      </c>
      <c r="G311" s="2973">
        <v>0.14000000000000001</v>
      </c>
    </row>
    <row r="312" spans="1:7">
      <c r="A312" s="2982" t="s">
        <v>306</v>
      </c>
      <c r="B312" s="2971" t="s">
        <v>2994</v>
      </c>
      <c r="C312" s="2972">
        <v>0.13800000000000001</v>
      </c>
      <c r="D312" s="2972">
        <v>0.14000000000000001</v>
      </c>
      <c r="E312" s="2972">
        <v>0.14599999999999999</v>
      </c>
      <c r="F312" s="2972">
        <v>0.14899999999999999</v>
      </c>
      <c r="G312" s="2973">
        <v>0.14199999999999999</v>
      </c>
    </row>
    <row r="313" spans="1:7">
      <c r="A313" s="2982" t="s">
        <v>306</v>
      </c>
      <c r="B313" s="2971" t="s">
        <v>2999</v>
      </c>
      <c r="C313" s="2972">
        <v>0.125</v>
      </c>
      <c r="D313" s="2972">
        <v>0.127</v>
      </c>
      <c r="E313" s="2972">
        <v>0.14399999999999999</v>
      </c>
      <c r="F313" s="2972">
        <v>0.115</v>
      </c>
      <c r="G313" s="2973">
        <v>0.13600000000000001</v>
      </c>
    </row>
    <row r="314" spans="1:7">
      <c r="A314" s="2982" t="s">
        <v>306</v>
      </c>
      <c r="B314" s="2971" t="s">
        <v>3208</v>
      </c>
      <c r="C314" s="2988"/>
      <c r="D314" s="2988"/>
      <c r="E314" s="2988"/>
      <c r="F314" s="2972">
        <v>0.05</v>
      </c>
      <c r="G314" s="2989"/>
    </row>
    <row r="315" spans="1:7">
      <c r="A315" s="2982" t="s">
        <v>306</v>
      </c>
      <c r="B315" s="2971" t="s">
        <v>3209</v>
      </c>
      <c r="C315" s="2988"/>
      <c r="D315" s="2988"/>
      <c r="E315" s="2988"/>
      <c r="F315" s="2972">
        <v>0.05</v>
      </c>
      <c r="G315" s="2989"/>
    </row>
    <row r="316" spans="1:7">
      <c r="A316" s="2982" t="s">
        <v>306</v>
      </c>
      <c r="B316" s="2971" t="s">
        <v>3210</v>
      </c>
      <c r="C316" s="2983"/>
      <c r="D316" s="2983"/>
      <c r="E316" s="2983"/>
      <c r="F316" s="2972">
        <v>0.05</v>
      </c>
      <c r="G316" s="2989"/>
    </row>
    <row r="317" spans="1:7">
      <c r="A317" s="2982" t="s">
        <v>306</v>
      </c>
      <c r="B317" s="2971" t="s">
        <v>3211</v>
      </c>
      <c r="C317" s="2983"/>
      <c r="D317" s="2983"/>
      <c r="E317" s="2983"/>
      <c r="F317" s="2972">
        <v>0.05</v>
      </c>
      <c r="G317" s="2989"/>
    </row>
    <row r="318" spans="1:7">
      <c r="A318" s="2982" t="s">
        <v>306</v>
      </c>
      <c r="B318" s="2971" t="s">
        <v>3212</v>
      </c>
      <c r="C318" s="2983"/>
      <c r="D318" s="2983"/>
      <c r="E318" s="2983"/>
      <c r="F318" s="2972">
        <v>0.05</v>
      </c>
      <c r="G318" s="2989"/>
    </row>
    <row r="319" spans="1:7">
      <c r="A319" s="2982" t="s">
        <v>306</v>
      </c>
      <c r="B319" s="2971" t="s">
        <v>3213</v>
      </c>
      <c r="C319" s="2983"/>
      <c r="D319" s="2983"/>
      <c r="E319" s="2983"/>
      <c r="F319" s="2972">
        <v>0.05</v>
      </c>
      <c r="G319" s="2989"/>
    </row>
    <row r="320" spans="1:7">
      <c r="A320" s="2982" t="s">
        <v>306</v>
      </c>
      <c r="B320" s="2971" t="s">
        <v>3214</v>
      </c>
      <c r="C320" s="2983"/>
      <c r="D320" s="2983"/>
      <c r="E320" s="2983"/>
      <c r="F320" s="2972">
        <v>0.05</v>
      </c>
      <c r="G320" s="2989"/>
    </row>
    <row r="321" spans="1:7">
      <c r="A321" s="2982" t="s">
        <v>306</v>
      </c>
      <c r="B321" s="2971" t="s">
        <v>3215</v>
      </c>
      <c r="C321" s="2983"/>
      <c r="D321" s="2983"/>
      <c r="E321" s="2983"/>
      <c r="F321" s="2972">
        <v>0.05</v>
      </c>
      <c r="G321" s="2989"/>
    </row>
    <row r="322" spans="1:7">
      <c r="A322" s="2982" t="s">
        <v>306</v>
      </c>
      <c r="B322" s="2971" t="s">
        <v>3216</v>
      </c>
      <c r="C322" s="2983"/>
      <c r="D322" s="2983"/>
      <c r="E322" s="2983"/>
      <c r="F322" s="2972">
        <v>0.05</v>
      </c>
      <c r="G322" s="2989"/>
    </row>
    <row r="323" spans="1:7">
      <c r="A323" s="2982" t="s">
        <v>306</v>
      </c>
      <c r="B323" s="2971" t="s">
        <v>3217</v>
      </c>
      <c r="C323" s="2983"/>
      <c r="D323" s="2983"/>
      <c r="E323" s="2983"/>
      <c r="F323" s="2972">
        <v>0.05</v>
      </c>
      <c r="G323" s="2989"/>
    </row>
    <row r="324" spans="1:7">
      <c r="A324" s="2982" t="s">
        <v>306</v>
      </c>
      <c r="B324" s="2971" t="s">
        <v>3218</v>
      </c>
      <c r="C324" s="2983"/>
      <c r="D324" s="2983"/>
      <c r="E324" s="2983"/>
      <c r="F324" s="2972">
        <v>0.05</v>
      </c>
      <c r="G324" s="2989"/>
    </row>
    <row r="325" spans="1:7">
      <c r="A325" s="2982" t="s">
        <v>306</v>
      </c>
      <c r="B325" s="2971" t="s">
        <v>3219</v>
      </c>
      <c r="C325" s="2983"/>
      <c r="D325" s="2983"/>
      <c r="E325" s="2983"/>
      <c r="F325" s="2972">
        <v>0.05</v>
      </c>
      <c r="G325" s="2989"/>
    </row>
    <row r="326" spans="1:7" ht="14.25" thickBot="1">
      <c r="A326" s="2985" t="s">
        <v>306</v>
      </c>
      <c r="B326" s="2975" t="s">
        <v>3220</v>
      </c>
      <c r="C326" s="2977"/>
      <c r="D326" s="2977"/>
      <c r="E326" s="2977"/>
      <c r="F326" s="2976">
        <v>0.05</v>
      </c>
      <c r="G326" s="2990"/>
    </row>
    <row r="327" spans="1:7">
      <c r="A327" s="2981" t="s">
        <v>307</v>
      </c>
      <c r="B327" s="2967" t="s">
        <v>2852</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2864</v>
      </c>
      <c r="C329" s="2972">
        <v>0.15</v>
      </c>
      <c r="D329" s="2972">
        <v>0.15</v>
      </c>
      <c r="E329" s="2972">
        <v>0.15</v>
      </c>
      <c r="F329" s="2972">
        <v>0.15</v>
      </c>
      <c r="G329" s="2973">
        <v>0.15</v>
      </c>
    </row>
    <row r="330" spans="1:7">
      <c r="A330" s="2982" t="s">
        <v>307</v>
      </c>
      <c r="B330" s="2971" t="s">
        <v>2868</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2876</v>
      </c>
      <c r="C332" s="2972">
        <v>0.15</v>
      </c>
      <c r="D332" s="2972">
        <v>0.15</v>
      </c>
      <c r="E332" s="2972">
        <v>0.15</v>
      </c>
      <c r="F332" s="2972">
        <v>0.15</v>
      </c>
      <c r="G332" s="2973">
        <v>0.15</v>
      </c>
    </row>
    <row r="333" spans="1:7">
      <c r="A333" s="2982" t="s">
        <v>307</v>
      </c>
      <c r="B333" s="2971" t="s">
        <v>2880</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2886</v>
      </c>
      <c r="C336" s="2972">
        <v>0.15</v>
      </c>
      <c r="D336" s="2972">
        <v>0.15</v>
      </c>
      <c r="E336" s="2972">
        <v>0.15</v>
      </c>
      <c r="F336" s="2972">
        <v>0.14199999999999999</v>
      </c>
      <c r="G336" s="2973">
        <v>0.15</v>
      </c>
    </row>
    <row r="337" spans="1:7">
      <c r="A337" s="2982" t="s">
        <v>307</v>
      </c>
      <c r="B337" s="2971" t="s">
        <v>2891</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2898</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2903</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2911</v>
      </c>
      <c r="C345" s="2972">
        <v>0.15</v>
      </c>
      <c r="D345" s="2972">
        <v>0.15</v>
      </c>
      <c r="E345" s="2972">
        <v>0.15</v>
      </c>
      <c r="F345" s="2972">
        <v>0.13800000000000001</v>
      </c>
      <c r="G345" s="2973">
        <v>0.15</v>
      </c>
    </row>
    <row r="346" spans="1:7">
      <c r="A346" s="2982" t="s">
        <v>307</v>
      </c>
      <c r="B346" s="2971" t="s">
        <v>2913</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2920</v>
      </c>
      <c r="C348" s="2972">
        <v>0.15</v>
      </c>
      <c r="D348" s="2972">
        <v>0.15</v>
      </c>
      <c r="E348" s="2972">
        <v>0.15</v>
      </c>
      <c r="F348" s="2972">
        <v>0.14399999999999999</v>
      </c>
      <c r="G348" s="2973">
        <v>0.15</v>
      </c>
    </row>
    <row r="349" spans="1:7">
      <c r="A349" s="2982" t="s">
        <v>307</v>
      </c>
      <c r="B349" s="2971" t="s">
        <v>2925</v>
      </c>
      <c r="C349" s="2972">
        <v>0.15</v>
      </c>
      <c r="D349" s="2972">
        <v>0.15</v>
      </c>
      <c r="E349" s="2972">
        <v>0.15</v>
      </c>
      <c r="F349" s="2972">
        <v>0.15</v>
      </c>
      <c r="G349" s="2973">
        <v>0.15</v>
      </c>
    </row>
    <row r="350" spans="1:7">
      <c r="A350" s="2982" t="s">
        <v>307</v>
      </c>
      <c r="B350" s="2971" t="s">
        <v>2928</v>
      </c>
      <c r="C350" s="2972">
        <v>0.15</v>
      </c>
      <c r="D350" s="2972">
        <v>0.15</v>
      </c>
      <c r="E350" s="2972">
        <v>0.15</v>
      </c>
      <c r="F350" s="2972">
        <v>0.14699999999999999</v>
      </c>
      <c r="G350" s="2973">
        <v>0.15</v>
      </c>
    </row>
    <row r="351" spans="1:7">
      <c r="A351" s="2982" t="s">
        <v>307</v>
      </c>
      <c r="B351" s="2971" t="s">
        <v>2933</v>
      </c>
      <c r="C351" s="2972">
        <v>0.15</v>
      </c>
      <c r="D351" s="2972">
        <v>0.15</v>
      </c>
      <c r="E351" s="2972">
        <v>0.15</v>
      </c>
      <c r="F351" s="2972">
        <v>0.13</v>
      </c>
      <c r="G351" s="2973">
        <v>0.15</v>
      </c>
    </row>
    <row r="352" spans="1:7">
      <c r="A352" s="2982" t="s">
        <v>307</v>
      </c>
      <c r="B352" s="2971" t="s">
        <v>2938</v>
      </c>
      <c r="C352" s="2972">
        <v>0.15</v>
      </c>
      <c r="D352" s="2972">
        <v>0.15</v>
      </c>
      <c r="E352" s="2972">
        <v>0.15</v>
      </c>
      <c r="F352" s="2972">
        <v>0.14599999999999999</v>
      </c>
      <c r="G352" s="2973">
        <v>0.15</v>
      </c>
    </row>
    <row r="353" spans="1:7">
      <c r="A353" s="2982" t="s">
        <v>307</v>
      </c>
      <c r="B353" s="2971" t="s">
        <v>2945</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2958</v>
      </c>
      <c r="C355" s="2972">
        <v>0.15</v>
      </c>
      <c r="D355" s="2972">
        <v>0.15</v>
      </c>
      <c r="E355" s="2972">
        <v>0.15</v>
      </c>
      <c r="F355" s="2972">
        <v>0.15</v>
      </c>
      <c r="G355" s="2973">
        <v>0.15</v>
      </c>
    </row>
    <row r="356" spans="1:7">
      <c r="A356" s="2982" t="s">
        <v>307</v>
      </c>
      <c r="B356" s="2971" t="s">
        <v>2965</v>
      </c>
      <c r="C356" s="2972">
        <v>0.15</v>
      </c>
      <c r="D356" s="2972">
        <v>0.15</v>
      </c>
      <c r="E356" s="2972">
        <v>0.15</v>
      </c>
      <c r="F356" s="2972">
        <v>0.15</v>
      </c>
      <c r="G356" s="2973">
        <v>0.15</v>
      </c>
    </row>
    <row r="357" spans="1:7" ht="14.25" thickBot="1">
      <c r="A357" s="2985" t="s">
        <v>307</v>
      </c>
      <c r="B357" s="2975" t="s">
        <v>2970</v>
      </c>
      <c r="C357" s="2976">
        <v>0.126</v>
      </c>
      <c r="D357" s="2976">
        <v>0.127</v>
      </c>
      <c r="E357" s="2976">
        <v>0.14299999999999999</v>
      </c>
      <c r="F357" s="2976">
        <v>0.125</v>
      </c>
      <c r="G357" s="2978">
        <v>0.129</v>
      </c>
    </row>
    <row r="358" spans="1:7">
      <c r="A358" s="2981" t="s">
        <v>2839</v>
      </c>
      <c r="B358" s="2967" t="s">
        <v>2853</v>
      </c>
      <c r="C358" s="2968">
        <v>0.15</v>
      </c>
      <c r="D358" s="2968">
        <v>0.15</v>
      </c>
      <c r="E358" s="2968">
        <v>0.15</v>
      </c>
      <c r="F358" s="2968">
        <v>0.15</v>
      </c>
      <c r="G358" s="2969">
        <v>0.15</v>
      </c>
    </row>
    <row r="359" spans="1:7">
      <c r="A359" s="2982" t="s">
        <v>2839</v>
      </c>
      <c r="B359" s="2971" t="s">
        <v>2859</v>
      </c>
      <c r="C359" s="2972">
        <v>0.1</v>
      </c>
      <c r="D359" s="2972">
        <v>0.1</v>
      </c>
      <c r="E359" s="2972">
        <v>0.1</v>
      </c>
      <c r="F359" s="2972">
        <v>0.1</v>
      </c>
      <c r="G359" s="2973">
        <v>0.1</v>
      </c>
    </row>
    <row r="360" spans="1:7">
      <c r="A360" s="2982" t="s">
        <v>2839</v>
      </c>
      <c r="B360" s="2971" t="s">
        <v>2865</v>
      </c>
      <c r="C360" s="2972">
        <v>0.15</v>
      </c>
      <c r="D360" s="2972">
        <v>0.15</v>
      </c>
      <c r="E360" s="2972">
        <v>0.15</v>
      </c>
      <c r="F360" s="2972">
        <v>0.14899999999999999</v>
      </c>
      <c r="G360" s="2973">
        <v>0.15</v>
      </c>
    </row>
    <row r="361" spans="1:7">
      <c r="A361" s="2982" t="s">
        <v>2839</v>
      </c>
      <c r="B361" s="2971" t="s">
        <v>153</v>
      </c>
      <c r="C361" s="2972">
        <v>0.15</v>
      </c>
      <c r="D361" s="2972">
        <v>0.15</v>
      </c>
      <c r="E361" s="2972">
        <v>0.15</v>
      </c>
      <c r="F361" s="2972">
        <v>0.115</v>
      </c>
      <c r="G361" s="2973">
        <v>0.15</v>
      </c>
    </row>
    <row r="362" spans="1:7">
      <c r="A362" s="2982" t="s">
        <v>2839</v>
      </c>
      <c r="B362" s="2971" t="s">
        <v>2872</v>
      </c>
      <c r="C362" s="2972">
        <v>0.15</v>
      </c>
      <c r="D362" s="2972">
        <v>0.15</v>
      </c>
      <c r="E362" s="2972">
        <v>0.15</v>
      </c>
      <c r="F362" s="2972">
        <v>0.106</v>
      </c>
      <c r="G362" s="2973">
        <v>0.15</v>
      </c>
    </row>
    <row r="363" spans="1:7">
      <c r="A363" s="2982" t="s">
        <v>2839</v>
      </c>
      <c r="B363" s="2971" t="s">
        <v>2877</v>
      </c>
      <c r="C363" s="2972">
        <v>0.15</v>
      </c>
      <c r="D363" s="2972">
        <v>0.15</v>
      </c>
      <c r="E363" s="2972">
        <v>0.15</v>
      </c>
      <c r="F363" s="2972">
        <v>0.14699999999999999</v>
      </c>
      <c r="G363" s="2973">
        <v>0.15</v>
      </c>
    </row>
    <row r="364" spans="1:7">
      <c r="A364" s="2982" t="s">
        <v>2839</v>
      </c>
      <c r="B364" s="2971" t="s">
        <v>2881</v>
      </c>
      <c r="C364" s="2972">
        <v>0.15</v>
      </c>
      <c r="D364" s="2972">
        <v>0.15</v>
      </c>
      <c r="E364" s="2972">
        <v>0.15</v>
      </c>
      <c r="F364" s="2972">
        <v>0.14799999999999999</v>
      </c>
      <c r="G364" s="2973">
        <v>0.15</v>
      </c>
    </row>
    <row r="365" spans="1:7">
      <c r="A365" s="2982" t="s">
        <v>2839</v>
      </c>
      <c r="B365" s="2971" t="s">
        <v>200</v>
      </c>
      <c r="C365" s="2972">
        <v>0.15</v>
      </c>
      <c r="D365" s="2972">
        <v>0.15</v>
      </c>
      <c r="E365" s="2972">
        <v>0.15</v>
      </c>
      <c r="F365" s="2972">
        <v>0.15</v>
      </c>
      <c r="G365" s="2973">
        <v>0.15</v>
      </c>
    </row>
    <row r="366" spans="1:7">
      <c r="A366" s="2982" t="s">
        <v>2839</v>
      </c>
      <c r="B366" s="2971" t="s">
        <v>2884</v>
      </c>
      <c r="C366" s="2972">
        <v>0.15</v>
      </c>
      <c r="D366" s="2972">
        <v>0.15</v>
      </c>
      <c r="E366" s="2972">
        <v>0.15</v>
      </c>
      <c r="F366" s="2972">
        <v>0.15</v>
      </c>
      <c r="G366" s="2973">
        <v>0.15</v>
      </c>
    </row>
    <row r="367" spans="1:7">
      <c r="A367" s="2982" t="s">
        <v>2839</v>
      </c>
      <c r="B367" s="2971" t="s">
        <v>2887</v>
      </c>
      <c r="C367" s="2972">
        <v>0.15</v>
      </c>
      <c r="D367" s="2972">
        <v>0.15</v>
      </c>
      <c r="E367" s="2972">
        <v>0.15</v>
      </c>
      <c r="F367" s="2972">
        <v>0.14699999999999999</v>
      </c>
      <c r="G367" s="2973">
        <v>0.15</v>
      </c>
    </row>
    <row r="368" spans="1:7">
      <c r="A368" s="2982" t="s">
        <v>2839</v>
      </c>
      <c r="B368" s="2971" t="s">
        <v>2892</v>
      </c>
      <c r="C368" s="2972">
        <v>0.15</v>
      </c>
      <c r="D368" s="2972">
        <v>0.15</v>
      </c>
      <c r="E368" s="2972">
        <v>0.15</v>
      </c>
      <c r="F368" s="2972">
        <v>0.13600000000000001</v>
      </c>
      <c r="G368" s="2973">
        <v>0.15</v>
      </c>
    </row>
    <row r="369" spans="1:7">
      <c r="A369" s="2982" t="s">
        <v>2839</v>
      </c>
      <c r="B369" s="2971" t="s">
        <v>214</v>
      </c>
      <c r="C369" s="2972">
        <v>0.15</v>
      </c>
      <c r="D369" s="2972">
        <v>0.15</v>
      </c>
      <c r="E369" s="2972">
        <v>0.15</v>
      </c>
      <c r="F369" s="2972">
        <v>0.14399999999999999</v>
      </c>
      <c r="G369" s="2973">
        <v>0.15</v>
      </c>
    </row>
    <row r="370" spans="1:7">
      <c r="A370" s="2982" t="s">
        <v>2839</v>
      </c>
      <c r="B370" s="2971" t="s">
        <v>221</v>
      </c>
      <c r="C370" s="2972">
        <v>0.15</v>
      </c>
      <c r="D370" s="2972">
        <v>0.15</v>
      </c>
      <c r="E370" s="2972">
        <v>0.15</v>
      </c>
      <c r="F370" s="2972">
        <v>0.14599999999999999</v>
      </c>
      <c r="G370" s="2973">
        <v>0.15</v>
      </c>
    </row>
    <row r="371" spans="1:7">
      <c r="A371" s="2982" t="s">
        <v>2839</v>
      </c>
      <c r="B371" s="2971" t="s">
        <v>229</v>
      </c>
      <c r="C371" s="2972">
        <v>0.15</v>
      </c>
      <c r="D371" s="2972">
        <v>0.15</v>
      </c>
      <c r="E371" s="2972">
        <v>0.15</v>
      </c>
      <c r="F371" s="2972">
        <v>0.12</v>
      </c>
      <c r="G371" s="2973">
        <v>0.15</v>
      </c>
    </row>
    <row r="372" spans="1:7">
      <c r="A372" s="2982" t="s">
        <v>2839</v>
      </c>
      <c r="B372" s="2971" t="s">
        <v>2900</v>
      </c>
      <c r="C372" s="2972">
        <v>0.15</v>
      </c>
      <c r="D372" s="2972">
        <v>0.15</v>
      </c>
      <c r="E372" s="2972">
        <v>0.15</v>
      </c>
      <c r="F372" s="2972">
        <v>0.14299999999999999</v>
      </c>
      <c r="G372" s="2973">
        <v>0.15</v>
      </c>
    </row>
    <row r="373" spans="1:7">
      <c r="A373" s="2982" t="s">
        <v>2839</v>
      </c>
      <c r="B373" s="2971" t="s">
        <v>258</v>
      </c>
      <c r="C373" s="2972">
        <v>0.15</v>
      </c>
      <c r="D373" s="2972">
        <v>0.15</v>
      </c>
      <c r="E373" s="2972">
        <v>0.15</v>
      </c>
      <c r="F373" s="2972">
        <v>0.14599999999999999</v>
      </c>
      <c r="G373" s="2973">
        <v>0.15</v>
      </c>
    </row>
    <row r="374" spans="1:7">
      <c r="A374" s="2982" t="s">
        <v>2839</v>
      </c>
      <c r="B374" s="2971" t="s">
        <v>266</v>
      </c>
      <c r="C374" s="2972">
        <v>0.15</v>
      </c>
      <c r="D374" s="2972">
        <v>0.15</v>
      </c>
      <c r="E374" s="2972">
        <v>0.15</v>
      </c>
      <c r="F374" s="2972">
        <v>0.14399999999999999</v>
      </c>
      <c r="G374" s="2973">
        <v>0.15</v>
      </c>
    </row>
    <row r="375" spans="1:7">
      <c r="A375" s="2982" t="s">
        <v>2839</v>
      </c>
      <c r="B375" s="2971" t="s">
        <v>2908</v>
      </c>
      <c r="C375" s="2972">
        <v>0.15</v>
      </c>
      <c r="D375" s="2972">
        <v>0.15</v>
      </c>
      <c r="E375" s="2972">
        <v>0.15</v>
      </c>
      <c r="F375" s="2972">
        <v>0.13</v>
      </c>
      <c r="G375" s="2973">
        <v>0.15</v>
      </c>
    </row>
    <row r="376" spans="1:7">
      <c r="A376" s="2982" t="s">
        <v>2839</v>
      </c>
      <c r="B376" s="2971" t="s">
        <v>277</v>
      </c>
      <c r="C376" s="2972">
        <v>0.15</v>
      </c>
      <c r="D376" s="2972">
        <v>0.15</v>
      </c>
      <c r="E376" s="2972">
        <v>0.15</v>
      </c>
      <c r="F376" s="2972">
        <v>0.14199999999999999</v>
      </c>
      <c r="G376" s="2973">
        <v>0.15</v>
      </c>
    </row>
    <row r="377" spans="1:7" ht="14.25" thickBot="1">
      <c r="A377" s="2985" t="s">
        <v>2839</v>
      </c>
      <c r="B377" s="2975" t="s">
        <v>2914</v>
      </c>
      <c r="C377" s="2976">
        <v>0.15</v>
      </c>
      <c r="D377" s="2976">
        <v>0.15</v>
      </c>
      <c r="E377" s="2976">
        <v>0.15</v>
      </c>
      <c r="F377" s="2976">
        <v>0.14000000000000001</v>
      </c>
      <c r="G377" s="2978">
        <v>0.15</v>
      </c>
    </row>
    <row r="378" spans="1:7">
      <c r="A378" s="2981" t="s">
        <v>2840</v>
      </c>
      <c r="B378" s="2967" t="s">
        <v>2854</v>
      </c>
      <c r="C378" s="2968">
        <v>0.15</v>
      </c>
      <c r="D378" s="2968">
        <v>0.15</v>
      </c>
      <c r="E378" s="2968">
        <v>0.15</v>
      </c>
      <c r="F378" s="2968">
        <v>0.107</v>
      </c>
      <c r="G378" s="2969">
        <v>0.15</v>
      </c>
    </row>
    <row r="379" spans="1:7">
      <c r="A379" s="2982" t="s">
        <v>2840</v>
      </c>
      <c r="B379" s="2971" t="s">
        <v>2860</v>
      </c>
      <c r="C379" s="2972">
        <v>0.15</v>
      </c>
      <c r="D379" s="2972">
        <v>0.15</v>
      </c>
      <c r="E379" s="2972">
        <v>0.15</v>
      </c>
      <c r="F379" s="2972">
        <v>0.115</v>
      </c>
      <c r="G379" s="2973">
        <v>0.14899999999999999</v>
      </c>
    </row>
    <row r="380" spans="1:7">
      <c r="A380" s="2982" t="s">
        <v>2840</v>
      </c>
      <c r="B380" s="2971" t="s">
        <v>2866</v>
      </c>
      <c r="C380" s="2972">
        <v>0.15</v>
      </c>
      <c r="D380" s="2972">
        <v>0.15</v>
      </c>
      <c r="E380" s="2972">
        <v>0.15</v>
      </c>
      <c r="F380" s="2972">
        <v>0.1</v>
      </c>
      <c r="G380" s="2973">
        <v>0.14799999999999999</v>
      </c>
    </row>
    <row r="381" spans="1:7">
      <c r="A381" s="2982" t="s">
        <v>2840</v>
      </c>
      <c r="B381" s="2971" t="s">
        <v>2869</v>
      </c>
      <c r="C381" s="2972">
        <v>0.15</v>
      </c>
      <c r="D381" s="2972">
        <v>0.15</v>
      </c>
      <c r="E381" s="2972">
        <v>0.15</v>
      </c>
      <c r="F381" s="2972">
        <v>0.126</v>
      </c>
      <c r="G381" s="2973">
        <v>0.15</v>
      </c>
    </row>
    <row r="382" spans="1:7">
      <c r="A382" s="2982" t="s">
        <v>2840</v>
      </c>
      <c r="B382" s="2971" t="s">
        <v>2873</v>
      </c>
      <c r="C382" s="2972">
        <v>0.15</v>
      </c>
      <c r="D382" s="2972">
        <v>0.15</v>
      </c>
      <c r="E382" s="2972">
        <v>0.15</v>
      </c>
      <c r="F382" s="2972">
        <v>0.15</v>
      </c>
      <c r="G382" s="2973">
        <v>0.15</v>
      </c>
    </row>
    <row r="383" spans="1:7">
      <c r="A383" s="2982" t="s">
        <v>2840</v>
      </c>
      <c r="B383" s="2971" t="s">
        <v>2878</v>
      </c>
      <c r="C383" s="2972">
        <v>0.15</v>
      </c>
      <c r="D383" s="2972">
        <v>0.15</v>
      </c>
      <c r="E383" s="2972">
        <v>0.15</v>
      </c>
      <c r="F383" s="2972">
        <v>0.14699999999999999</v>
      </c>
      <c r="G383" s="2973">
        <v>0.15</v>
      </c>
    </row>
    <row r="384" spans="1:7" ht="14.25" thickBot="1">
      <c r="A384" s="2992" t="s">
        <v>2840</v>
      </c>
      <c r="B384" s="2993" t="s">
        <v>2882</v>
      </c>
      <c r="C384" s="2994">
        <v>0.15</v>
      </c>
      <c r="D384" s="2994">
        <v>0.15</v>
      </c>
      <c r="E384" s="2994">
        <v>0.15</v>
      </c>
      <c r="F384" s="2994">
        <v>0.15</v>
      </c>
      <c r="G384" s="2995">
        <v>0.15</v>
      </c>
    </row>
  </sheetData>
  <sheetProtection password="CEE9" sheet="1" objects="1" scenarios="1"/>
  <mergeCells count="1">
    <mergeCell ref="A1:B1"/>
  </mergeCells>
  <phoneticPr fontId="9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7"/>
  <sheetViews>
    <sheetView workbookViewId="0">
      <selection sqref="A1:XFD1048576"/>
    </sheetView>
  </sheetViews>
  <sheetFormatPr defaultColWidth="13.25" defaultRowHeight="13.5"/>
  <cols>
    <col min="1" max="16384" width="13.25" style="2807"/>
  </cols>
  <sheetData>
    <row r="1" spans="1:6">
      <c r="A1" s="3527" t="s">
        <v>3221</v>
      </c>
      <c r="B1" s="3527"/>
      <c r="C1" s="3527"/>
      <c r="D1" s="3527"/>
      <c r="E1" s="3527"/>
      <c r="F1" s="3528"/>
    </row>
    <row r="2" spans="1:6">
      <c r="A2" s="2996" t="s">
        <v>3222</v>
      </c>
    </row>
    <row r="3" spans="1:6">
      <c r="A3" s="2996" t="s">
        <v>3223</v>
      </c>
      <c r="F3" s="2997" t="s">
        <v>3224</v>
      </c>
    </row>
    <row r="4" spans="1:6">
      <c r="A4" s="2998" t="s">
        <v>669</v>
      </c>
      <c r="B4" s="2998" t="s">
        <v>670</v>
      </c>
      <c r="C4" s="2998" t="s">
        <v>21</v>
      </c>
      <c r="D4" s="2998" t="s">
        <v>671</v>
      </c>
      <c r="E4" s="2998" t="s">
        <v>3</v>
      </c>
      <c r="F4" s="2998" t="s">
        <v>3225</v>
      </c>
    </row>
    <row r="5" spans="1:6">
      <c r="A5" s="2999" t="s">
        <v>672</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48"/>
  <sheetViews>
    <sheetView topLeftCell="A4" zoomScale="80" zoomScaleNormal="80" workbookViewId="0">
      <selection activeCell="R5" sqref="R5:W7"/>
    </sheetView>
  </sheetViews>
  <sheetFormatPr defaultRowHeight="13.5"/>
  <cols>
    <col min="1" max="1" width="13.875" customWidth="1"/>
    <col min="11" max="17" width="0" hidden="1" customWidth="1"/>
    <col min="25" max="30" width="0" hidden="1" customWidth="1"/>
  </cols>
  <sheetData>
    <row r="1" spans="1:30">
      <c r="A1" s="2931">
        <f>基准地价修正!G23</f>
        <v>45492</v>
      </c>
      <c r="B1" s="2923" t="s">
        <v>3359</v>
      </c>
      <c r="C1" s="2924"/>
      <c r="D1" s="2924"/>
      <c r="E1" s="2924"/>
      <c r="F1" s="2924"/>
      <c r="G1" s="2924"/>
      <c r="H1" s="2924"/>
      <c r="I1" s="2924"/>
      <c r="J1" s="2890"/>
      <c r="K1" s="2924" t="s">
        <v>454</v>
      </c>
      <c r="L1" s="2924"/>
      <c r="M1" s="2924"/>
      <c r="N1" s="2924"/>
      <c r="O1" s="2924"/>
      <c r="P1" s="2924"/>
      <c r="Q1" s="2890"/>
      <c r="R1" s="3529" t="s">
        <v>456</v>
      </c>
      <c r="S1" s="3530"/>
      <c r="T1" s="3530"/>
      <c r="U1" s="3530"/>
      <c r="V1" s="3530"/>
      <c r="W1" s="3530"/>
      <c r="X1" s="2890"/>
      <c r="Y1" s="3529" t="s">
        <v>457</v>
      </c>
      <c r="Z1" s="3530"/>
      <c r="AA1" s="3530"/>
      <c r="AB1" s="3530"/>
      <c r="AC1" s="3530"/>
      <c r="AD1" s="3530"/>
    </row>
    <row r="2" spans="1:30" s="2003" customFormat="1" ht="14.25" thickBot="1">
      <c r="B2" s="2875"/>
      <c r="C2" s="2876"/>
      <c r="D2" s="2004" t="s">
        <v>2799</v>
      </c>
      <c r="E2" s="2005" t="s">
        <v>2800</v>
      </c>
      <c r="F2" s="2005" t="s">
        <v>2801</v>
      </c>
      <c r="G2" s="2005" t="s">
        <v>2802</v>
      </c>
      <c r="H2" s="2005" t="s">
        <v>2803</v>
      </c>
      <c r="I2" s="2005" t="s">
        <v>2620</v>
      </c>
      <c r="J2" s="2877"/>
      <c r="K2" s="2004" t="s">
        <v>2799</v>
      </c>
      <c r="L2" s="2005" t="s">
        <v>2800</v>
      </c>
      <c r="M2" s="2005" t="s">
        <v>2801</v>
      </c>
      <c r="N2" s="2005" t="s">
        <v>2802</v>
      </c>
      <c r="O2" s="2005" t="s">
        <v>2804</v>
      </c>
      <c r="P2" s="2005" t="s">
        <v>2620</v>
      </c>
      <c r="Q2" s="2877"/>
      <c r="R2" s="2004" t="s">
        <v>2799</v>
      </c>
      <c r="S2" s="2005" t="s">
        <v>2800</v>
      </c>
      <c r="T2" s="2005" t="s">
        <v>2801</v>
      </c>
      <c r="U2" s="2005" t="s">
        <v>2805</v>
      </c>
      <c r="V2" s="2005" t="s">
        <v>2806</v>
      </c>
      <c r="W2" s="2005" t="s">
        <v>2620</v>
      </c>
      <c r="X2" s="2877"/>
      <c r="Y2" s="2004" t="s">
        <v>2799</v>
      </c>
      <c r="Z2" s="2005" t="s">
        <v>2800</v>
      </c>
      <c r="AA2" s="2005" t="s">
        <v>2801</v>
      </c>
      <c r="AB2" s="2005" t="s">
        <v>2807</v>
      </c>
      <c r="AC2" s="2005" t="s">
        <v>2806</v>
      </c>
      <c r="AD2" s="2005" t="s">
        <v>2620</v>
      </c>
    </row>
    <row r="3" spans="1:30" s="2880" customFormat="1" ht="12.75">
      <c r="A3" s="2878" t="s">
        <v>2808</v>
      </c>
      <c r="B3" s="2879"/>
      <c r="D3" s="2880">
        <f>ROUND(AVERAGEIF(D4:D21,"&lt;&gt;0"),2)</f>
        <v>0.59</v>
      </c>
      <c r="E3" s="2880">
        <f t="shared" ref="E3:H3" si="0">ROUND(AVERAGEIF(E4:E21,"&lt;&gt;0"),2)</f>
        <v>0.36</v>
      </c>
      <c r="F3" s="2880">
        <f t="shared" si="0"/>
        <v>0.06</v>
      </c>
      <c r="G3" s="2880">
        <f t="shared" si="0"/>
        <v>0.6</v>
      </c>
      <c r="H3" s="2880">
        <f t="shared" si="0"/>
        <v>0.6</v>
      </c>
      <c r="I3" s="2880">
        <f>F3</f>
        <v>0.06</v>
      </c>
      <c r="J3" s="2881"/>
      <c r="K3" s="2882">
        <f>ROUND(AVERAGEIF(K4:K21,"&lt;&gt;0"),4)</f>
        <v>5.8999999999999999E-3</v>
      </c>
      <c r="L3" s="2883">
        <f t="shared" ref="L3:O3" si="1">ROUND(AVERAGEIF(L4:L21,"&lt;&gt;0"),4)</f>
        <v>3.5999999999999999E-3</v>
      </c>
      <c r="M3" s="2883">
        <f t="shared" si="1"/>
        <v>5.9999999999999995E-4</v>
      </c>
      <c r="N3" s="2883">
        <f t="shared" si="1"/>
        <v>6.0000000000000001E-3</v>
      </c>
      <c r="O3" s="2883">
        <f t="shared" si="1"/>
        <v>6.0000000000000001E-3</v>
      </c>
      <c r="P3" s="2883">
        <f>M3</f>
        <v>5.9999999999999995E-4</v>
      </c>
      <c r="Q3" s="2881"/>
      <c r="R3" s="2884">
        <f>ROUND(SUMPRODUCT(PRODUCT(1+K4:K21)),4)</f>
        <v>1.0852999999999999</v>
      </c>
      <c r="S3" s="2885">
        <f t="shared" ref="S3:V3" si="2">ROUND(SUMPRODUCT(PRODUCT(1+L4:L21)),4)</f>
        <v>1.0513999999999999</v>
      </c>
      <c r="T3" s="2885">
        <f t="shared" si="2"/>
        <v>1.0083</v>
      </c>
      <c r="U3" s="2885">
        <f t="shared" si="2"/>
        <v>1.0871999999999999</v>
      </c>
      <c r="V3" s="2885">
        <f t="shared" si="2"/>
        <v>1.0880000000000001</v>
      </c>
      <c r="W3" s="2884">
        <f>T3</f>
        <v>1.0083</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2" customFormat="1" ht="12.75">
      <c r="B4" s="2018"/>
      <c r="J4" s="2890"/>
      <c r="K4" s="2891"/>
      <c r="L4" s="2892"/>
      <c r="M4" s="2892"/>
      <c r="N4" s="2892"/>
      <c r="O4" s="2892"/>
      <c r="P4" s="2892"/>
      <c r="Q4" s="2890"/>
      <c r="R4" s="2020"/>
      <c r="S4" s="2893"/>
      <c r="T4" s="2894"/>
      <c r="U4" s="2020"/>
      <c r="V4" s="2895"/>
      <c r="W4" s="2020"/>
      <c r="X4" s="2890"/>
      <c r="Y4" s="2021"/>
      <c r="Z4" s="2896"/>
      <c r="AA4" s="2897"/>
      <c r="AB4" s="2021"/>
      <c r="AC4" s="2898"/>
      <c r="AD4" s="2021"/>
    </row>
    <row r="5" spans="1:30" s="2038" customFormat="1" ht="12.75">
      <c r="A5" s="2033" t="s">
        <v>3370</v>
      </c>
      <c r="B5" s="2024">
        <v>2025</v>
      </c>
      <c r="C5" s="2035">
        <v>1</v>
      </c>
      <c r="D5" s="2000">
        <v>0</v>
      </c>
      <c r="E5" s="2000">
        <v>0</v>
      </c>
      <c r="F5" s="2000">
        <v>0</v>
      </c>
      <c r="G5" s="2000">
        <v>0</v>
      </c>
      <c r="H5" s="2000">
        <v>0</v>
      </c>
      <c r="I5" s="2001">
        <f t="shared" ref="I5" si="4">F5</f>
        <v>0</v>
      </c>
      <c r="J5" s="2900"/>
      <c r="K5" s="2036">
        <f t="shared" ref="K5" si="5">D5/100</f>
        <v>0</v>
      </c>
      <c r="L5" s="2021">
        <f t="shared" ref="L5" si="6">E5/100</f>
        <v>0</v>
      </c>
      <c r="M5" s="2021">
        <f t="shared" ref="M5" si="7">F5/100</f>
        <v>0</v>
      </c>
      <c r="N5" s="2021">
        <f t="shared" ref="N5" si="8">G5/100</f>
        <v>0</v>
      </c>
      <c r="O5" s="2021">
        <f t="shared" ref="O5" si="9">H5/100</f>
        <v>0</v>
      </c>
      <c r="P5" s="2021">
        <f>M5</f>
        <v>0</v>
      </c>
      <c r="Q5" s="2900"/>
      <c r="R5" s="2020">
        <f>ROUND(IF(项目基本情况!$B$8="出让",SUMPRODUCT(PRODUCT(1+K5:$K$21)),SUMPRODUCT(PRODUCT(1+K5:$K$20))),4)</f>
        <v>1.0748</v>
      </c>
      <c r="S5" s="2020">
        <f>ROUND(IF(项目基本情况!$B$8="出让",SUMPRODUCT(PRODUCT(1+L5:$L$21)),SUMPRODUCT(PRODUCT(1+L5:$L$20))),4)</f>
        <v>1.0498000000000001</v>
      </c>
      <c r="T5" s="2020">
        <f>ROUND(IF(项目基本情况!$B$8="出让",SUMPRODUCT(PRODUCT(1+M5:$M$21)),SUMPRODUCT(PRODUCT(1+M5:$M$20))),4)</f>
        <v>1.0107999999999999</v>
      </c>
      <c r="U5" s="2020">
        <f>ROUND(IF(项目基本情况!$B$8="出让",SUMPRODUCT(PRODUCT(1+N5:$N$21)),SUMPRODUCT(PRODUCT(1+N5:$N$20))),4)</f>
        <v>1.0752999999999999</v>
      </c>
      <c r="V5" s="2020">
        <f>ROUND(IF(项目基本情况!$B$8="出让",SUMPRODUCT(PRODUCT(1+O5:$O$21)),SUMPRODUCT(PRODUCT(1+O5:$O$20))),4)</f>
        <v>1.0841000000000001</v>
      </c>
      <c r="W5" s="2020">
        <f>T5</f>
        <v>1.0107999999999999</v>
      </c>
      <c r="X5" s="2900"/>
      <c r="Y5" s="2021">
        <f>IF(D5=0,0,ROUND(AVERAGE(D5:D18)/100,4))</f>
        <v>0</v>
      </c>
      <c r="Z5" s="2021">
        <f t="shared" ref="Z5" si="10">IF(E5=0,0,ROUND(AVERAGE(E5:E18)/100,4))</f>
        <v>0</v>
      </c>
      <c r="AA5" s="2021">
        <f t="shared" ref="AA5" si="11">IF(F5=0,0,ROUND(AVERAGE(F5:F18)/100,4))</f>
        <v>0</v>
      </c>
      <c r="AB5" s="2021">
        <f t="shared" ref="AB5" si="12">IF(G5=0,0,ROUND(AVERAGE(G5:G18)/100,4))</f>
        <v>0</v>
      </c>
      <c r="AC5" s="2021">
        <f t="shared" ref="AC5" si="13">IF(H5=0,0,ROUND(AVERAGE(H5:H18)/100,4))</f>
        <v>0</v>
      </c>
      <c r="AD5" s="2021">
        <f t="shared" ref="AD5" si="14">AA5</f>
        <v>0</v>
      </c>
    </row>
    <row r="6" spans="1:30" s="2910" customFormat="1" ht="12.75">
      <c r="A6" s="2901" t="s">
        <v>3371</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1.0748</v>
      </c>
      <c r="S6" s="2907">
        <f>ROUND(IF(项目基本情况!$B$8="出让",SUMPRODUCT(PRODUCT(1+L6:$L$21)),SUMPRODUCT(PRODUCT(1+L6:$L$20))),4)</f>
        <v>1.0498000000000001</v>
      </c>
      <c r="T6" s="2907">
        <f>ROUND(IF(项目基本情况!$B$8="出让",SUMPRODUCT(PRODUCT(1+M6:$M$21)),SUMPRODUCT(PRODUCT(1+M6:$M$20))),4)</f>
        <v>1.0107999999999999</v>
      </c>
      <c r="U6" s="2907">
        <f>ROUND(IF(项目基本情况!$B$8="出让",SUMPRODUCT(PRODUCT(1+N6:$N$21)),SUMPRODUCT(PRODUCT(1+N6:$N$20))),4)</f>
        <v>1.0752999999999999</v>
      </c>
      <c r="V6" s="2907">
        <f>ROUND(IF(项目基本情况!$B$8="出让",SUMPRODUCT(PRODUCT(1+O6:$O$21)),SUMPRODUCT(PRODUCT(1+O6:$O$20))),4)</f>
        <v>1.0841000000000001</v>
      </c>
      <c r="W6" s="2907">
        <f>T6</f>
        <v>1.0107999999999999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8" customFormat="1" ht="12.75">
      <c r="A7" s="2033" t="s">
        <v>3365</v>
      </c>
      <c r="B7" s="2024">
        <v>2024</v>
      </c>
      <c r="C7" s="2035">
        <v>3</v>
      </c>
      <c r="D7" s="2000">
        <v>0</v>
      </c>
      <c r="E7" s="2000">
        <v>0</v>
      </c>
      <c r="F7" s="2000">
        <v>0</v>
      </c>
      <c r="G7" s="2000">
        <v>0</v>
      </c>
      <c r="H7" s="2000">
        <v>0</v>
      </c>
      <c r="I7" s="2001">
        <f t="shared" ref="I7" si="26">F7</f>
        <v>0</v>
      </c>
      <c r="J7" s="2900"/>
      <c r="K7" s="2036">
        <f t="shared" ref="K7" si="27">D7/100</f>
        <v>0</v>
      </c>
      <c r="L7" s="2021">
        <f t="shared" ref="L7" si="28">E7/100</f>
        <v>0</v>
      </c>
      <c r="M7" s="2021">
        <f t="shared" ref="M7" si="29">F7/100</f>
        <v>0</v>
      </c>
      <c r="N7" s="2021">
        <f t="shared" ref="N7" si="30">G7/100</f>
        <v>0</v>
      </c>
      <c r="O7" s="2021">
        <f t="shared" ref="O7" si="31">H7/100</f>
        <v>0</v>
      </c>
      <c r="P7" s="2021">
        <f>M7</f>
        <v>0</v>
      </c>
      <c r="Q7" s="2900"/>
      <c r="R7" s="2020">
        <f>ROUND(IF(项目基本情况!$B$8="出让",SUMPRODUCT(PRODUCT(1+K7:$K$21)),SUMPRODUCT(PRODUCT(1+K7:$K$20))),4)</f>
        <v>1.0748</v>
      </c>
      <c r="S7" s="2020">
        <f>ROUND(IF(项目基本情况!$B$8="出让",SUMPRODUCT(PRODUCT(1+L7:$L$21)),SUMPRODUCT(PRODUCT(1+L7:$L$20))),4)</f>
        <v>1.0498000000000001</v>
      </c>
      <c r="T7" s="2020">
        <f>ROUND(IF(项目基本情况!$B$8="出让",SUMPRODUCT(PRODUCT(1+M7:$M$21)),SUMPRODUCT(PRODUCT(1+M7:$M$20))),4)</f>
        <v>1.0107999999999999</v>
      </c>
      <c r="U7" s="2020">
        <f>ROUND(IF(项目基本情况!$B$8="出让",SUMPRODUCT(PRODUCT(1+N7:$N$21)),SUMPRODUCT(PRODUCT(1+N7:$N$20))),4)</f>
        <v>1.0752999999999999</v>
      </c>
      <c r="V7" s="2020">
        <f>ROUND(IF(项目基本情况!$B$8="出让",SUMPRODUCT(PRODUCT(1+O7:$O$21)),SUMPRODUCT(PRODUCT(1+O7:$O$20))),4)</f>
        <v>1.0841000000000001</v>
      </c>
      <c r="W7" s="2020">
        <f>T7</f>
        <v>1.0107999999999999</v>
      </c>
      <c r="X7" s="2900"/>
      <c r="Y7" s="2021">
        <f>IF(D7=0,0,ROUND(AVERAGE(D7:D20)/100,4))</f>
        <v>0</v>
      </c>
      <c r="Z7" s="2021">
        <f t="shared" ref="Z7" si="32">IF(E7=0,0,ROUND(AVERAGE(E7:E20)/100,4))</f>
        <v>0</v>
      </c>
      <c r="AA7" s="2021">
        <f t="shared" ref="AA7" si="33">IF(F7=0,0,ROUND(AVERAGE(F7:F20)/100,4))</f>
        <v>0</v>
      </c>
      <c r="AB7" s="2021">
        <f t="shared" ref="AB7" si="34">IF(G7=0,0,ROUND(AVERAGE(G7:G20)/100,4))</f>
        <v>0</v>
      </c>
      <c r="AC7" s="2021">
        <f t="shared" ref="AC7" si="35">IF(H7=0,0,ROUND(AVERAGE(H7:H20)/100,4))</f>
        <v>0</v>
      </c>
      <c r="AD7" s="2021">
        <f t="shared" ref="AD7" si="36">AA7</f>
        <v>0</v>
      </c>
    </row>
    <row r="8" spans="1:30" s="2038" customFormat="1" ht="12.75">
      <c r="A8" s="2899" t="s">
        <v>3372</v>
      </c>
      <c r="B8" s="2024">
        <v>2024</v>
      </c>
      <c r="C8" s="2035">
        <v>2</v>
      </c>
      <c r="D8" s="2000">
        <v>-0.59</v>
      </c>
      <c r="E8" s="2000">
        <v>-0.21</v>
      </c>
      <c r="F8" s="2000">
        <v>-1.38</v>
      </c>
      <c r="G8" s="2000">
        <v>-1.24</v>
      </c>
      <c r="H8" s="2911">
        <v>0.34</v>
      </c>
      <c r="I8" s="2001">
        <f t="shared" ref="I8:I21" si="37">F8</f>
        <v>-1.38</v>
      </c>
      <c r="J8" s="2900"/>
      <c r="K8" s="2036">
        <f t="shared" ref="K8:O21" si="38">D8/100</f>
        <v>-5.8999999999999999E-3</v>
      </c>
      <c r="L8" s="2021">
        <f t="shared" si="38"/>
        <v>-2.0999999999999999E-3</v>
      </c>
      <c r="M8" s="2021">
        <f t="shared" si="38"/>
        <v>-1.38E-2</v>
      </c>
      <c r="N8" s="2021">
        <f t="shared" si="38"/>
        <v>-1.24E-2</v>
      </c>
      <c r="O8" s="2021">
        <f t="shared" si="38"/>
        <v>3.4000000000000002E-3</v>
      </c>
      <c r="P8" s="2021">
        <f>M8</f>
        <v>-1.38E-2</v>
      </c>
      <c r="Q8" s="2900"/>
      <c r="R8" s="2020">
        <f>ROUND(IF(项目基本情况!$B$8="出让",SUMPRODUCT(PRODUCT(1+K8:$K$21)),SUMPRODUCT(PRODUCT(1+K8:$K$20))),4)</f>
        <v>1.0748</v>
      </c>
      <c r="S8" s="2020">
        <f>ROUND(IF(项目基本情况!$B$8="出让",SUMPRODUCT(PRODUCT(1+L8:$L$21)),SUMPRODUCT(PRODUCT(1+L8:$L$20))),4)</f>
        <v>1.0498000000000001</v>
      </c>
      <c r="T8" s="2020">
        <f>ROUND(IF(项目基本情况!$B$8="出让",SUMPRODUCT(PRODUCT(1+M8:$M$21)),SUMPRODUCT(PRODUCT(1+M8:$M$20))),4)</f>
        <v>1.0107999999999999</v>
      </c>
      <c r="U8" s="2020">
        <f>ROUND(IF(项目基本情况!$B$8="出让",SUMPRODUCT(PRODUCT(1+N8:$N$21)),SUMPRODUCT(PRODUCT(1+N8:$N$20))),4)</f>
        <v>1.0752999999999999</v>
      </c>
      <c r="V8" s="2020">
        <f>ROUND(IF(项目基本情况!$B$8="出让",SUMPRODUCT(PRODUCT(1+O8:$O$21)),SUMPRODUCT(PRODUCT(1+O8:$O$20))),4)</f>
        <v>1.0841000000000001</v>
      </c>
      <c r="W8" s="2020">
        <f>T8</f>
        <v>1.0107999999999999</v>
      </c>
      <c r="X8" s="2900"/>
      <c r="Y8" s="2021">
        <f>IF(D8=0,0,ROUND(AVERAGE(D8:D21)/100,4))</f>
        <v>5.8999999999999999E-3</v>
      </c>
      <c r="Z8" s="2021">
        <f t="shared" ref="Z8:AC8" si="39">IF(E8=0,0,ROUND(AVERAGE(E8:E21)/100,4))</f>
        <v>3.5999999999999999E-3</v>
      </c>
      <c r="AA8" s="2021">
        <f t="shared" si="39"/>
        <v>5.9999999999999995E-4</v>
      </c>
      <c r="AB8" s="2021">
        <f t="shared" si="39"/>
        <v>6.0000000000000001E-3</v>
      </c>
      <c r="AC8" s="2021">
        <f t="shared" si="39"/>
        <v>6.0000000000000001E-3</v>
      </c>
      <c r="AD8" s="2021">
        <f t="shared" ref="AD8:AD20" si="40">AA8</f>
        <v>5.9999999999999995E-4</v>
      </c>
    </row>
    <row r="9" spans="1:30" s="2038" customFormat="1" ht="12.75">
      <c r="A9" s="2899" t="s">
        <v>3367</v>
      </c>
      <c r="B9" s="2024">
        <v>2024</v>
      </c>
      <c r="C9" s="2035">
        <v>1</v>
      </c>
      <c r="D9" s="2000">
        <v>0.08</v>
      </c>
      <c r="E9" s="2000">
        <v>0.46</v>
      </c>
      <c r="F9" s="2000">
        <v>-0.16</v>
      </c>
      <c r="G9" s="2000">
        <v>0.26</v>
      </c>
      <c r="H9" s="2911">
        <v>0.59</v>
      </c>
      <c r="I9" s="2001">
        <v>0</v>
      </c>
      <c r="J9" s="2900"/>
      <c r="K9" s="2036">
        <f t="shared" ref="K9" si="41">D9/100</f>
        <v>8.0000000000000004E-4</v>
      </c>
      <c r="L9" s="2021">
        <f t="shared" ref="L9" si="42">E9/100</f>
        <v>4.5999999999999999E-3</v>
      </c>
      <c r="M9" s="2021">
        <f t="shared" ref="M9" si="43">F9/100</f>
        <v>-1.6000000000000001E-3</v>
      </c>
      <c r="N9" s="2021">
        <f t="shared" ref="N9" si="44">G9/100</f>
        <v>2.5999999999999999E-3</v>
      </c>
      <c r="O9" s="2021">
        <f t="shared" ref="O9" si="45">H9/100</f>
        <v>5.8999999999999999E-3</v>
      </c>
      <c r="P9" s="2021">
        <f t="shared" ref="P9" si="46">M9</f>
        <v>-1.6000000000000001E-3</v>
      </c>
      <c r="Q9" s="2900"/>
      <c r="R9" s="2020">
        <f>ROUND(IF(项目基本情况!$B$8="出让",SUMPRODUCT(PRODUCT(1+K9:$K$21)),SUMPRODUCT(PRODUCT(1+K9:$K$20))),4)</f>
        <v>1.0811999999999999</v>
      </c>
      <c r="S9" s="2020">
        <f>ROUND(IF(项目基本情况!$B$8="出让",SUMPRODUCT(PRODUCT(1+L9:$L$21)),SUMPRODUCT(PRODUCT(1+L9:$L$20))),4)</f>
        <v>1.052</v>
      </c>
      <c r="T9" s="2020">
        <f>ROUND(IF(项目基本情况!$B$8="出让",SUMPRODUCT(PRODUCT(1+M9:$M$21)),SUMPRODUCT(PRODUCT(1+M9:$M$20))),4)</f>
        <v>1.0249999999999999</v>
      </c>
      <c r="U9" s="2020">
        <f>ROUND(IF(项目基本情况!$B$8="出让",SUMPRODUCT(PRODUCT(1+N9:$N$21)),SUMPRODUCT(PRODUCT(1+N9:$N$20))),4)</f>
        <v>1.0888</v>
      </c>
      <c r="V9" s="2020">
        <f>ROUND(IF(项目基本情况!$B$8="出让",SUMPRODUCT(PRODUCT(1+O9:$O$21)),SUMPRODUCT(PRODUCT(1+O9:$O$20))),4)</f>
        <v>1.0804</v>
      </c>
      <c r="W9" s="2020">
        <f t="shared" ref="W9" si="47">T9</f>
        <v>1.0249999999999999</v>
      </c>
      <c r="X9" s="2900"/>
      <c r="Y9" s="2021"/>
      <c r="Z9" s="2021"/>
      <c r="AA9" s="2021"/>
      <c r="AB9" s="2021"/>
      <c r="AC9" s="2021"/>
      <c r="AD9" s="2021"/>
    </row>
    <row r="10" spans="1:30" s="2038" customFormat="1" ht="12.75">
      <c r="A10" s="2899" t="s">
        <v>3363</v>
      </c>
      <c r="B10" s="2024">
        <v>2023</v>
      </c>
      <c r="C10" s="2035">
        <v>4</v>
      </c>
      <c r="D10" s="2000">
        <v>0.19</v>
      </c>
      <c r="E10" s="2000">
        <v>0.24</v>
      </c>
      <c r="F10" s="2000">
        <v>-0.16</v>
      </c>
      <c r="G10" s="2000">
        <v>0.17</v>
      </c>
      <c r="H10" s="2911">
        <v>0.61</v>
      </c>
      <c r="I10" s="2001">
        <f>F10</f>
        <v>-0.16</v>
      </c>
      <c r="J10" s="2900"/>
      <c r="K10" s="2036">
        <f t="shared" si="38"/>
        <v>1.9E-3</v>
      </c>
      <c r="L10" s="2021">
        <f t="shared" si="38"/>
        <v>2.3999999999999998E-3</v>
      </c>
      <c r="M10" s="2021">
        <f t="shared" si="38"/>
        <v>-1.6000000000000001E-3</v>
      </c>
      <c r="N10" s="2021">
        <f t="shared" si="38"/>
        <v>1.7000000000000001E-3</v>
      </c>
      <c r="O10" s="2021">
        <f t="shared" si="38"/>
        <v>6.0999999999999995E-3</v>
      </c>
      <c r="P10" s="2021">
        <f t="shared" ref="P10" si="48">M10</f>
        <v>-1.6000000000000001E-3</v>
      </c>
      <c r="Q10" s="2900"/>
      <c r="R10" s="2020">
        <f>ROUND(IF(项目基本情况!$B$8="出让",SUMPRODUCT(PRODUCT(1+K10:$K$21)),SUMPRODUCT(PRODUCT(1+K10:$K$20))),4)</f>
        <v>1.0804</v>
      </c>
      <c r="S10" s="2020">
        <f>ROUND(IF(项目基本情况!$B$8="出让",SUMPRODUCT(PRODUCT(1+L10:$L$21)),SUMPRODUCT(PRODUCT(1+L10:$L$20))),4)</f>
        <v>1.0471999999999999</v>
      </c>
      <c r="T10" s="2020">
        <f>ROUND(IF(项目基本情况!$B$8="出让",SUMPRODUCT(PRODUCT(1+M10:$M$21)),SUMPRODUCT(PRODUCT(1+M10:$M$20))),4)</f>
        <v>1.0266</v>
      </c>
      <c r="U10" s="2020">
        <f>ROUND(IF(项目基本情况!$B$8="出让",SUMPRODUCT(PRODUCT(1+N10:$N$21)),SUMPRODUCT(PRODUCT(1+N10:$N$20))),4)</f>
        <v>1.0859000000000001</v>
      </c>
      <c r="V10" s="2020">
        <f>ROUND(IF(项目基本情况!$B$8="出让",SUMPRODUCT(PRODUCT(1+O10:$O$21)),SUMPRODUCT(PRODUCT(1+O10:$O$20))),4)</f>
        <v>1.0741000000000001</v>
      </c>
      <c r="W10" s="2020">
        <f t="shared" ref="W10" si="49">T10</f>
        <v>1.0266</v>
      </c>
      <c r="X10" s="2900"/>
      <c r="Y10" s="2021"/>
      <c r="Z10" s="2021"/>
      <c r="AA10" s="2021"/>
      <c r="AB10" s="2021"/>
      <c r="AC10" s="2021"/>
      <c r="AD10" s="2021"/>
    </row>
    <row r="11" spans="1:30" s="2038" customFormat="1" ht="12.75">
      <c r="A11" s="2899" t="s">
        <v>3362</v>
      </c>
      <c r="B11" s="2024">
        <v>2023</v>
      </c>
      <c r="C11" s="2035">
        <v>3</v>
      </c>
      <c r="D11" s="2000">
        <v>0.25</v>
      </c>
      <c r="E11" s="2000">
        <v>0.5</v>
      </c>
      <c r="F11" s="2000">
        <v>0.31</v>
      </c>
      <c r="G11" s="2000">
        <v>0.21</v>
      </c>
      <c r="H11" s="2911">
        <v>0.43</v>
      </c>
      <c r="I11" s="2001">
        <f t="shared" si="37"/>
        <v>0.31</v>
      </c>
      <c r="J11" s="2900"/>
      <c r="K11" s="2036">
        <f t="shared" ref="K11:K13" si="50">D11/100</f>
        <v>2.5000000000000001E-3</v>
      </c>
      <c r="L11" s="2021">
        <f t="shared" ref="L11:L13" si="51">E11/100</f>
        <v>5.0000000000000001E-3</v>
      </c>
      <c r="M11" s="2021">
        <f t="shared" ref="M11:M13" si="52">F11/100</f>
        <v>3.0999999999999999E-3</v>
      </c>
      <c r="N11" s="2021">
        <f t="shared" ref="N11:N13" si="53">G11/100</f>
        <v>2.0999999999999999E-3</v>
      </c>
      <c r="O11" s="2021">
        <f t="shared" ref="O11:O13" si="54">H11/100</f>
        <v>4.3E-3</v>
      </c>
      <c r="P11" s="2021">
        <f t="shared" ref="P11:P13" si="55">M11</f>
        <v>3.0999999999999999E-3</v>
      </c>
      <c r="Q11" s="2900"/>
      <c r="R11" s="2020">
        <f>ROUND(IF(项目基本情况!$B$8="出让",SUMPRODUCT(PRODUCT(1+K11:$K$21)),SUMPRODUCT(PRODUCT(1+K11:$K$20))),4)</f>
        <v>1.0783</v>
      </c>
      <c r="S11" s="2020">
        <f>ROUND(IF(项目基本情况!$B$8="出让",SUMPRODUCT(PRODUCT(1+L11:$L$21)),SUMPRODUCT(PRODUCT(1+L11:$L$20))),4)</f>
        <v>1.0447</v>
      </c>
      <c r="T11" s="2020">
        <f>ROUND(IF(项目基本情况!$B$8="出让",SUMPRODUCT(PRODUCT(1+M11:$M$21)),SUMPRODUCT(PRODUCT(1+M11:$M$20))),4)</f>
        <v>1.0282</v>
      </c>
      <c r="U11" s="2020">
        <f>ROUND(IF(项目基本情况!$B$8="出让",SUMPRODUCT(PRODUCT(1+N11:$N$21)),SUMPRODUCT(PRODUCT(1+N11:$N$20))),4)</f>
        <v>1.0841000000000001</v>
      </c>
      <c r="V11" s="2020">
        <f>ROUND(IF(项目基本情况!$B$8="出让",SUMPRODUCT(PRODUCT(1+O11:$O$21)),SUMPRODUCT(PRODUCT(1+O11:$O$20))),4)</f>
        <v>1.0674999999999999</v>
      </c>
      <c r="W11" s="2020">
        <f t="shared" ref="W11:W12" si="56">T11</f>
        <v>1.0282</v>
      </c>
      <c r="X11" s="2900"/>
      <c r="Y11" s="2021"/>
      <c r="Z11" s="2021"/>
      <c r="AA11" s="2021"/>
      <c r="AB11" s="2021"/>
      <c r="AC11" s="2021"/>
      <c r="AD11" s="2021"/>
    </row>
    <row r="12" spans="1:30" s="2038" customFormat="1" ht="12.75">
      <c r="A12" s="2899" t="s">
        <v>3358</v>
      </c>
      <c r="B12" s="2024">
        <v>2023</v>
      </c>
      <c r="C12" s="2035">
        <v>2</v>
      </c>
      <c r="D12" s="2000">
        <v>0.91</v>
      </c>
      <c r="E12" s="2000">
        <v>0.66</v>
      </c>
      <c r="F12" s="2000">
        <v>0.47</v>
      </c>
      <c r="G12" s="2000">
        <v>0.96</v>
      </c>
      <c r="H12" s="2911">
        <v>0.71</v>
      </c>
      <c r="I12" s="2001">
        <f t="shared" si="37"/>
        <v>0.47</v>
      </c>
      <c r="J12" s="2900"/>
      <c r="K12" s="2036">
        <f t="shared" si="50"/>
        <v>9.1000000000000004E-3</v>
      </c>
      <c r="L12" s="2021">
        <f t="shared" si="51"/>
        <v>6.6E-3</v>
      </c>
      <c r="M12" s="2021">
        <f t="shared" si="52"/>
        <v>4.6999999999999993E-3</v>
      </c>
      <c r="N12" s="2021">
        <f t="shared" si="53"/>
        <v>9.5999999999999992E-3</v>
      </c>
      <c r="O12" s="2021">
        <f t="shared" si="54"/>
        <v>7.0999999999999995E-3</v>
      </c>
      <c r="P12" s="2021">
        <f t="shared" si="55"/>
        <v>4.6999999999999993E-3</v>
      </c>
      <c r="Q12" s="2900"/>
      <c r="R12" s="2020">
        <f>ROUND(IF(项目基本情况!$B$8="出让",SUMPRODUCT(PRODUCT(1+K12:$K$21)),SUMPRODUCT(PRODUCT(1+K12:$K$20))),4)</f>
        <v>1.0755999999999999</v>
      </c>
      <c r="S12" s="2020">
        <f>ROUND(IF(项目基本情况!$B$8="出让",SUMPRODUCT(PRODUCT(1+L12:$L$21)),SUMPRODUCT(PRODUCT(1+L12:$L$20))),4)</f>
        <v>1.0395000000000001</v>
      </c>
      <c r="T12" s="2020">
        <f>ROUND(IF(项目基本情况!$B$8="出让",SUMPRODUCT(PRODUCT(1+M12:$M$21)),SUMPRODUCT(PRODUCT(1+M12:$M$20))),4)</f>
        <v>1.0250999999999999</v>
      </c>
      <c r="U12" s="2020">
        <f>ROUND(IF(项目基本情况!$B$8="出让",SUMPRODUCT(PRODUCT(1+N12:$N$21)),SUMPRODUCT(PRODUCT(1+N12:$N$20))),4)</f>
        <v>1.0818000000000001</v>
      </c>
      <c r="V12" s="2020">
        <f>ROUND(IF(项目基本情况!$B$8="出让",SUMPRODUCT(PRODUCT(1+O12:$O$21)),SUMPRODUCT(PRODUCT(1+O12:$O$20))),4)</f>
        <v>1.0629999999999999</v>
      </c>
      <c r="W12" s="2020">
        <f t="shared" si="56"/>
        <v>1.0250999999999999</v>
      </c>
      <c r="X12" s="2900"/>
      <c r="Y12" s="2021"/>
      <c r="Z12" s="2021"/>
      <c r="AA12" s="2021"/>
      <c r="AB12" s="2021"/>
      <c r="AC12" s="2021"/>
      <c r="AD12" s="2021"/>
    </row>
    <row r="13" spans="1:30" s="2038" customFormat="1" ht="12.75">
      <c r="A13" s="2899" t="s">
        <v>3357</v>
      </c>
      <c r="B13" s="2024">
        <v>2023</v>
      </c>
      <c r="C13" s="2035">
        <v>1</v>
      </c>
      <c r="D13" s="2000">
        <v>0.89</v>
      </c>
      <c r="E13" s="2000">
        <v>0.74</v>
      </c>
      <c r="F13" s="2000">
        <v>0.56999999999999995</v>
      </c>
      <c r="G13" s="2000">
        <v>0.92</v>
      </c>
      <c r="H13" s="2911">
        <v>0.5</v>
      </c>
      <c r="I13" s="2001">
        <f t="shared" si="37"/>
        <v>0.56999999999999995</v>
      </c>
      <c r="J13" s="2900"/>
      <c r="K13" s="2036">
        <f t="shared" si="50"/>
        <v>8.8999999999999999E-3</v>
      </c>
      <c r="L13" s="2021">
        <f t="shared" si="51"/>
        <v>7.4000000000000003E-3</v>
      </c>
      <c r="M13" s="2021">
        <f t="shared" si="52"/>
        <v>5.6999999999999993E-3</v>
      </c>
      <c r="N13" s="2021">
        <f t="shared" si="53"/>
        <v>9.1999999999999998E-3</v>
      </c>
      <c r="O13" s="2021">
        <f t="shared" si="54"/>
        <v>5.0000000000000001E-3</v>
      </c>
      <c r="P13" s="2021">
        <f t="shared" si="55"/>
        <v>5.6999999999999993E-3</v>
      </c>
      <c r="Q13" s="2900"/>
      <c r="R13" s="2020">
        <f>ROUND(IF(项目基本情况!$B$8="出让",SUMPRODUCT(PRODUCT(1+K13:$K$21)),SUMPRODUCT(PRODUCT(1+K13:$K$20))),4)</f>
        <v>1.0659000000000001</v>
      </c>
      <c r="S13" s="2020">
        <f>ROUND(IF(项目基本情况!$B$8="出让",SUMPRODUCT(PRODUCT(1+L13:$L$21)),SUMPRODUCT(PRODUCT(1+L13:$L$20))),4)</f>
        <v>1.0326</v>
      </c>
      <c r="T13" s="2020">
        <f>ROUND(IF(项目基本情况!$B$8="出让",SUMPRODUCT(PRODUCT(1+M13:$M$21)),SUMPRODUCT(PRODUCT(1+M13:$M$20))),4)</f>
        <v>1.0203</v>
      </c>
      <c r="U13" s="2020">
        <f>ROUND(IF(项目基本情况!$B$8="出让",SUMPRODUCT(PRODUCT(1+N13:$N$21)),SUMPRODUCT(PRODUCT(1+N13:$N$20))),4)</f>
        <v>1.0714999999999999</v>
      </c>
      <c r="V13" s="2020">
        <f>ROUND(IF(项目基本情况!$B$8="出让",SUMPRODUCT(PRODUCT(1+O13:$O$21)),SUMPRODUCT(PRODUCT(1+O13:$O$20))),4)</f>
        <v>1.0555000000000001</v>
      </c>
      <c r="W13" s="2020">
        <f t="shared" ref="W13:W20" si="57">T13</f>
        <v>1.0203</v>
      </c>
      <c r="X13" s="2900"/>
      <c r="Y13" s="2021"/>
      <c r="Z13" s="2021"/>
      <c r="AA13" s="2021"/>
      <c r="AB13" s="2021"/>
      <c r="AC13" s="2021"/>
      <c r="AD13" s="2021"/>
    </row>
    <row r="14" spans="1:30" s="2038" customFormat="1" ht="12.75">
      <c r="A14" s="2899" t="s">
        <v>3356</v>
      </c>
      <c r="B14" s="2024">
        <v>2022</v>
      </c>
      <c r="C14" s="2035">
        <v>4</v>
      </c>
      <c r="D14" s="2000">
        <v>0.62</v>
      </c>
      <c r="E14" s="2000">
        <v>0.2</v>
      </c>
      <c r="F14" s="2000">
        <v>0.11</v>
      </c>
      <c r="G14" s="2000">
        <v>0.69</v>
      </c>
      <c r="H14" s="2911">
        <v>0.53</v>
      </c>
      <c r="I14" s="2001">
        <f t="shared" si="37"/>
        <v>0.11</v>
      </c>
      <c r="J14" s="2900"/>
      <c r="K14" s="2036">
        <f t="shared" si="38"/>
        <v>6.1999999999999998E-3</v>
      </c>
      <c r="L14" s="2021">
        <f t="shared" si="38"/>
        <v>2E-3</v>
      </c>
      <c r="M14" s="2021">
        <f t="shared" si="38"/>
        <v>1.1000000000000001E-3</v>
      </c>
      <c r="N14" s="2021">
        <f t="shared" si="38"/>
        <v>6.8999999999999999E-3</v>
      </c>
      <c r="O14" s="2021">
        <f t="shared" si="38"/>
        <v>5.3E-3</v>
      </c>
      <c r="P14" s="2021">
        <f t="shared" ref="P14:P21" si="58">M14</f>
        <v>1.1000000000000001E-3</v>
      </c>
      <c r="Q14" s="2900"/>
      <c r="R14" s="2020">
        <f>ROUND(IF(项目基本情况!$B$8="出让",SUMPRODUCT(PRODUCT(1+K14:$K$21)),SUMPRODUCT(PRODUCT(1+K14:$K$20))),4)</f>
        <v>1.0565</v>
      </c>
      <c r="S14" s="2020">
        <f>ROUND(IF(项目基本情况!$B$8="出让",SUMPRODUCT(PRODUCT(1+L14:$L$21)),SUMPRODUCT(PRODUCT(1+L14:$L$20))),4)</f>
        <v>1.0250999999999999</v>
      </c>
      <c r="T14" s="2020">
        <f>ROUND(IF(项目基本情况!$B$8="出让",SUMPRODUCT(PRODUCT(1+M14:$M$21)),SUMPRODUCT(PRODUCT(1+M14:$M$20))),4)</f>
        <v>1.0145</v>
      </c>
      <c r="U14" s="2020">
        <f>ROUND(IF(项目基本情况!$B$8="出让",SUMPRODUCT(PRODUCT(1+N14:$N$21)),SUMPRODUCT(PRODUCT(1+N14:$N$20))),4)</f>
        <v>1.0618000000000001</v>
      </c>
      <c r="V14" s="2020">
        <f>ROUND(IF(项目基本情况!$B$8="出让",SUMPRODUCT(PRODUCT(1+O14:$O$21)),SUMPRODUCT(PRODUCT(1+O14:$O$20))),4)</f>
        <v>1.0502</v>
      </c>
      <c r="W14" s="2020">
        <f t="shared" si="57"/>
        <v>1.0145</v>
      </c>
      <c r="X14" s="2900"/>
      <c r="Y14" s="2021">
        <f>IF(D14=0,0,ROUND(AVERAGE(D14:D22)/100,4))</f>
        <v>8.0999999999999996E-3</v>
      </c>
      <c r="Z14" s="2021">
        <f t="shared" ref="Z14:AC14" si="59">IF(E14=0,0,ROUND(AVERAGE(E14:E21)/100,4))</f>
        <v>3.3E-3</v>
      </c>
      <c r="AA14" s="2021">
        <f t="shared" si="59"/>
        <v>1.5E-3</v>
      </c>
      <c r="AB14" s="2021">
        <f t="shared" si="59"/>
        <v>8.8999999999999999E-3</v>
      </c>
      <c r="AC14" s="2021">
        <f t="shared" si="59"/>
        <v>6.6E-3</v>
      </c>
      <c r="AD14" s="2021">
        <f t="shared" si="40"/>
        <v>1.5E-3</v>
      </c>
    </row>
    <row r="15" spans="1:30" s="2038" customFormat="1" ht="12.75">
      <c r="A15" s="2899" t="s">
        <v>3352</v>
      </c>
      <c r="B15" s="2024">
        <v>2022</v>
      </c>
      <c r="C15" s="2035">
        <v>3</v>
      </c>
      <c r="D15" s="2000">
        <v>0.66</v>
      </c>
      <c r="E15" s="2000">
        <v>0.32</v>
      </c>
      <c r="F15" s="2000">
        <v>0.23</v>
      </c>
      <c r="G15" s="2000">
        <v>0.72</v>
      </c>
      <c r="H15" s="2911">
        <v>0.63</v>
      </c>
      <c r="I15" s="2001">
        <f t="shared" si="37"/>
        <v>0.23</v>
      </c>
      <c r="J15" s="2900"/>
      <c r="K15" s="2036">
        <f t="shared" si="38"/>
        <v>6.6E-3</v>
      </c>
      <c r="L15" s="2021">
        <f t="shared" si="38"/>
        <v>3.2000000000000002E-3</v>
      </c>
      <c r="M15" s="2021">
        <f t="shared" si="38"/>
        <v>2.3E-3</v>
      </c>
      <c r="N15" s="2021">
        <f t="shared" si="38"/>
        <v>7.1999999999999998E-3</v>
      </c>
      <c r="O15" s="2021">
        <f t="shared" si="38"/>
        <v>6.3E-3</v>
      </c>
      <c r="P15" s="2021">
        <f t="shared" si="58"/>
        <v>2.3E-3</v>
      </c>
      <c r="Q15" s="2900"/>
      <c r="R15" s="2020">
        <f>ROUND(IF(项目基本情况!$B$8="出让",SUMPRODUCT(PRODUCT(1+K15:$K$21)),SUMPRODUCT(PRODUCT(1+K15:$K$20))),4)</f>
        <v>1.05</v>
      </c>
      <c r="S15" s="2020">
        <f>ROUND(IF(项目基本情况!$B$8="出让",SUMPRODUCT(PRODUCT(1+L15:$L$21)),SUMPRODUCT(PRODUCT(1+L15:$L$20))),4)</f>
        <v>1.0229999999999999</v>
      </c>
      <c r="T15" s="2020">
        <f>ROUND(IF(项目基本情况!$B$8="出让",SUMPRODUCT(PRODUCT(1+M15:$M$21)),SUMPRODUCT(PRODUCT(1+M15:$M$20))),4)</f>
        <v>1.0134000000000001</v>
      </c>
      <c r="U15" s="2020">
        <f>ROUND(IF(项目基本情况!$B$8="出让",SUMPRODUCT(PRODUCT(1+N15:$N$21)),SUMPRODUCT(PRODUCT(1+N15:$N$20))),4)</f>
        <v>1.0545</v>
      </c>
      <c r="V15" s="2020">
        <f>ROUND(IF(项目基本情况!$B$8="出让",SUMPRODUCT(PRODUCT(1+O15:$O$21)),SUMPRODUCT(PRODUCT(1+O15:$O$20))),4)</f>
        <v>1.0447</v>
      </c>
      <c r="W15" s="2020">
        <f t="shared" si="57"/>
        <v>1.0134000000000001</v>
      </c>
      <c r="X15" s="2900"/>
      <c r="Y15" s="2021">
        <f>IF(D15=0,0,ROUND(AVERAGE(D15:D21)/100,4))</f>
        <v>8.3999999999999995E-3</v>
      </c>
      <c r="Z15" s="2021">
        <f t="shared" ref="Z15:AC15" si="60">IF(E15=0,0,ROUND(AVERAGE(E15:E21)/100,4))</f>
        <v>3.5000000000000001E-3</v>
      </c>
      <c r="AA15" s="2021">
        <f t="shared" si="60"/>
        <v>1.5E-3</v>
      </c>
      <c r="AB15" s="2021">
        <f t="shared" si="60"/>
        <v>9.1999999999999998E-3</v>
      </c>
      <c r="AC15" s="2021">
        <f t="shared" si="60"/>
        <v>6.7999999999999996E-3</v>
      </c>
      <c r="AD15" s="2021">
        <f t="shared" si="40"/>
        <v>1.5E-3</v>
      </c>
    </row>
    <row r="16" spans="1:30" s="2038" customFormat="1" ht="12.75">
      <c r="A16" s="2899" t="s">
        <v>3343</v>
      </c>
      <c r="B16" s="2024">
        <v>2022</v>
      </c>
      <c r="C16" s="2035">
        <v>2</v>
      </c>
      <c r="D16" s="2000">
        <v>0.93</v>
      </c>
      <c r="E16" s="2000">
        <v>0.15</v>
      </c>
      <c r="F16" s="2000">
        <v>0.01</v>
      </c>
      <c r="G16" s="2000">
        <v>1.05</v>
      </c>
      <c r="H16" s="2911">
        <v>1.08</v>
      </c>
      <c r="I16" s="2001">
        <f t="shared" si="37"/>
        <v>0.01</v>
      </c>
      <c r="J16" s="2900"/>
      <c r="K16" s="2036">
        <f t="shared" si="38"/>
        <v>9.300000000000001E-3</v>
      </c>
      <c r="L16" s="2021">
        <f t="shared" si="38"/>
        <v>1.5E-3</v>
      </c>
      <c r="M16" s="2021">
        <f t="shared" si="38"/>
        <v>1E-4</v>
      </c>
      <c r="N16" s="2021">
        <f t="shared" si="38"/>
        <v>1.0500000000000001E-2</v>
      </c>
      <c r="O16" s="2021">
        <f t="shared" si="38"/>
        <v>1.0800000000000001E-2</v>
      </c>
      <c r="P16" s="2021">
        <f t="shared" si="58"/>
        <v>1E-4</v>
      </c>
      <c r="Q16" s="2900"/>
      <c r="R16" s="2020">
        <f>ROUND(IF(项目基本情况!$B$8="出让",SUMPRODUCT(PRODUCT(1+K16:$K$21)),SUMPRODUCT(PRODUCT(1+K16:$K$20))),4)</f>
        <v>1.0430999999999999</v>
      </c>
      <c r="S16" s="2020">
        <f>ROUND(IF(项目基本情况!$B$8="出让",SUMPRODUCT(PRODUCT(1+L16:$L$21)),SUMPRODUCT(PRODUCT(1+L16:$L$20))),4)</f>
        <v>1.0197000000000001</v>
      </c>
      <c r="T16" s="2020">
        <f>ROUND(IF(项目基本情况!$B$8="出让",SUMPRODUCT(PRODUCT(1+M16:$M$21)),SUMPRODUCT(PRODUCT(1+M16:$M$20))),4)</f>
        <v>1.0109999999999999</v>
      </c>
      <c r="U16" s="2020">
        <f>ROUND(IF(项目基本情况!$B$8="出让",SUMPRODUCT(PRODUCT(1+N16:$N$21)),SUMPRODUCT(PRODUCT(1+N16:$N$20))),4)</f>
        <v>1.0468999999999999</v>
      </c>
      <c r="V16" s="2020">
        <f>ROUND(IF(项目基本情况!$B$8="出让",SUMPRODUCT(PRODUCT(1+O16:$O$21)),SUMPRODUCT(PRODUCT(1+O16:$O$20))),4)</f>
        <v>1.0382</v>
      </c>
      <c r="W16" s="2020">
        <f t="shared" si="57"/>
        <v>1.0109999999999999</v>
      </c>
      <c r="X16" s="2900"/>
      <c r="Y16" s="2021">
        <f>IF(D16=0,0,ROUND(AVERAGE(D16:D21)/100,4))</f>
        <v>8.6999999999999994E-3</v>
      </c>
      <c r="Z16" s="2021">
        <f t="shared" ref="Z16:AC16" si="61">IF(E16=0,0,ROUND(AVERAGE(E16:E21)/100,4))</f>
        <v>3.5000000000000001E-3</v>
      </c>
      <c r="AA16" s="2021">
        <f t="shared" si="61"/>
        <v>1.4E-3</v>
      </c>
      <c r="AB16" s="2021">
        <f t="shared" si="61"/>
        <v>9.4999999999999998E-3</v>
      </c>
      <c r="AC16" s="2021">
        <f t="shared" si="61"/>
        <v>6.8999999999999999E-3</v>
      </c>
      <c r="AD16" s="2021">
        <f t="shared" si="40"/>
        <v>1.4E-3</v>
      </c>
    </row>
    <row r="17" spans="1:30" s="2038" customFormat="1" ht="12.75">
      <c r="A17" s="2899" t="s">
        <v>2809</v>
      </c>
      <c r="B17" s="2024">
        <v>2022</v>
      </c>
      <c r="C17" s="2035">
        <v>1</v>
      </c>
      <c r="D17" s="2000">
        <v>0.89</v>
      </c>
      <c r="E17" s="2000">
        <v>0.44</v>
      </c>
      <c r="F17" s="2000">
        <v>0.37</v>
      </c>
      <c r="G17" s="2000">
        <v>0.96</v>
      </c>
      <c r="H17" s="2911">
        <v>0.64</v>
      </c>
      <c r="I17" s="2001">
        <f t="shared" si="37"/>
        <v>0.37</v>
      </c>
      <c r="J17" s="2900"/>
      <c r="K17" s="2036">
        <f t="shared" si="38"/>
        <v>8.8999999999999999E-3</v>
      </c>
      <c r="L17" s="2021">
        <f t="shared" si="38"/>
        <v>4.4000000000000003E-3</v>
      </c>
      <c r="M17" s="2021">
        <f t="shared" si="38"/>
        <v>3.7000000000000002E-3</v>
      </c>
      <c r="N17" s="2021">
        <f t="shared" si="38"/>
        <v>9.5999999999999992E-3</v>
      </c>
      <c r="O17" s="2021">
        <f t="shared" si="38"/>
        <v>6.4000000000000003E-3</v>
      </c>
      <c r="P17" s="2021">
        <f t="shared" si="58"/>
        <v>3.7000000000000002E-3</v>
      </c>
      <c r="Q17" s="2900"/>
      <c r="R17" s="2020">
        <f>ROUND(IF(项目基本情况!$B$8="出让",SUMPRODUCT(PRODUCT(1+K17:$K$21)),SUMPRODUCT(PRODUCT(1+K17:$K$20))),4)</f>
        <v>1.0335000000000001</v>
      </c>
      <c r="S17" s="2020">
        <f>ROUND(IF(项目基本情况!$B$8="出让",SUMPRODUCT(PRODUCT(1+L17:$L$21)),SUMPRODUCT(PRODUCT(1+L17:$L$20))),4)</f>
        <v>1.0182</v>
      </c>
      <c r="T17" s="2020">
        <f>ROUND(IF(项目基本情况!$B$8="出让",SUMPRODUCT(PRODUCT(1+M17:$M$21)),SUMPRODUCT(PRODUCT(1+M17:$M$20))),4)</f>
        <v>1.0108999999999999</v>
      </c>
      <c r="U17" s="2020">
        <f>ROUND(IF(项目基本情况!$B$8="出让",SUMPRODUCT(PRODUCT(1+N17:$N$21)),SUMPRODUCT(PRODUCT(1+N17:$N$20))),4)</f>
        <v>1.0361</v>
      </c>
      <c r="V17" s="2020">
        <f>ROUND(IF(项目基本情况!$B$8="出让",SUMPRODUCT(PRODUCT(1+O17:$O$21)),SUMPRODUCT(PRODUCT(1+O17:$O$20))),4)</f>
        <v>1.0270999999999999</v>
      </c>
      <c r="W17" s="2020">
        <f t="shared" si="57"/>
        <v>1.0108999999999999</v>
      </c>
      <c r="X17" s="2900"/>
      <c r="Y17" s="2021">
        <f>IF(D17=0,0,ROUND(AVERAGE(D17:D21)/100,4))</f>
        <v>8.6E-3</v>
      </c>
      <c r="Z17" s="2021">
        <f t="shared" ref="Z17:AC17" si="62">IF(E17=0,0,ROUND(AVERAGE(E17:E21)/100,4))</f>
        <v>3.8999999999999998E-3</v>
      </c>
      <c r="AA17" s="2021">
        <f t="shared" si="62"/>
        <v>1.6999999999999999E-3</v>
      </c>
      <c r="AB17" s="2021">
        <f t="shared" si="62"/>
        <v>9.2999999999999992E-3</v>
      </c>
      <c r="AC17" s="2021">
        <f t="shared" si="62"/>
        <v>6.1000000000000004E-3</v>
      </c>
      <c r="AD17" s="2021">
        <f t="shared" si="40"/>
        <v>1.6999999999999999E-3</v>
      </c>
    </row>
    <row r="18" spans="1:30" s="2038" customFormat="1" ht="12.75">
      <c r="A18" s="2899" t="s">
        <v>2810</v>
      </c>
      <c r="B18" s="2024">
        <v>2021</v>
      </c>
      <c r="C18" s="2035">
        <v>4</v>
      </c>
      <c r="D18" s="2000">
        <v>1.03</v>
      </c>
      <c r="E18" s="2000">
        <v>0.24</v>
      </c>
      <c r="F18" s="2000">
        <v>7.0000000000000007E-2</v>
      </c>
      <c r="G18" s="2000">
        <v>1.17</v>
      </c>
      <c r="H18" s="2911">
        <v>0.55000000000000004</v>
      </c>
      <c r="I18" s="2001">
        <f t="shared" si="37"/>
        <v>7.0000000000000007E-2</v>
      </c>
      <c r="J18" s="2900"/>
      <c r="K18" s="2036">
        <f t="shared" si="38"/>
        <v>1.03E-2</v>
      </c>
      <c r="L18" s="2021">
        <f t="shared" si="38"/>
        <v>2.3999999999999998E-3</v>
      </c>
      <c r="M18" s="2021">
        <f t="shared" si="38"/>
        <v>7.000000000000001E-4</v>
      </c>
      <c r="N18" s="2021">
        <f t="shared" si="38"/>
        <v>1.1699999999999999E-2</v>
      </c>
      <c r="O18" s="2021">
        <f t="shared" si="38"/>
        <v>5.5000000000000005E-3</v>
      </c>
      <c r="P18" s="2021">
        <f t="shared" si="58"/>
        <v>7.000000000000001E-4</v>
      </c>
      <c r="Q18" s="2900"/>
      <c r="R18" s="2020">
        <f>ROUND(IF(项目基本情况!$B$8="出让",SUMPRODUCT(PRODUCT(1+K18:$K$21)),SUMPRODUCT(PRODUCT(1+K18:$K$20))),4)</f>
        <v>1.0244</v>
      </c>
      <c r="S18" s="2020">
        <f>ROUND(IF(项目基本情况!$B$8="出让",SUMPRODUCT(PRODUCT(1+L18:$L$21)),SUMPRODUCT(PRODUCT(1+L18:$L$20))),4)</f>
        <v>1.0138</v>
      </c>
      <c r="T18" s="2020">
        <f>ROUND(IF(项目基本情况!$B$8="出让",SUMPRODUCT(PRODUCT(1+M18:$M$21)),SUMPRODUCT(PRODUCT(1+M18:$M$20))),4)</f>
        <v>1.0072000000000001</v>
      </c>
      <c r="U18" s="2020">
        <f>ROUND(IF(项目基本情况!$B$8="出让",SUMPRODUCT(PRODUCT(1+N18:$N$21)),SUMPRODUCT(PRODUCT(1+N18:$N$20))),4)</f>
        <v>1.0262</v>
      </c>
      <c r="V18" s="2020">
        <f>ROUND(IF(项目基本情况!$B$8="出让",SUMPRODUCT(PRODUCT(1+O18:$O$21)),SUMPRODUCT(PRODUCT(1+O18:$O$20))),4)</f>
        <v>1.0205</v>
      </c>
      <c r="W18" s="2020">
        <f t="shared" si="57"/>
        <v>1.0072000000000001</v>
      </c>
      <c r="X18" s="2900"/>
      <c r="Y18" s="2021">
        <f>IF(D18=0,0,ROUND(AVERAGE(D18:D21)/100,4))</f>
        <v>8.5000000000000006E-3</v>
      </c>
      <c r="Z18" s="2021">
        <f t="shared" ref="Z18:AC18" si="63">IF(E18=0,0,ROUND(AVERAGE(E18:E21)/100,4))</f>
        <v>3.8E-3</v>
      </c>
      <c r="AA18" s="2021">
        <f t="shared" si="63"/>
        <v>1.1999999999999999E-3</v>
      </c>
      <c r="AB18" s="2021">
        <f t="shared" si="63"/>
        <v>9.2999999999999992E-3</v>
      </c>
      <c r="AC18" s="2021">
        <f t="shared" si="63"/>
        <v>6.0000000000000001E-3</v>
      </c>
      <c r="AD18" s="2021">
        <f t="shared" si="40"/>
        <v>1.1999999999999999E-3</v>
      </c>
    </row>
    <row r="19" spans="1:30" s="2038" customFormat="1" ht="12.75">
      <c r="A19" s="2899" t="s">
        <v>2811</v>
      </c>
      <c r="B19" s="2024">
        <v>2021</v>
      </c>
      <c r="C19" s="2035">
        <v>3</v>
      </c>
      <c r="D19" s="2000">
        <v>0.47</v>
      </c>
      <c r="E19" s="2000">
        <v>0.41</v>
      </c>
      <c r="F19" s="2000">
        <v>0.24</v>
      </c>
      <c r="G19" s="2000">
        <v>0.48</v>
      </c>
      <c r="H19" s="2911">
        <v>0.48</v>
      </c>
      <c r="I19" s="2001">
        <f t="shared" si="37"/>
        <v>0.24</v>
      </c>
      <c r="J19" s="2900"/>
      <c r="K19" s="2036">
        <f t="shared" si="38"/>
        <v>4.6999999999999993E-3</v>
      </c>
      <c r="L19" s="2021">
        <f t="shared" si="38"/>
        <v>4.0999999999999995E-3</v>
      </c>
      <c r="M19" s="2021">
        <f t="shared" si="38"/>
        <v>2.3999999999999998E-3</v>
      </c>
      <c r="N19" s="2021">
        <f t="shared" si="38"/>
        <v>4.7999999999999996E-3</v>
      </c>
      <c r="O19" s="2021">
        <f t="shared" si="38"/>
        <v>4.7999999999999996E-3</v>
      </c>
      <c r="P19" s="2021">
        <f t="shared" si="58"/>
        <v>2.3999999999999998E-3</v>
      </c>
      <c r="Q19" s="2900"/>
      <c r="R19" s="2020">
        <f>ROUND(IF(项目基本情况!$B$8="出让",SUMPRODUCT(PRODUCT(1+K19:$K$21)),SUMPRODUCT(PRODUCT(1+K19:$K$20))),4)</f>
        <v>1.0139</v>
      </c>
      <c r="S19" s="2020">
        <f>ROUND(IF(项目基本情况!$B$8="出让",SUMPRODUCT(PRODUCT(1+L19:$L$21)),SUMPRODUCT(PRODUCT(1+L19:$L$20))),4)</f>
        <v>1.0113000000000001</v>
      </c>
      <c r="T19" s="2020">
        <f>ROUND(IF(项目基本情况!$B$8="出让",SUMPRODUCT(PRODUCT(1+M19:$M$21)),SUMPRODUCT(PRODUCT(1+M19:$M$20))),4)</f>
        <v>1.0065</v>
      </c>
      <c r="U19" s="2020">
        <f>ROUND(IF(项目基本情况!$B$8="出让",SUMPRODUCT(PRODUCT(1+N19:$N$21)),SUMPRODUCT(PRODUCT(1+N19:$N$20))),4)</f>
        <v>1.0143</v>
      </c>
      <c r="V19" s="2020">
        <f>ROUND(IF(项目基本情况!$B$8="出让",SUMPRODUCT(PRODUCT(1+O19:$O$21)),SUMPRODUCT(PRODUCT(1+O19:$O$20))),4)</f>
        <v>1.0148999999999999</v>
      </c>
      <c r="W19" s="2020">
        <f t="shared" si="57"/>
        <v>1.0065</v>
      </c>
      <c r="X19" s="2900"/>
      <c r="Y19" s="2021">
        <f>IF(D19=0,0,ROUND(AVERAGE(D19:D21)/100,4))</f>
        <v>7.9000000000000008E-3</v>
      </c>
      <c r="Z19" s="2021">
        <f>IF(E19=0,0,ROUND(AVERAGE(E19:E21)/100,4))</f>
        <v>4.3E-3</v>
      </c>
      <c r="AA19" s="2021">
        <f>IF(F19=0,0,ROUND(AVERAGE(F19:F21)/100,4))</f>
        <v>1.2999999999999999E-3</v>
      </c>
      <c r="AB19" s="2021">
        <f>IF(G19=0,0,ROUND(AVERAGE(G19:G21)/100,4))</f>
        <v>8.5000000000000006E-3</v>
      </c>
      <c r="AC19" s="2021">
        <f>IF(H19=0,0,ROUND(AVERAGE(H19:H21)/100,4))</f>
        <v>6.1999999999999998E-3</v>
      </c>
      <c r="AD19" s="2021">
        <f t="shared" si="40"/>
        <v>1.2999999999999999E-3</v>
      </c>
    </row>
    <row r="20" spans="1:30" s="2038" customFormat="1" ht="12.75">
      <c r="A20" s="2899" t="s">
        <v>2812</v>
      </c>
      <c r="B20" s="2024">
        <v>2021</v>
      </c>
      <c r="C20" s="2035">
        <v>2</v>
      </c>
      <c r="D20" s="2000">
        <v>0.92</v>
      </c>
      <c r="E20" s="2000">
        <v>0.72</v>
      </c>
      <c r="F20" s="2000">
        <v>0.41</v>
      </c>
      <c r="G20" s="2000">
        <v>0.95</v>
      </c>
      <c r="H20" s="2911">
        <v>1.01</v>
      </c>
      <c r="I20" s="2001">
        <f t="shared" si="37"/>
        <v>0.41</v>
      </c>
      <c r="J20" s="2900"/>
      <c r="K20" s="2036">
        <f t="shared" si="38"/>
        <v>9.1999999999999998E-3</v>
      </c>
      <c r="L20" s="2021">
        <f t="shared" si="38"/>
        <v>7.1999999999999998E-3</v>
      </c>
      <c r="M20" s="2021">
        <f t="shared" si="38"/>
        <v>4.0999999999999995E-3</v>
      </c>
      <c r="N20" s="2021">
        <f t="shared" si="38"/>
        <v>9.4999999999999998E-3</v>
      </c>
      <c r="O20" s="2021">
        <f t="shared" si="38"/>
        <v>1.01E-2</v>
      </c>
      <c r="P20" s="2021">
        <f t="shared" si="58"/>
        <v>4.0999999999999995E-3</v>
      </c>
      <c r="Q20" s="2900"/>
      <c r="R20" s="2020">
        <f>ROUND(IF(项目基本情况!$B$8="出让",SUMPRODUCT(PRODUCT(1+K20:$K$21)),SUMPRODUCT(PRODUCT(1+K20:$K$20))),4)</f>
        <v>1.0092000000000001</v>
      </c>
      <c r="S20" s="2020">
        <f>ROUND(IF(项目基本情况!$B$8="出让",SUMPRODUCT(PRODUCT(1+L20:$L$21)),SUMPRODUCT(PRODUCT(1+L20:$L$20))),4)</f>
        <v>1.0072000000000001</v>
      </c>
      <c r="T20" s="2020">
        <f>ROUND(IF(项目基本情况!$B$8="出让",SUMPRODUCT(PRODUCT(1+M20:$M$21)),SUMPRODUCT(PRODUCT(1+M20:$M$20))),4)</f>
        <v>1.0041</v>
      </c>
      <c r="U20" s="2020">
        <f>ROUND(IF(项目基本情况!$B$8="出让",SUMPRODUCT(PRODUCT(1+N20:$N$21)),SUMPRODUCT(PRODUCT(1+N20:$N$20))),4)</f>
        <v>1.0095000000000001</v>
      </c>
      <c r="V20" s="2020">
        <f>ROUND(IF(项目基本情况!$B$8="出让",SUMPRODUCT(PRODUCT(1+O20:$O$21)),SUMPRODUCT(PRODUCT(1+O20:$O$20))),4)</f>
        <v>1.0101</v>
      </c>
      <c r="W20" s="2020">
        <f t="shared" si="57"/>
        <v>1.0041</v>
      </c>
      <c r="X20" s="2900"/>
      <c r="Y20" s="2021">
        <f>IF(D20=0,0,ROUND(AVERAGE(D20:D21)/100,4))</f>
        <v>9.4999999999999998E-3</v>
      </c>
      <c r="Z20" s="2021">
        <f>IF(E20=0,0,ROUND(AVERAGE(E20:E21)/100,4))</f>
        <v>4.4000000000000003E-3</v>
      </c>
      <c r="AA20" s="2021">
        <f>IF(F20=0,0,ROUND(AVERAGE(F20:F21)/100,4))</f>
        <v>8.0000000000000004E-4</v>
      </c>
      <c r="AB20" s="2021">
        <f>IF(G20=0,0,ROUND(AVERAGE(G20:G21)/100,4))</f>
        <v>1.03E-2</v>
      </c>
      <c r="AC20" s="2021">
        <f>IF(H20=0,0,ROUND(AVERAGE(H20:H21)/100,4))</f>
        <v>6.8999999999999999E-3</v>
      </c>
      <c r="AD20" s="2021">
        <f t="shared" si="40"/>
        <v>8.0000000000000004E-4</v>
      </c>
    </row>
    <row r="21" spans="1:30" s="2922" customFormat="1" thickBot="1">
      <c r="A21" s="2912" t="s">
        <v>2813</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3354</v>
      </c>
    </row>
    <row r="24" spans="1:30">
      <c r="I24" s="1398" t="s">
        <v>2814</v>
      </c>
    </row>
    <row r="26" spans="1:30" s="2002" customFormat="1" ht="12.75">
      <c r="B26" s="2923" t="s">
        <v>3360</v>
      </c>
      <c r="C26" s="2924"/>
      <c r="D26" s="2924"/>
      <c r="E26" s="2924"/>
      <c r="F26" s="2924"/>
      <c r="G26" s="2924"/>
      <c r="H26" s="2924"/>
      <c r="I26" s="2924"/>
      <c r="J26" s="2890"/>
      <c r="K26" s="2924" t="s">
        <v>2815</v>
      </c>
      <c r="L26" s="2924"/>
      <c r="M26" s="2924"/>
      <c r="N26" s="2924"/>
      <c r="O26" s="2924"/>
      <c r="P26" s="2924"/>
      <c r="Q26" s="2890"/>
      <c r="R26" s="3529" t="s">
        <v>2816</v>
      </c>
      <c r="S26" s="3530"/>
      <c r="T26" s="3530"/>
      <c r="U26" s="3530"/>
      <c r="V26" s="3530"/>
      <c r="W26" s="3530"/>
      <c r="X26" s="2890"/>
      <c r="Y26" s="3529" t="s">
        <v>2817</v>
      </c>
      <c r="Z26" s="3530"/>
      <c r="AA26" s="3530"/>
      <c r="AB26" s="3530"/>
      <c r="AC26" s="3530"/>
      <c r="AD26" s="3530"/>
    </row>
    <row r="27" spans="1:30" s="2003" customFormat="1" ht="14.25" thickBot="1">
      <c r="B27" s="2875"/>
      <c r="C27" s="2876"/>
      <c r="D27" s="2004" t="s">
        <v>2818</v>
      </c>
      <c r="E27" s="2005" t="s">
        <v>2819</v>
      </c>
      <c r="F27" s="2005" t="s">
        <v>2820</v>
      </c>
      <c r="G27" s="2005" t="s">
        <v>2821</v>
      </c>
      <c r="H27" s="2005"/>
      <c r="I27" s="2005" t="s">
        <v>2822</v>
      </c>
      <c r="J27" s="2877"/>
      <c r="K27" s="2004" t="s">
        <v>2818</v>
      </c>
      <c r="L27" s="2005" t="s">
        <v>2819</v>
      </c>
      <c r="M27" s="2005" t="s">
        <v>2820</v>
      </c>
      <c r="N27" s="2005" t="s">
        <v>2821</v>
      </c>
      <c r="O27" s="2005"/>
      <c r="P27" s="2005" t="s">
        <v>2822</v>
      </c>
      <c r="Q27" s="2877"/>
      <c r="R27" s="2004" t="s">
        <v>2818</v>
      </c>
      <c r="S27" s="2005" t="s">
        <v>2819</v>
      </c>
      <c r="T27" s="2005" t="s">
        <v>2820</v>
      </c>
      <c r="U27" s="2005" t="s">
        <v>2821</v>
      </c>
      <c r="V27" s="2005"/>
      <c r="W27" s="2005" t="s">
        <v>2822</v>
      </c>
      <c r="X27" s="2877"/>
      <c r="Y27" s="2004" t="s">
        <v>2818</v>
      </c>
      <c r="Z27" s="2005" t="s">
        <v>2819</v>
      </c>
      <c r="AA27" s="2005" t="s">
        <v>2820</v>
      </c>
      <c r="AB27" s="2005" t="s">
        <v>2821</v>
      </c>
      <c r="AC27" s="2005"/>
      <c r="AD27" s="2005" t="s">
        <v>2822</v>
      </c>
    </row>
    <row r="28" spans="1:30" s="2880" customFormat="1" ht="12.75">
      <c r="A28" s="2878" t="s">
        <v>2823</v>
      </c>
      <c r="B28" s="2879"/>
      <c r="E28" s="2880">
        <f t="shared" ref="E28:G28" si="65">ROUND(AVERAGEIF(E29:E46,"&lt;&gt;0"),2)</f>
        <v>0.33</v>
      </c>
      <c r="F28" s="2880">
        <f t="shared" si="65"/>
        <v>0.24</v>
      </c>
      <c r="G28" s="2880">
        <f t="shared" si="65"/>
        <v>0.62</v>
      </c>
      <c r="I28" s="2880">
        <f>F28</f>
        <v>0.24</v>
      </c>
      <c r="J28" s="2881"/>
      <c r="K28" s="2882"/>
      <c r="L28" s="2883">
        <f t="shared" ref="L28:N28" si="66">ROUND(AVERAGEIF(L29:L46,"&lt;&gt;0"),4)</f>
        <v>3.3E-3</v>
      </c>
      <c r="M28" s="2883">
        <f t="shared" si="66"/>
        <v>2.3999999999999998E-3</v>
      </c>
      <c r="N28" s="2883">
        <f t="shared" si="66"/>
        <v>6.1999999999999998E-3</v>
      </c>
      <c r="O28" s="2883"/>
      <c r="P28" s="2883">
        <f>M28</f>
        <v>2.3999999999999998E-3</v>
      </c>
      <c r="Q28" s="2881"/>
      <c r="R28" s="2884"/>
      <c r="S28" s="2885">
        <f>ROUND(SUMPRODUCT(PRODUCT(1+L29:L46)),4)</f>
        <v>1.0468999999999999</v>
      </c>
      <c r="T28" s="2885">
        <f t="shared" ref="T28:U28" si="67">ROUND(SUMPRODUCT(PRODUCT(1+M29:M46)),4)</f>
        <v>1.0347</v>
      </c>
      <c r="U28" s="2885">
        <f t="shared" si="67"/>
        <v>1.0895999999999999</v>
      </c>
      <c r="V28" s="2885"/>
      <c r="W28" s="2884">
        <f>T28</f>
        <v>1.0347</v>
      </c>
      <c r="X28" s="2881"/>
      <c r="Y28" s="2886"/>
      <c r="Z28" s="2887">
        <f t="shared" ref="Z28:AB28" si="68">ROUND(AVERAGEIF(Z29:Z46,"&lt;&gt;0"),4)</f>
        <v>4.1999999999999997E-3</v>
      </c>
      <c r="AA28" s="2888">
        <f t="shared" si="68"/>
        <v>3.3999999999999998E-3</v>
      </c>
      <c r="AB28" s="2886">
        <f t="shared" si="68"/>
        <v>8.6E-3</v>
      </c>
      <c r="AC28" s="2889"/>
      <c r="AD28" s="2886">
        <f>AA28</f>
        <v>3.3999999999999998E-3</v>
      </c>
    </row>
    <row r="29" spans="1:30" s="2002" customFormat="1" ht="12.75">
      <c r="B29" s="2018"/>
      <c r="J29" s="2890"/>
      <c r="K29" s="2891"/>
      <c r="L29" s="2892"/>
      <c r="M29" s="2892"/>
      <c r="N29" s="2892"/>
      <c r="O29" s="2892"/>
      <c r="P29" s="2892"/>
      <c r="Q29" s="2890"/>
      <c r="R29" s="2020"/>
      <c r="S29" s="2893"/>
      <c r="T29" s="2894"/>
      <c r="U29" s="2020"/>
      <c r="V29" s="2895"/>
      <c r="W29" s="2020"/>
      <c r="X29" s="2890"/>
      <c r="Y29" s="2021"/>
      <c r="Z29" s="2896"/>
      <c r="AA29" s="2897"/>
      <c r="AB29" s="2021"/>
      <c r="AC29" s="2898"/>
      <c r="AD29" s="2021"/>
    </row>
    <row r="30" spans="1:30" s="2038" customFormat="1" ht="12.75">
      <c r="A30" s="2033" t="s">
        <v>3370</v>
      </c>
      <c r="B30" s="2024">
        <v>2025</v>
      </c>
      <c r="C30" s="2035">
        <v>1</v>
      </c>
      <c r="D30" s="2000"/>
      <c r="E30" s="2000">
        <v>0</v>
      </c>
      <c r="F30" s="2000">
        <v>0</v>
      </c>
      <c r="G30" s="2000">
        <v>0</v>
      </c>
      <c r="H30" s="2000"/>
      <c r="I30" s="2001">
        <f t="shared" ref="I30" si="69">F30</f>
        <v>0</v>
      </c>
      <c r="J30" s="2900"/>
      <c r="K30" s="2036"/>
      <c r="L30" s="2021">
        <f t="shared" ref="L30" si="70">E30/100</f>
        <v>0</v>
      </c>
      <c r="M30" s="2021">
        <f t="shared" ref="M30" si="71">F30/100</f>
        <v>0</v>
      </c>
      <c r="N30" s="2021">
        <f t="shared" ref="N30" si="72">G30/100</f>
        <v>0</v>
      </c>
      <c r="O30" s="2021"/>
      <c r="P30" s="2021">
        <f>M30</f>
        <v>0</v>
      </c>
      <c r="Q30" s="2900"/>
      <c r="R30" s="2020"/>
      <c r="S30" s="2020">
        <f>ROUND(IF(项目基本情况!$B$8="出让",SUMPRODUCT(PRODUCT(1+L30:L$46)),SUMPRODUCT(PRODUCT(1+L30:L$45))),4)</f>
        <v>1.0432999999999999</v>
      </c>
      <c r="T30" s="2020">
        <f>ROUND(IF(项目基本情况!$B$8="出让",SUMPRODUCT(PRODUCT(1+M30:M$46)),SUMPRODUCT(PRODUCT(1+M30:M$45))),4)</f>
        <v>1.0298</v>
      </c>
      <c r="U30" s="2020">
        <f>ROUND(IF(项目基本情况!$B$8="出让",SUMPRODUCT(PRODUCT(1+N30:N$46)),SUMPRODUCT(PRODUCT(1+N30:N$45))),4)</f>
        <v>1.079</v>
      </c>
      <c r="V30" s="2020"/>
      <c r="W30" s="2020">
        <f>T30</f>
        <v>1.0298</v>
      </c>
      <c r="X30" s="2900"/>
      <c r="Y30" s="2021"/>
      <c r="Z30" s="2896">
        <f t="shared" ref="Z30" si="73">IF(E30=0,0,ROUND(AVERAGE(E30:E43)/100,4))</f>
        <v>0</v>
      </c>
      <c r="AA30" s="2896">
        <f t="shared" ref="AA30" si="74">IF(F30=0,0,ROUND(AVERAGE(F30:F43)/100,4))</f>
        <v>0</v>
      </c>
      <c r="AB30" s="2896">
        <f t="shared" ref="AB30" si="75">IF(G30=0,0,ROUND(AVERAGE(G30:G43)/100,4))</f>
        <v>0</v>
      </c>
      <c r="AC30" s="2898"/>
      <c r="AD30" s="2021">
        <f>IF(I30=0,0,ROUND(AVERAGE(I30:I43)/100,4))</f>
        <v>0</v>
      </c>
    </row>
    <row r="31" spans="1:30" s="2910" customFormat="1" ht="12.75">
      <c r="A31" s="2901" t="s">
        <v>3373</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1.0432999999999999</v>
      </c>
      <c r="T31" s="2907">
        <f>ROUND(IF(项目基本情况!$B$8="出让",SUMPRODUCT(PRODUCT(1+M31:M$46)),SUMPRODUCT(PRODUCT(1+M31:M$45))),4)</f>
        <v>1.0298</v>
      </c>
      <c r="U31" s="2907">
        <f>ROUND(IF(项目基本情况!$B$8="出让",SUMPRODUCT(PRODUCT(1+N31:N$46)),SUMPRODUCT(PRODUCT(1+N31:N$45))),4)</f>
        <v>1.079</v>
      </c>
      <c r="V31" s="2907"/>
      <c r="W31" s="2907">
        <f>T31</f>
        <v>1.0298</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8" customFormat="1" ht="12.75">
      <c r="A32" s="2033" t="s">
        <v>3365</v>
      </c>
      <c r="B32" s="2024">
        <v>2024</v>
      </c>
      <c r="C32" s="2035">
        <v>3</v>
      </c>
      <c r="D32" s="2000"/>
      <c r="E32" s="2000">
        <v>0</v>
      </c>
      <c r="F32" s="2000">
        <v>0</v>
      </c>
      <c r="G32" s="2000">
        <v>0</v>
      </c>
      <c r="H32" s="2000"/>
      <c r="I32" s="2001">
        <f t="shared" ref="I32" si="83">F32</f>
        <v>0</v>
      </c>
      <c r="J32" s="2900"/>
      <c r="K32" s="2036"/>
      <c r="L32" s="2021">
        <f t="shared" ref="L32" si="84">E32/100</f>
        <v>0</v>
      </c>
      <c r="M32" s="2021">
        <f t="shared" ref="M32" si="85">F32/100</f>
        <v>0</v>
      </c>
      <c r="N32" s="2021">
        <f t="shared" ref="N32" si="86">G32/100</f>
        <v>0</v>
      </c>
      <c r="O32" s="2021"/>
      <c r="P32" s="2021">
        <f>M32</f>
        <v>0</v>
      </c>
      <c r="Q32" s="2900"/>
      <c r="R32" s="2020"/>
      <c r="S32" s="2020">
        <f>ROUND(IF(项目基本情况!$B$8="出让",SUMPRODUCT(PRODUCT(1+L32:L$46)),SUMPRODUCT(PRODUCT(1+L32:L$45))),4)</f>
        <v>1.0432999999999999</v>
      </c>
      <c r="T32" s="2020">
        <f>ROUND(IF(项目基本情况!$B$8="出让",SUMPRODUCT(PRODUCT(1+M32:M$46)),SUMPRODUCT(PRODUCT(1+M32:M$45))),4)</f>
        <v>1.0298</v>
      </c>
      <c r="U32" s="2020">
        <f>ROUND(IF(项目基本情况!$B$8="出让",SUMPRODUCT(PRODUCT(1+N32:N$46)),SUMPRODUCT(PRODUCT(1+N32:N$45))),4)</f>
        <v>1.079</v>
      </c>
      <c r="V32" s="2020"/>
      <c r="W32" s="2020">
        <f>T32</f>
        <v>1.0298</v>
      </c>
      <c r="X32" s="2900"/>
      <c r="Y32" s="2021"/>
      <c r="Z32" s="2896">
        <f t="shared" ref="Z32:AB33" si="87">IF(E32=0,0,ROUND(AVERAGE(E32:E45)/100,4))</f>
        <v>0</v>
      </c>
      <c r="AA32" s="2896">
        <f t="shared" si="87"/>
        <v>0</v>
      </c>
      <c r="AB32" s="2896">
        <f t="shared" si="87"/>
        <v>0</v>
      </c>
      <c r="AC32" s="2898"/>
      <c r="AD32" s="2021">
        <f>IF(I32=0,0,ROUND(AVERAGE(I32:I45)/100,4))</f>
        <v>0</v>
      </c>
    </row>
    <row r="33" spans="1:30" s="2038" customFormat="1" ht="12.75">
      <c r="A33" s="2899" t="s">
        <v>3374</v>
      </c>
      <c r="B33" s="2024">
        <v>2024</v>
      </c>
      <c r="C33" s="2035">
        <v>2</v>
      </c>
      <c r="D33" s="2000"/>
      <c r="E33" s="2000">
        <v>-0.31</v>
      </c>
      <c r="F33" s="2000">
        <v>-0.39</v>
      </c>
      <c r="G33" s="2000">
        <v>1.23</v>
      </c>
      <c r="H33" s="2911"/>
      <c r="I33" s="2001">
        <f t="shared" ref="I33:I46" si="88">F33</f>
        <v>-0.39</v>
      </c>
      <c r="J33" s="2900"/>
      <c r="K33" s="2036"/>
      <c r="L33" s="2021">
        <f t="shared" ref="L33:N46" si="89">E33/100</f>
        <v>-3.0999999999999999E-3</v>
      </c>
      <c r="M33" s="2021">
        <f t="shared" si="89"/>
        <v>-3.9000000000000003E-3</v>
      </c>
      <c r="N33" s="2021">
        <f t="shared" si="89"/>
        <v>1.23E-2</v>
      </c>
      <c r="O33" s="2021"/>
      <c r="P33" s="2021">
        <f>M33</f>
        <v>-3.9000000000000003E-3</v>
      </c>
      <c r="Q33" s="2900"/>
      <c r="R33" s="2020"/>
      <c r="S33" s="2020">
        <f>ROUND(IF(项目基本情况!$B$8="出让",SUMPRODUCT(PRODUCT(1+L33:L$46)),SUMPRODUCT(PRODUCT(1+L33:L$45))),4)</f>
        <v>1.0432999999999999</v>
      </c>
      <c r="T33" s="2020">
        <f>ROUND(IF(项目基本情况!$B$8="出让",SUMPRODUCT(PRODUCT(1+M33:M$46)),SUMPRODUCT(PRODUCT(1+M33:M$45))),4)</f>
        <v>1.0298</v>
      </c>
      <c r="U33" s="2020">
        <f>ROUND(IF(项目基本情况!$B$8="出让",SUMPRODUCT(PRODUCT(1+N33:N$46)),SUMPRODUCT(PRODUCT(1+N33:N$45))),4)</f>
        <v>1.079</v>
      </c>
      <c r="V33" s="2020"/>
      <c r="W33" s="2020">
        <f>T33</f>
        <v>1.0298</v>
      </c>
      <c r="X33" s="2900"/>
      <c r="Y33" s="2021"/>
      <c r="Z33" s="2896">
        <f t="shared" si="87"/>
        <v>3.3E-3</v>
      </c>
      <c r="AA33" s="2897">
        <f t="shared" si="87"/>
        <v>2.3999999999999998E-3</v>
      </c>
      <c r="AB33" s="2021">
        <f t="shared" si="87"/>
        <v>6.1999999999999998E-3</v>
      </c>
      <c r="AC33" s="2898"/>
      <c r="AD33" s="2021">
        <f>IF(I33=0,0,ROUND(AVERAGE(I33:I46)/100,4))</f>
        <v>2.3999999999999998E-3</v>
      </c>
    </row>
    <row r="34" spans="1:30" s="2038" customFormat="1" ht="12.75">
      <c r="A34" s="2899" t="s">
        <v>3366</v>
      </c>
      <c r="B34" s="2024">
        <v>2024</v>
      </c>
      <c r="C34" s="2035">
        <v>1</v>
      </c>
      <c r="D34" s="2000"/>
      <c r="E34" s="2000">
        <v>0.25</v>
      </c>
      <c r="F34" s="2000">
        <v>0.4</v>
      </c>
      <c r="G34" s="2000">
        <v>-0.63</v>
      </c>
      <c r="H34" s="2911"/>
      <c r="I34" s="2001">
        <f t="shared" ref="I34:I35" si="90">F34</f>
        <v>0.4</v>
      </c>
      <c r="J34" s="2900"/>
      <c r="K34" s="2036"/>
      <c r="L34" s="2021">
        <f t="shared" ref="L34" si="91">E34/100</f>
        <v>2.5000000000000001E-3</v>
      </c>
      <c r="M34" s="2021">
        <f t="shared" ref="M34" si="92">F34/100</f>
        <v>4.0000000000000001E-3</v>
      </c>
      <c r="N34" s="2021">
        <f t="shared" ref="N34" si="93">G34/100</f>
        <v>-6.3E-3</v>
      </c>
      <c r="O34" s="2021"/>
      <c r="P34" s="2021">
        <f t="shared" ref="P34" si="94">M34</f>
        <v>4.0000000000000001E-3</v>
      </c>
      <c r="Q34" s="2900"/>
      <c r="R34" s="2020"/>
      <c r="S34" s="2020">
        <f>ROUND(IF(项目基本情况!$B$8="出让",SUMPRODUCT(PRODUCT(1+L34:L$46)),SUMPRODUCT(PRODUCT(1+L34:L$45))),4)</f>
        <v>1.0465</v>
      </c>
      <c r="T34" s="2020">
        <f>ROUND(IF(项目基本情况!$B$8="出让",SUMPRODUCT(PRODUCT(1+M34:M$46)),SUMPRODUCT(PRODUCT(1+M34:M$45))),4)</f>
        <v>1.0338000000000001</v>
      </c>
      <c r="U34" s="2020">
        <f>ROUND(IF(项目基本情况!$B$8="出让",SUMPRODUCT(PRODUCT(1+N34:N$46)),SUMPRODUCT(PRODUCT(1+N34:N$45))),4)</f>
        <v>1.0659000000000001</v>
      </c>
      <c r="V34" s="2020"/>
      <c r="W34" s="2020">
        <f t="shared" ref="W34" si="95">T34</f>
        <v>1.0338000000000001</v>
      </c>
      <c r="X34" s="2900"/>
      <c r="Y34" s="2021"/>
      <c r="Z34" s="2896"/>
      <c r="AA34" s="2897"/>
      <c r="AB34" s="2021"/>
      <c r="AC34" s="2898"/>
      <c r="AD34" s="2021"/>
    </row>
    <row r="35" spans="1:30" s="2038" customFormat="1" ht="12.75">
      <c r="A35" s="2899" t="s">
        <v>3364</v>
      </c>
      <c r="B35" s="2024">
        <v>2023</v>
      </c>
      <c r="C35" s="2035">
        <v>4</v>
      </c>
      <c r="D35" s="2000"/>
      <c r="E35" s="2000">
        <v>7.0000000000000007E-2</v>
      </c>
      <c r="F35" s="2000">
        <v>0.09</v>
      </c>
      <c r="G35" s="2000">
        <v>0.03</v>
      </c>
      <c r="H35" s="2911"/>
      <c r="I35" s="2001">
        <f t="shared" si="90"/>
        <v>0.09</v>
      </c>
      <c r="J35" s="2900"/>
      <c r="K35" s="2036"/>
      <c r="L35" s="2021">
        <f t="shared" si="89"/>
        <v>7.000000000000001E-4</v>
      </c>
      <c r="M35" s="2021">
        <f t="shared" si="89"/>
        <v>8.9999999999999998E-4</v>
      </c>
      <c r="N35" s="2021">
        <f t="shared" si="89"/>
        <v>2.9999999999999997E-4</v>
      </c>
      <c r="O35" s="2021"/>
      <c r="P35" s="2021">
        <f t="shared" ref="P35" si="96">M35</f>
        <v>8.9999999999999998E-4</v>
      </c>
      <c r="Q35" s="2900"/>
      <c r="R35" s="2020"/>
      <c r="S35" s="2020">
        <f>ROUND(IF(项目基本情况!$B$8="出让",SUMPRODUCT(PRODUCT(1+L35:L$46)),SUMPRODUCT(PRODUCT(1+L35:L$45))),4)</f>
        <v>1.0439000000000001</v>
      </c>
      <c r="T35" s="2020">
        <f>ROUND(IF(项目基本情况!$B$8="出让",SUMPRODUCT(PRODUCT(1+M35:M$46)),SUMPRODUCT(PRODUCT(1+M35:M$45))),4)</f>
        <v>1.0297000000000001</v>
      </c>
      <c r="U35" s="2020">
        <f>ROUND(IF(项目基本情况!$B$8="出让",SUMPRODUCT(PRODUCT(1+N35:N$46)),SUMPRODUCT(PRODUCT(1+N35:N$45))),4)</f>
        <v>1.0727</v>
      </c>
      <c r="V35" s="2020"/>
      <c r="W35" s="2020">
        <f t="shared" ref="W35" si="97">T35</f>
        <v>1.0297000000000001</v>
      </c>
      <c r="X35" s="2900"/>
      <c r="Y35" s="2021"/>
      <c r="Z35" s="2896"/>
      <c r="AA35" s="2897"/>
      <c r="AB35" s="2021"/>
      <c r="AC35" s="2898"/>
      <c r="AD35" s="2021"/>
    </row>
    <row r="36" spans="1:30" s="2038" customFormat="1" ht="12.75">
      <c r="A36" s="2899" t="s">
        <v>3362</v>
      </c>
      <c r="B36" s="2024">
        <v>2023</v>
      </c>
      <c r="C36" s="2035">
        <v>3</v>
      </c>
      <c r="D36" s="2000"/>
      <c r="E36" s="2000">
        <v>0.35</v>
      </c>
      <c r="F36" s="2000">
        <v>0.17</v>
      </c>
      <c r="G36" s="2000">
        <v>0.52</v>
      </c>
      <c r="H36" s="2911"/>
      <c r="I36" s="2001">
        <f t="shared" si="88"/>
        <v>0.17</v>
      </c>
      <c r="J36" s="2900"/>
      <c r="K36" s="2036"/>
      <c r="L36" s="2021">
        <f t="shared" ref="L36:L38" si="98">E36/100</f>
        <v>3.4999999999999996E-3</v>
      </c>
      <c r="M36" s="2021">
        <f t="shared" ref="M36:M38" si="99">F36/100</f>
        <v>1.7000000000000001E-3</v>
      </c>
      <c r="N36" s="2021">
        <f t="shared" ref="N36:N38" si="100">G36/100</f>
        <v>5.1999999999999998E-3</v>
      </c>
      <c r="O36" s="2021"/>
      <c r="P36" s="2021">
        <f t="shared" ref="P36:P38" si="101">M36</f>
        <v>1.7000000000000001E-3</v>
      </c>
      <c r="Q36" s="2900"/>
      <c r="R36" s="2020"/>
      <c r="S36" s="2020">
        <f>ROUND(IF(项目基本情况!$B$8="出让",SUMPRODUCT(PRODUCT(1+L36:L$46)),SUMPRODUCT(PRODUCT(1+L36:L$45))),4)</f>
        <v>1.0431999999999999</v>
      </c>
      <c r="T36" s="2020">
        <f>ROUND(IF(项目基本情况!$B$8="出让",SUMPRODUCT(PRODUCT(1+M36:M$46)),SUMPRODUCT(PRODUCT(1+M36:M$45))),4)</f>
        <v>1.0286999999999999</v>
      </c>
      <c r="U36" s="2020">
        <f>ROUND(IF(项目基本情况!$B$8="出让",SUMPRODUCT(PRODUCT(1+N36:N$46)),SUMPRODUCT(PRODUCT(1+N36:N$45))),4)</f>
        <v>1.0723</v>
      </c>
      <c r="V36" s="2020"/>
      <c r="W36" s="2020">
        <f t="shared" ref="W36:W38" si="102">T36</f>
        <v>1.0286999999999999</v>
      </c>
      <c r="X36" s="2900"/>
      <c r="Y36" s="2021"/>
      <c r="Z36" s="2896"/>
      <c r="AA36" s="2897"/>
      <c r="AB36" s="2021"/>
      <c r="AC36" s="2898"/>
      <c r="AD36" s="2021"/>
    </row>
    <row r="37" spans="1:30" s="2038" customFormat="1" ht="12.75">
      <c r="A37" s="2899" t="s">
        <v>3361</v>
      </c>
      <c r="B37" s="2024">
        <v>2023</v>
      </c>
      <c r="C37" s="2035">
        <v>2</v>
      </c>
      <c r="D37" s="2000"/>
      <c r="E37" s="2000">
        <v>0.5</v>
      </c>
      <c r="F37" s="2000">
        <v>0.45</v>
      </c>
      <c r="G37" s="2000">
        <v>0.89</v>
      </c>
      <c r="H37" s="2911"/>
      <c r="I37" s="2001">
        <f t="shared" si="88"/>
        <v>0.45</v>
      </c>
      <c r="J37" s="2900"/>
      <c r="K37" s="2036"/>
      <c r="L37" s="2021">
        <f t="shared" si="98"/>
        <v>5.0000000000000001E-3</v>
      </c>
      <c r="M37" s="2021">
        <f t="shared" si="99"/>
        <v>4.5000000000000005E-3</v>
      </c>
      <c r="N37" s="2021">
        <f t="shared" si="100"/>
        <v>8.8999999999999999E-3</v>
      </c>
      <c r="O37" s="2021"/>
      <c r="P37" s="2021">
        <f t="shared" si="101"/>
        <v>4.5000000000000005E-3</v>
      </c>
      <c r="Q37" s="2900"/>
      <c r="R37" s="2020"/>
      <c r="S37" s="2020">
        <f>ROUND(IF(项目基本情况!$B$8="出让",SUMPRODUCT(PRODUCT(1+L37:L$46)),SUMPRODUCT(PRODUCT(1+L37:L$45))),4)</f>
        <v>1.0396000000000001</v>
      </c>
      <c r="T37" s="2020">
        <f>ROUND(IF(项目基本情况!$B$8="出让",SUMPRODUCT(PRODUCT(1+M37:M$46)),SUMPRODUCT(PRODUCT(1+M37:M$45))),4)</f>
        <v>1.0269999999999999</v>
      </c>
      <c r="U37" s="2020">
        <f>ROUND(IF(项目基本情况!$B$8="出让",SUMPRODUCT(PRODUCT(1+N37:N$46)),SUMPRODUCT(PRODUCT(1+N37:N$45))),4)</f>
        <v>1.0668</v>
      </c>
      <c r="V37" s="2020"/>
      <c r="W37" s="2020">
        <f t="shared" si="102"/>
        <v>1.0269999999999999</v>
      </c>
      <c r="X37" s="2900"/>
      <c r="Y37" s="2021"/>
      <c r="Z37" s="2896"/>
      <c r="AA37" s="2897"/>
      <c r="AB37" s="2021"/>
      <c r="AC37" s="2898"/>
      <c r="AD37" s="2021"/>
    </row>
    <row r="38" spans="1:30" s="2038" customFormat="1" ht="12.75">
      <c r="A38" s="2899" t="s">
        <v>3357</v>
      </c>
      <c r="B38" s="2024">
        <v>2023</v>
      </c>
      <c r="C38" s="2035">
        <v>1</v>
      </c>
      <c r="D38" s="2000"/>
      <c r="E38" s="2000">
        <v>0.55000000000000004</v>
      </c>
      <c r="F38" s="2000">
        <v>0.59</v>
      </c>
      <c r="G38" s="2000">
        <v>0.64</v>
      </c>
      <c r="H38" s="2911"/>
      <c r="I38" s="2001">
        <f t="shared" si="88"/>
        <v>0.59</v>
      </c>
      <c r="J38" s="2900"/>
      <c r="K38" s="2036"/>
      <c r="L38" s="2021">
        <f t="shared" si="98"/>
        <v>5.5000000000000005E-3</v>
      </c>
      <c r="M38" s="2021">
        <f t="shared" si="99"/>
        <v>5.8999999999999999E-3</v>
      </c>
      <c r="N38" s="2021">
        <f t="shared" si="100"/>
        <v>6.4000000000000003E-3</v>
      </c>
      <c r="O38" s="2021"/>
      <c r="P38" s="2021">
        <f t="shared" si="101"/>
        <v>5.8999999999999999E-3</v>
      </c>
      <c r="Q38" s="2900"/>
      <c r="R38" s="2020"/>
      <c r="S38" s="2020">
        <f>ROUND(IF(项目基本情况!$B$8="出让",SUMPRODUCT(PRODUCT(1+L38:L$46)),SUMPRODUCT(PRODUCT(1+L38:L$45))),4)</f>
        <v>1.0344</v>
      </c>
      <c r="T38" s="2020">
        <f>ROUND(IF(项目基本情况!$B$8="出让",SUMPRODUCT(PRODUCT(1+M38:M$46)),SUMPRODUCT(PRODUCT(1+M38:M$45))),4)</f>
        <v>1.0224</v>
      </c>
      <c r="U38" s="2020">
        <f>ROUND(IF(项目基本情况!$B$8="出让",SUMPRODUCT(PRODUCT(1+N38:N$46)),SUMPRODUCT(PRODUCT(1+N38:N$45))),4)</f>
        <v>1.0573999999999999</v>
      </c>
      <c r="V38" s="2020"/>
      <c r="W38" s="2020">
        <f t="shared" si="102"/>
        <v>1.0224</v>
      </c>
      <c r="X38" s="2900"/>
      <c r="Y38" s="2021"/>
      <c r="Z38" s="2896"/>
      <c r="AA38" s="2897"/>
      <c r="AB38" s="2021"/>
      <c r="AC38" s="2898"/>
      <c r="AD38" s="2021"/>
    </row>
    <row r="39" spans="1:30" s="2038" customFormat="1" ht="12.75">
      <c r="A39" s="2899" t="s">
        <v>3356</v>
      </c>
      <c r="B39" s="2024">
        <v>2022</v>
      </c>
      <c r="C39" s="2035">
        <v>4</v>
      </c>
      <c r="D39" s="2000"/>
      <c r="E39" s="2000">
        <v>0.45</v>
      </c>
      <c r="F39" s="2000">
        <v>0.2</v>
      </c>
      <c r="G39" s="2000">
        <v>0.38</v>
      </c>
      <c r="H39" s="2911"/>
      <c r="I39" s="2001">
        <f t="shared" si="88"/>
        <v>0.2</v>
      </c>
      <c r="J39" s="2900"/>
      <c r="K39" s="2036"/>
      <c r="L39" s="2021">
        <f t="shared" si="89"/>
        <v>4.5000000000000005E-3</v>
      </c>
      <c r="M39" s="2021">
        <f t="shared" si="89"/>
        <v>2E-3</v>
      </c>
      <c r="N39" s="2021">
        <f t="shared" si="89"/>
        <v>3.8E-3</v>
      </c>
      <c r="O39" s="2021"/>
      <c r="P39" s="2021">
        <f t="shared" ref="P39:P46" si="103">M39</f>
        <v>2E-3</v>
      </c>
      <c r="Q39" s="2900"/>
      <c r="R39" s="2020"/>
      <c r="S39" s="2020">
        <f>ROUND(IF(项目基本情况!$B$8="出让",SUMPRODUCT(PRODUCT(1+L39:L$46)),SUMPRODUCT(PRODUCT(1+L39:L$45))),4)</f>
        <v>1.0286999999999999</v>
      </c>
      <c r="T39" s="2020">
        <f>ROUND(IF(项目基本情况!$B$8="出让",SUMPRODUCT(PRODUCT(1+M39:M$46)),SUMPRODUCT(PRODUCT(1+M39:M$45))),4)</f>
        <v>1.0164</v>
      </c>
      <c r="U39" s="2020">
        <f>ROUND(IF(项目基本情况!$B$8="出让",SUMPRODUCT(PRODUCT(1+N39:N$46)),SUMPRODUCT(PRODUCT(1+N39:N$45))),4)</f>
        <v>1.0506</v>
      </c>
      <c r="V39" s="2020"/>
      <c r="W39" s="2020">
        <f t="shared" ref="W39:W46" si="104">T39</f>
        <v>1.0164</v>
      </c>
      <c r="X39" s="2900"/>
      <c r="Y39" s="2021"/>
      <c r="Z39" s="2896">
        <f t="shared" ref="Z39:AD46" si="105">IF(E39=0,0,ROUND(AVERAGE(E39:E47)/100,4))</f>
        <v>4.0000000000000001E-3</v>
      </c>
      <c r="AA39" s="2897">
        <f t="shared" si="105"/>
        <v>2.5999999999999999E-3</v>
      </c>
      <c r="AB39" s="2021">
        <f t="shared" si="105"/>
        <v>7.4000000000000003E-3</v>
      </c>
      <c r="AC39" s="2898"/>
      <c r="AD39" s="2021">
        <f t="shared" si="105"/>
        <v>2.5999999999999999E-3</v>
      </c>
    </row>
    <row r="40" spans="1:30" s="2038" customFormat="1" ht="12.75">
      <c r="A40" s="2899" t="s">
        <v>3353</v>
      </c>
      <c r="B40" s="2024">
        <v>2022</v>
      </c>
      <c r="C40" s="2035">
        <v>3</v>
      </c>
      <c r="D40" s="2000"/>
      <c r="E40" s="2000">
        <v>0.3</v>
      </c>
      <c r="F40" s="2000">
        <v>0.28999999999999998</v>
      </c>
      <c r="G40" s="2000">
        <v>0.83</v>
      </c>
      <c r="H40" s="2911"/>
      <c r="I40" s="2001">
        <f t="shared" si="88"/>
        <v>0.28999999999999998</v>
      </c>
      <c r="J40" s="2900"/>
      <c r="K40" s="2036"/>
      <c r="L40" s="2021">
        <f t="shared" si="89"/>
        <v>3.0000000000000001E-3</v>
      </c>
      <c r="M40" s="2021">
        <f t="shared" si="89"/>
        <v>2.8999999999999998E-3</v>
      </c>
      <c r="N40" s="2021">
        <f t="shared" si="89"/>
        <v>8.3000000000000001E-3</v>
      </c>
      <c r="O40" s="2021"/>
      <c r="P40" s="2021">
        <f t="shared" si="103"/>
        <v>2.8999999999999998E-3</v>
      </c>
      <c r="Q40" s="2900"/>
      <c r="R40" s="2020"/>
      <c r="S40" s="2020">
        <f>ROUND(IF(项目基本情况!$B$8="出让",SUMPRODUCT(PRODUCT(1+L40:L$46)),SUMPRODUCT(PRODUCT(1+L40:L$45))),4)</f>
        <v>1.0241</v>
      </c>
      <c r="T40" s="2020">
        <f>ROUND(IF(项目基本情况!$B$8="出让",SUMPRODUCT(PRODUCT(1+M40:M$46)),SUMPRODUCT(PRODUCT(1+M40:M$45))),4)</f>
        <v>1.0144</v>
      </c>
      <c r="U40" s="2020">
        <f>ROUND(IF(项目基本情况!$B$8="出让",SUMPRODUCT(PRODUCT(1+N40:N$46)),SUMPRODUCT(PRODUCT(1+N40:N$45))),4)</f>
        <v>1.0467</v>
      </c>
      <c r="V40" s="2020"/>
      <c r="W40" s="2020">
        <f t="shared" si="104"/>
        <v>1.0144</v>
      </c>
      <c r="X40" s="2900"/>
      <c r="Y40" s="2021"/>
      <c r="Z40" s="2896">
        <f t="shared" si="105"/>
        <v>3.8999999999999998E-3</v>
      </c>
      <c r="AA40" s="2897">
        <f t="shared" si="105"/>
        <v>2.7000000000000001E-3</v>
      </c>
      <c r="AB40" s="2021">
        <f t="shared" si="105"/>
        <v>7.9000000000000008E-3</v>
      </c>
      <c r="AC40" s="2898"/>
      <c r="AD40" s="2021">
        <f t="shared" si="105"/>
        <v>2.7000000000000001E-3</v>
      </c>
    </row>
    <row r="41" spans="1:30" s="2038" customFormat="1" ht="12.75">
      <c r="A41" s="2899" t="s">
        <v>3343</v>
      </c>
      <c r="B41" s="2024">
        <v>2022</v>
      </c>
      <c r="C41" s="2035">
        <v>2</v>
      </c>
      <c r="D41" s="2000"/>
      <c r="E41" s="2000">
        <v>-0.11</v>
      </c>
      <c r="F41" s="2000">
        <v>-0.13</v>
      </c>
      <c r="G41" s="2000">
        <v>0.53</v>
      </c>
      <c r="H41" s="2911"/>
      <c r="I41" s="2001">
        <f t="shared" si="88"/>
        <v>-0.13</v>
      </c>
      <c r="J41" s="2900"/>
      <c r="K41" s="2036"/>
      <c r="L41" s="2021">
        <f t="shared" si="89"/>
        <v>-1.1000000000000001E-3</v>
      </c>
      <c r="M41" s="2021">
        <f t="shared" si="89"/>
        <v>-1.2999999999999999E-3</v>
      </c>
      <c r="N41" s="2021">
        <f t="shared" si="89"/>
        <v>5.3E-3</v>
      </c>
      <c r="O41" s="2021"/>
      <c r="P41" s="2021">
        <f t="shared" si="103"/>
        <v>-1.2999999999999999E-3</v>
      </c>
      <c r="Q41" s="2900"/>
      <c r="R41" s="2020"/>
      <c r="S41" s="2020">
        <f>ROUND(IF(项目基本情况!$B$8="出让",SUMPRODUCT(PRODUCT(1+L41:L$46)),SUMPRODUCT(PRODUCT(1+L41:L$45))),4)</f>
        <v>1.0210999999999999</v>
      </c>
      <c r="T41" s="2020">
        <f>ROUND(IF(项目基本情况!$B$8="出让",SUMPRODUCT(PRODUCT(1+M41:M$46)),SUMPRODUCT(PRODUCT(1+M41:M$45))),4)</f>
        <v>1.0114000000000001</v>
      </c>
      <c r="U41" s="2020">
        <f>ROUND(IF(项目基本情况!$B$8="出让",SUMPRODUCT(PRODUCT(1+N41:N$46)),SUMPRODUCT(PRODUCT(1+N41:N$45))),4)</f>
        <v>1.0381</v>
      </c>
      <c r="V41" s="2020"/>
      <c r="W41" s="2020">
        <f t="shared" si="104"/>
        <v>1.0114000000000001</v>
      </c>
      <c r="X41" s="2900"/>
      <c r="Y41" s="2021"/>
      <c r="Z41" s="2896">
        <f t="shared" si="105"/>
        <v>4.1000000000000003E-3</v>
      </c>
      <c r="AA41" s="2897">
        <f t="shared" si="105"/>
        <v>2.7000000000000001E-3</v>
      </c>
      <c r="AB41" s="2021">
        <f t="shared" si="105"/>
        <v>7.9000000000000008E-3</v>
      </c>
      <c r="AC41" s="2898"/>
      <c r="AD41" s="2021">
        <f t="shared" si="105"/>
        <v>2.7000000000000001E-3</v>
      </c>
    </row>
    <row r="42" spans="1:30" s="2038" customFormat="1" ht="12.75">
      <c r="A42" s="2899" t="s">
        <v>2824</v>
      </c>
      <c r="B42" s="2024">
        <v>2022</v>
      </c>
      <c r="C42" s="2035">
        <v>1</v>
      </c>
      <c r="D42" s="2000"/>
      <c r="E42" s="2000">
        <v>0.6</v>
      </c>
      <c r="F42" s="2000">
        <v>0.45</v>
      </c>
      <c r="G42" s="2000">
        <v>0.53</v>
      </c>
      <c r="H42" s="2911"/>
      <c r="I42" s="2001">
        <f t="shared" si="88"/>
        <v>0.45</v>
      </c>
      <c r="J42" s="2900"/>
      <c r="K42" s="2036"/>
      <c r="L42" s="2021">
        <f t="shared" si="89"/>
        <v>6.0000000000000001E-3</v>
      </c>
      <c r="M42" s="2021">
        <f t="shared" si="89"/>
        <v>4.5000000000000005E-3</v>
      </c>
      <c r="N42" s="2021">
        <f t="shared" si="89"/>
        <v>5.3E-3</v>
      </c>
      <c r="O42" s="2021"/>
      <c r="P42" s="2021">
        <f t="shared" si="103"/>
        <v>4.5000000000000005E-3</v>
      </c>
      <c r="Q42" s="2900"/>
      <c r="R42" s="2020"/>
      <c r="S42" s="2020">
        <f>ROUND(IF(项目基本情况!$B$8="出让",SUMPRODUCT(PRODUCT(1+L42:L$46)),SUMPRODUCT(PRODUCT(1+L42:L$45))),4)</f>
        <v>1.0222</v>
      </c>
      <c r="T42" s="2020">
        <f>ROUND(IF(项目基本情况!$B$8="出让",SUMPRODUCT(PRODUCT(1+M42:M$46)),SUMPRODUCT(PRODUCT(1+M42:M$45))),4)</f>
        <v>1.0127999999999999</v>
      </c>
      <c r="U42" s="2020">
        <f>ROUND(IF(项目基本情况!$B$8="出让",SUMPRODUCT(PRODUCT(1+N42:N$46)),SUMPRODUCT(PRODUCT(1+N42:N$45))),4)</f>
        <v>1.0326</v>
      </c>
      <c r="V42" s="2020"/>
      <c r="W42" s="2020">
        <f t="shared" si="104"/>
        <v>1.0127999999999999</v>
      </c>
      <c r="X42" s="2900"/>
      <c r="Y42" s="2021"/>
      <c r="Z42" s="2896">
        <f t="shared" si="105"/>
        <v>5.1000000000000004E-3</v>
      </c>
      <c r="AA42" s="2897">
        <f t="shared" si="105"/>
        <v>3.5000000000000001E-3</v>
      </c>
      <c r="AB42" s="2021">
        <f t="shared" si="105"/>
        <v>8.3999999999999995E-3</v>
      </c>
      <c r="AC42" s="2898"/>
      <c r="AD42" s="2021">
        <f t="shared" si="105"/>
        <v>3.5000000000000001E-3</v>
      </c>
    </row>
    <row r="43" spans="1:30" s="2038" customFormat="1" ht="12.75">
      <c r="A43" s="2899" t="s">
        <v>2825</v>
      </c>
      <c r="B43" s="2024">
        <v>2021</v>
      </c>
      <c r="C43" s="2035">
        <v>4</v>
      </c>
      <c r="D43" s="2000"/>
      <c r="E43" s="2000">
        <v>0.57999999999999996</v>
      </c>
      <c r="F43" s="2000">
        <v>0.08</v>
      </c>
      <c r="G43" s="2000">
        <v>0.68</v>
      </c>
      <c r="H43" s="2911"/>
      <c r="I43" s="2001">
        <f t="shared" si="88"/>
        <v>0.08</v>
      </c>
      <c r="J43" s="2900"/>
      <c r="K43" s="2036"/>
      <c r="L43" s="2021">
        <f t="shared" si="89"/>
        <v>5.7999999999999996E-3</v>
      </c>
      <c r="M43" s="2021">
        <f t="shared" si="89"/>
        <v>8.0000000000000004E-4</v>
      </c>
      <c r="N43" s="2021">
        <f t="shared" si="89"/>
        <v>6.8000000000000005E-3</v>
      </c>
      <c r="O43" s="2021"/>
      <c r="P43" s="2021">
        <f t="shared" si="103"/>
        <v>8.0000000000000004E-4</v>
      </c>
      <c r="Q43" s="2900"/>
      <c r="R43" s="2020"/>
      <c r="S43" s="2020">
        <f>ROUND(IF(项目基本情况!$B$8="出让",SUMPRODUCT(PRODUCT(1+L43:L$46)),SUMPRODUCT(PRODUCT(1+L43:L$45))),4)</f>
        <v>1.0161</v>
      </c>
      <c r="T43" s="2020">
        <f>ROUND(IF(项目基本情况!$B$8="出让",SUMPRODUCT(PRODUCT(1+M43:M$46)),SUMPRODUCT(PRODUCT(1+M43:M$45))),4)</f>
        <v>1.0082</v>
      </c>
      <c r="U43" s="2020">
        <f>ROUND(IF(项目基本情况!$B$8="出让",SUMPRODUCT(PRODUCT(1+N43:N$46)),SUMPRODUCT(PRODUCT(1+N43:N$45))),4)</f>
        <v>1.0270999999999999</v>
      </c>
      <c r="V43" s="2020"/>
      <c r="W43" s="2020">
        <f t="shared" si="104"/>
        <v>1.0082</v>
      </c>
      <c r="X43" s="2900"/>
      <c r="Y43" s="2021"/>
      <c r="Z43" s="2896">
        <f t="shared" si="105"/>
        <v>4.8999999999999998E-3</v>
      </c>
      <c r="AA43" s="2897">
        <f t="shared" si="105"/>
        <v>3.3E-3</v>
      </c>
      <c r="AB43" s="2021">
        <f t="shared" si="105"/>
        <v>9.1999999999999998E-3</v>
      </c>
      <c r="AC43" s="2898"/>
      <c r="AD43" s="2021">
        <f t="shared" si="105"/>
        <v>3.3E-3</v>
      </c>
    </row>
    <row r="44" spans="1:30" s="2038" customFormat="1" ht="12.75">
      <c r="A44" s="2899" t="s">
        <v>2826</v>
      </c>
      <c r="B44" s="2024">
        <v>2021</v>
      </c>
      <c r="C44" s="2035">
        <v>3</v>
      </c>
      <c r="D44" s="2000"/>
      <c r="E44" s="2000">
        <v>0.47</v>
      </c>
      <c r="F44" s="2000">
        <v>0.28000000000000003</v>
      </c>
      <c r="G44" s="2000">
        <v>0.91</v>
      </c>
      <c r="H44" s="2911"/>
      <c r="I44" s="2001">
        <f t="shared" si="88"/>
        <v>0.28000000000000003</v>
      </c>
      <c r="J44" s="2900"/>
      <c r="K44" s="2036"/>
      <c r="L44" s="2021">
        <f t="shared" si="89"/>
        <v>4.6999999999999993E-3</v>
      </c>
      <c r="M44" s="2021">
        <f t="shared" si="89"/>
        <v>2.8000000000000004E-3</v>
      </c>
      <c r="N44" s="2021">
        <f t="shared" si="89"/>
        <v>9.1000000000000004E-3</v>
      </c>
      <c r="O44" s="2021"/>
      <c r="P44" s="2021">
        <f t="shared" si="103"/>
        <v>2.8000000000000004E-3</v>
      </c>
      <c r="Q44" s="2900"/>
      <c r="R44" s="2020"/>
      <c r="S44" s="2020">
        <f>ROUND(IF(项目基本情况!$B$8="出让",SUMPRODUCT(PRODUCT(1+L44:L$46)),SUMPRODUCT(PRODUCT(1+L44:L$45))),4)</f>
        <v>1.0102</v>
      </c>
      <c r="T44" s="2020">
        <f>ROUND(IF(项目基本情况!$B$8="出让",SUMPRODUCT(PRODUCT(1+M44:M$46)),SUMPRODUCT(PRODUCT(1+M44:M$45))),4)</f>
        <v>1.0074000000000001</v>
      </c>
      <c r="U44" s="2020">
        <f>ROUND(IF(项目基本情况!$B$8="出让",SUMPRODUCT(PRODUCT(1+N44:N$46)),SUMPRODUCT(PRODUCT(1+N44:N$45))),4)</f>
        <v>1.0202</v>
      </c>
      <c r="V44" s="2020"/>
      <c r="W44" s="2020">
        <f t="shared" si="104"/>
        <v>1.0074000000000001</v>
      </c>
      <c r="X44" s="2900"/>
      <c r="Y44" s="2021"/>
      <c r="Z44" s="2896">
        <f t="shared" si="105"/>
        <v>4.5999999999999999E-3</v>
      </c>
      <c r="AA44" s="2897">
        <f t="shared" si="105"/>
        <v>4.1000000000000003E-3</v>
      </c>
      <c r="AB44" s="2021">
        <f t="shared" si="105"/>
        <v>0.01</v>
      </c>
      <c r="AC44" s="2898"/>
      <c r="AD44" s="2021">
        <f t="shared" si="105"/>
        <v>4.1000000000000003E-3</v>
      </c>
    </row>
    <row r="45" spans="1:30" s="2038" customFormat="1" ht="12.75">
      <c r="A45" s="2899" t="s">
        <v>2827</v>
      </c>
      <c r="B45" s="2024">
        <v>2021</v>
      </c>
      <c r="C45" s="2035">
        <v>2</v>
      </c>
      <c r="D45" s="2000"/>
      <c r="E45" s="2000">
        <v>0.55000000000000004</v>
      </c>
      <c r="F45" s="2000">
        <v>0.46</v>
      </c>
      <c r="G45" s="2000">
        <v>1.1000000000000001</v>
      </c>
      <c r="H45" s="2911"/>
      <c r="I45" s="2001">
        <f t="shared" si="88"/>
        <v>0.46</v>
      </c>
      <c r="J45" s="2900"/>
      <c r="K45" s="2036"/>
      <c r="L45" s="2021">
        <f t="shared" si="89"/>
        <v>5.5000000000000005E-3</v>
      </c>
      <c r="M45" s="2021">
        <f t="shared" si="89"/>
        <v>4.5999999999999999E-3</v>
      </c>
      <c r="N45" s="2021">
        <f t="shared" si="89"/>
        <v>1.1000000000000001E-2</v>
      </c>
      <c r="O45" s="2021"/>
      <c r="P45" s="2021">
        <f t="shared" si="103"/>
        <v>4.5999999999999999E-3</v>
      </c>
      <c r="Q45" s="2900"/>
      <c r="R45" s="2020"/>
      <c r="S45" s="2020">
        <f>ROUND(IF(项目基本情况!$B$8="出让",SUMPRODUCT(PRODUCT(1+L45:L$46)),SUMPRODUCT(PRODUCT(1+L45:L$45))),4)</f>
        <v>1.0055000000000001</v>
      </c>
      <c r="T45" s="2020">
        <f>ROUND(IF(项目基本情况!$B$8="出让",SUMPRODUCT(PRODUCT(1+M45:M$46)),SUMPRODUCT(PRODUCT(1+M45:M$45))),4)</f>
        <v>1.0045999999999999</v>
      </c>
      <c r="U45" s="2020">
        <f>ROUND(IF(项目基本情况!$B$8="出让",SUMPRODUCT(PRODUCT(1+N45:N$46)),SUMPRODUCT(PRODUCT(1+N45:N$45))),4)</f>
        <v>1.0109999999999999</v>
      </c>
      <c r="V45" s="2020"/>
      <c r="W45" s="2020">
        <f t="shared" si="104"/>
        <v>1.0045999999999999</v>
      </c>
      <c r="X45" s="2900"/>
      <c r="Y45" s="2021"/>
      <c r="Z45" s="2896">
        <f t="shared" si="105"/>
        <v>4.4999999999999997E-3</v>
      </c>
      <c r="AA45" s="2897">
        <f t="shared" si="105"/>
        <v>4.7000000000000002E-3</v>
      </c>
      <c r="AB45" s="2021">
        <f t="shared" si="105"/>
        <v>1.04E-2</v>
      </c>
      <c r="AC45" s="2898"/>
      <c r="AD45" s="2021">
        <f t="shared" si="105"/>
        <v>4.7000000000000002E-3</v>
      </c>
    </row>
    <row r="46" spans="1:30" s="2922" customFormat="1" thickBot="1">
      <c r="A46" s="2912" t="s">
        <v>2813</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3355</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2003" customFormat="1" ht="14.25" thickBot="1">
      <c r="B2" s="2004" t="s">
        <v>458</v>
      </c>
      <c r="C2" s="2004" t="s">
        <v>459</v>
      </c>
      <c r="D2" s="2005" t="s">
        <v>460</v>
      </c>
      <c r="E2" s="2005" t="s">
        <v>461</v>
      </c>
      <c r="F2" s="2004" t="s">
        <v>462</v>
      </c>
      <c r="G2" s="2006"/>
      <c r="I2" s="2004" t="s">
        <v>458</v>
      </c>
      <c r="J2" s="2005" t="s">
        <v>673</v>
      </c>
      <c r="K2" s="2005" t="s">
        <v>308</v>
      </c>
      <c r="L2" s="2004" t="s">
        <v>462</v>
      </c>
      <c r="N2" s="2004" t="s">
        <v>458</v>
      </c>
      <c r="O2" s="2005" t="s">
        <v>673</v>
      </c>
      <c r="P2" s="2005" t="s">
        <v>308</v>
      </c>
      <c r="Q2" s="2004" t="s">
        <v>462</v>
      </c>
      <c r="S2" s="2004" t="s">
        <v>458</v>
      </c>
      <c r="T2" s="2005" t="s">
        <v>673</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2110</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3351</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3348</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2111</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3349</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3350</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2425</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2302</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2301</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2300</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2297</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2296</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2126</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2124</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2123</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2122</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2120</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2119</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2121</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32">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2117</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32"/>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2116</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32"/>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2109</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39"/>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2107</v>
      </c>
      <c r="B25" s="2042">
        <v>439</v>
      </c>
      <c r="C25" s="2042">
        <v>327</v>
      </c>
      <c r="D25" s="2042">
        <f>C25</f>
        <v>327</v>
      </c>
      <c r="E25" s="2042">
        <v>627</v>
      </c>
      <c r="F25" s="2043">
        <v>283</v>
      </c>
      <c r="G25" s="3535">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2108</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32"/>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674</v>
      </c>
      <c r="B27" s="2034">
        <f t="shared" si="232"/>
        <v>419.31181600000002</v>
      </c>
      <c r="C27" s="2034">
        <f t="shared" si="233"/>
        <v>313.95436800000004</v>
      </c>
      <c r="D27" s="2034">
        <f t="shared" si="234"/>
        <v>313.95436800000004</v>
      </c>
      <c r="E27" s="2034">
        <f t="shared" si="235"/>
        <v>596.63028431999999</v>
      </c>
      <c r="F27" s="2034">
        <f t="shared" si="236"/>
        <v>274.74220703999998</v>
      </c>
      <c r="G27" s="3532"/>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39"/>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35">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32"/>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32"/>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33"/>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31">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32"/>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32"/>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33"/>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31">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32"/>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32"/>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33"/>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36">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37"/>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37"/>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38"/>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31">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32"/>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32"/>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33"/>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31">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32">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32">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33">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31">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32">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32">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33">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31">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32">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32">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33">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31">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32">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32">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33">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31">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32">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32">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33">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31">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32">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32">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33">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31">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32">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32">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33">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31">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32">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32">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33">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31">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32">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32">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33">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31">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32">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32">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33">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W76"/>
  <sheetViews>
    <sheetView workbookViewId="0">
      <selection activeCell="C13" sqref="C13:H14"/>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45492</v>
      </c>
      <c r="D1" s="1212" t="s">
        <v>603</v>
      </c>
      <c r="E1" s="1207">
        <f>'数据-取费表'!B22</f>
        <v>2.5</v>
      </c>
      <c r="F1" s="1212" t="s">
        <v>604</v>
      </c>
      <c r="G1" s="1208">
        <f ca="1">INDIRECT("d"&amp;$K$1)/100</f>
        <v>3.4500000000000003E-2</v>
      </c>
      <c r="H1" s="1212" t="s">
        <v>634</v>
      </c>
      <c r="I1" s="1208">
        <f ca="1">F4/100</f>
        <v>1.4999999999999999E-2</v>
      </c>
      <c r="J1" s="1213">
        <f>IF(C1&gt;C13,0,MATCH(C1,C$13:C$113,-1))+IF(SUMIF(C13:C113,C1,D13:D113)=0,13,12)</f>
        <v>14</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3.45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3.45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3.45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3.45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3.95</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9">
        <v>45495</v>
      </c>
      <c r="D13" s="1196">
        <v>3.35</v>
      </c>
      <c r="E13" s="1196">
        <f>D13</f>
        <v>3.35</v>
      </c>
      <c r="F13" s="1196">
        <f>D13</f>
        <v>3.35</v>
      </c>
      <c r="G13" s="1196">
        <f>D13</f>
        <v>3.35</v>
      </c>
      <c r="H13" s="1196">
        <v>3.85</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45342</v>
      </c>
      <c r="D14" s="1200">
        <v>3.45</v>
      </c>
      <c r="E14" s="1200">
        <f>D14</f>
        <v>3.45</v>
      </c>
      <c r="F14" s="1200">
        <f>D14</f>
        <v>3.45</v>
      </c>
      <c r="G14" s="1200">
        <f>D14</f>
        <v>3.45</v>
      </c>
      <c r="H14" s="1200">
        <v>3.95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45159</v>
      </c>
      <c r="D15" s="1200">
        <v>3.45</v>
      </c>
      <c r="E15" s="1200">
        <f>D15</f>
        <v>3.45</v>
      </c>
      <c r="F15" s="1200">
        <f>D15</f>
        <v>3.45</v>
      </c>
      <c r="G15" s="1200">
        <f>D15</f>
        <v>3.45</v>
      </c>
      <c r="H15" s="1200">
        <v>4.2</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45097</v>
      </c>
      <c r="D16" s="1200">
        <v>3.55</v>
      </c>
      <c r="E16" s="1200">
        <f>D16</f>
        <v>3.55</v>
      </c>
      <c r="F16" s="1200">
        <f>D16</f>
        <v>3.55</v>
      </c>
      <c r="G16" s="1200">
        <f>D16</f>
        <v>3.55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44795</v>
      </c>
      <c r="D17" s="1200">
        <v>3.65</v>
      </c>
      <c r="E17" s="1200">
        <v>3.65</v>
      </c>
      <c r="F17" s="1200">
        <v>3.65</v>
      </c>
      <c r="G17" s="1200">
        <v>3.65</v>
      </c>
      <c r="H17" s="1200">
        <v>4.3</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44701</v>
      </c>
      <c r="D18" s="1200">
        <v>3.7</v>
      </c>
      <c r="E18" s="1200">
        <f>D18</f>
        <v>3.7</v>
      </c>
      <c r="F18" s="1200">
        <f>D18</f>
        <v>3.7</v>
      </c>
      <c r="G18" s="1200">
        <f>D18</f>
        <v>3.7</v>
      </c>
      <c r="H18" s="1200">
        <v>4.45</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4"/>
      <c r="B19" s="1195"/>
      <c r="C19" s="1201">
        <v>44581</v>
      </c>
      <c r="D19" s="1200">
        <v>3.7</v>
      </c>
      <c r="E19" s="1200">
        <f>D19</f>
        <v>3.7</v>
      </c>
      <c r="F19" s="1200">
        <f>D19</f>
        <v>3.7</v>
      </c>
      <c r="G19" s="1200">
        <f>D19</f>
        <v>3.7</v>
      </c>
      <c r="H19" s="1200">
        <v>4.5999999999999996</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200"/>
      <c r="C20" s="1201">
        <v>44550</v>
      </c>
      <c r="D20" s="1200">
        <v>3.8</v>
      </c>
      <c r="E20" s="1200">
        <f>D20</f>
        <v>3.8</v>
      </c>
      <c r="F20" s="1200">
        <f>D20</f>
        <v>3.8</v>
      </c>
      <c r="G20" s="1200">
        <f>D20</f>
        <v>3.8</v>
      </c>
      <c r="H20" s="1200">
        <v>4.6500000000000004</v>
      </c>
      <c r="I20" s="1200"/>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43941</v>
      </c>
      <c r="D21" s="1200">
        <v>3.85</v>
      </c>
      <c r="E21" s="1200">
        <v>3.85</v>
      </c>
      <c r="F21" s="1200">
        <v>3.85</v>
      </c>
      <c r="G21" s="1200">
        <v>3.85</v>
      </c>
      <c r="H21" s="1200">
        <v>4.6500000000000004</v>
      </c>
      <c r="I21" s="1200"/>
      <c r="J21" s="1200"/>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43881</v>
      </c>
      <c r="D22" s="1200">
        <v>4.05</v>
      </c>
      <c r="E22" s="1200">
        <v>4.05</v>
      </c>
      <c r="F22" s="1200">
        <v>4.05</v>
      </c>
      <c r="G22" s="1200">
        <v>4.05</v>
      </c>
      <c r="H22" s="1200">
        <v>4.75</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0"/>
      <c r="B23" s="1200"/>
      <c r="C23" s="1201">
        <v>43789</v>
      </c>
      <c r="D23" s="1200">
        <v>4.1500000000000004</v>
      </c>
      <c r="E23" s="1200">
        <v>4.1500000000000004</v>
      </c>
      <c r="F23" s="1200">
        <v>4.1500000000000004</v>
      </c>
      <c r="G23" s="1200">
        <v>4.1500000000000004</v>
      </c>
      <c r="H23" s="1200">
        <v>4.8</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43728</v>
      </c>
      <c r="D24" s="1200">
        <v>4.2</v>
      </c>
      <c r="E24" s="1200">
        <v>4.2</v>
      </c>
      <c r="F24" s="1200">
        <v>4.2</v>
      </c>
      <c r="G24" s="1200">
        <v>4.2</v>
      </c>
      <c r="H24" s="1200">
        <v>4.8499999999999996</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ht="14.25">
      <c r="B25" s="1195" t="s">
        <v>2298</v>
      </c>
      <c r="C25" s="1202">
        <v>43697</v>
      </c>
      <c r="D25" s="2568">
        <v>4.25</v>
      </c>
      <c r="E25" s="2568">
        <v>4.25</v>
      </c>
      <c r="F25" s="2568">
        <v>4.25</v>
      </c>
      <c r="G25" s="2568">
        <v>4.25</v>
      </c>
      <c r="H25" s="2568">
        <v>4.8499999999999996</v>
      </c>
      <c r="I25" s="2568"/>
      <c r="J25" s="2568"/>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2571"/>
      <c r="C26" s="2572">
        <v>42301</v>
      </c>
      <c r="D26" s="2573">
        <v>4.3499999999999996</v>
      </c>
      <c r="E26" s="2573">
        <v>4.3499999999999996</v>
      </c>
      <c r="F26" s="2573">
        <v>4.75</v>
      </c>
      <c r="G26" s="2573">
        <v>4.75</v>
      </c>
      <c r="H26" s="2573">
        <v>4.9000000000000004</v>
      </c>
      <c r="I26" s="2573"/>
      <c r="J26" s="2573"/>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42242</v>
      </c>
      <c r="D27" s="1200">
        <v>4.5999999999999996</v>
      </c>
      <c r="E27" s="1200">
        <v>4.5999999999999996</v>
      </c>
      <c r="F27" s="1200">
        <v>5</v>
      </c>
      <c r="G27" s="1200">
        <v>5</v>
      </c>
      <c r="H27" s="1200">
        <v>5.15</v>
      </c>
      <c r="I27" s="1200">
        <v>2.75</v>
      </c>
      <c r="J27" s="1200">
        <v>3.25</v>
      </c>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42183</v>
      </c>
      <c r="D28" s="1200">
        <v>4.8499999999999996</v>
      </c>
      <c r="E28" s="1200">
        <v>4.8499999999999996</v>
      </c>
      <c r="F28" s="1200">
        <v>5.25</v>
      </c>
      <c r="G28" s="1200">
        <v>5.25</v>
      </c>
      <c r="H28" s="1200">
        <v>5.4</v>
      </c>
      <c r="I28" s="1200">
        <v>3</v>
      </c>
      <c r="J28" s="1200">
        <v>3.5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42135</v>
      </c>
      <c r="D29" s="1200">
        <v>5.0999999999999996</v>
      </c>
      <c r="E29" s="1200">
        <v>5.0999999999999996</v>
      </c>
      <c r="F29" s="1200">
        <v>5.5</v>
      </c>
      <c r="G29" s="1200">
        <v>5.5</v>
      </c>
      <c r="H29" s="1200">
        <v>5.65</v>
      </c>
      <c r="I29" s="1200">
        <v>3.25</v>
      </c>
      <c r="J29" s="1200">
        <v>3.75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42064</v>
      </c>
      <c r="D30" s="1200">
        <v>5.35</v>
      </c>
      <c r="E30" s="1200">
        <v>5.35</v>
      </c>
      <c r="F30" s="1200">
        <v>5.75</v>
      </c>
      <c r="G30" s="1200">
        <v>5.75</v>
      </c>
      <c r="H30" s="1200">
        <v>5.9</v>
      </c>
      <c r="I30" s="1200"/>
      <c r="J30" s="1200"/>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41965</v>
      </c>
      <c r="D31" s="1200">
        <v>5.6</v>
      </c>
      <c r="E31" s="1200">
        <v>5.6</v>
      </c>
      <c r="F31" s="1200">
        <v>6</v>
      </c>
      <c r="G31" s="1200">
        <v>6</v>
      </c>
      <c r="H31" s="1200">
        <v>6.15</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41096</v>
      </c>
      <c r="D32" s="1200">
        <v>5.6</v>
      </c>
      <c r="E32" s="1200">
        <v>6</v>
      </c>
      <c r="F32" s="1200">
        <v>6.15</v>
      </c>
      <c r="G32" s="1200">
        <v>6.4</v>
      </c>
      <c r="H32" s="1200">
        <v>6.55</v>
      </c>
      <c r="I32" s="1200">
        <v>4</v>
      </c>
      <c r="J32" s="1200">
        <v>4.5</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41068</v>
      </c>
      <c r="D33" s="1200">
        <v>5.85</v>
      </c>
      <c r="E33" s="1200">
        <v>6.31</v>
      </c>
      <c r="F33" s="1200">
        <v>6.4</v>
      </c>
      <c r="G33" s="1200">
        <v>6.65</v>
      </c>
      <c r="H33" s="1200">
        <v>6.8</v>
      </c>
      <c r="I33" s="1200">
        <v>4.2</v>
      </c>
      <c r="J33" s="1200">
        <v>4.7</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40731</v>
      </c>
      <c r="D34" s="1200">
        <v>6.1</v>
      </c>
      <c r="E34" s="1200">
        <v>6.56</v>
      </c>
      <c r="F34" s="1200">
        <v>6.65</v>
      </c>
      <c r="G34" s="1200">
        <v>6.9</v>
      </c>
      <c r="H34" s="1200">
        <v>7.05</v>
      </c>
      <c r="I34" s="1200">
        <v>4.45</v>
      </c>
      <c r="J34" s="1200">
        <v>4.9000000000000004</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40639</v>
      </c>
      <c r="D35" s="1200">
        <v>5.85</v>
      </c>
      <c r="E35" s="1200">
        <v>6.31</v>
      </c>
      <c r="F35" s="1200">
        <v>6.4</v>
      </c>
      <c r="G35" s="1200">
        <v>6.65</v>
      </c>
      <c r="H35" s="1200">
        <v>6.8</v>
      </c>
      <c r="I35" s="1200">
        <v>4.2</v>
      </c>
      <c r="J35" s="1200">
        <v>4.7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40583</v>
      </c>
      <c r="D36" s="1200">
        <v>5.6</v>
      </c>
      <c r="E36" s="1200">
        <v>6.06</v>
      </c>
      <c r="F36" s="1200">
        <v>6.1</v>
      </c>
      <c r="G36" s="1200">
        <v>6.45</v>
      </c>
      <c r="H36" s="1200">
        <v>6.6</v>
      </c>
      <c r="I36" s="1200">
        <v>4</v>
      </c>
      <c r="J36" s="1200">
        <v>4.5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40538</v>
      </c>
      <c r="D37" s="1200">
        <v>5.35</v>
      </c>
      <c r="E37" s="1200">
        <v>5.81</v>
      </c>
      <c r="F37" s="1200">
        <v>5.85</v>
      </c>
      <c r="G37" s="1200">
        <v>6.22</v>
      </c>
      <c r="H37" s="1200">
        <v>6.4</v>
      </c>
      <c r="I37" s="1200">
        <v>3.75</v>
      </c>
      <c r="J37" s="1200">
        <v>4.3</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40471</v>
      </c>
      <c r="D38" s="1200">
        <v>5.0999999999999996</v>
      </c>
      <c r="E38" s="1200">
        <v>5.56</v>
      </c>
      <c r="F38" s="1200">
        <v>5.6</v>
      </c>
      <c r="G38" s="1200">
        <v>5.96</v>
      </c>
      <c r="H38" s="1200">
        <v>6.14</v>
      </c>
      <c r="I38" s="1200">
        <v>3.5</v>
      </c>
      <c r="J38" s="1200">
        <v>4.05</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39805</v>
      </c>
      <c r="D39" s="1200">
        <v>4.8600000000000003</v>
      </c>
      <c r="E39" s="1200">
        <v>5.31</v>
      </c>
      <c r="F39" s="1200">
        <v>5.4</v>
      </c>
      <c r="G39" s="1200">
        <v>5.76</v>
      </c>
      <c r="H39" s="1200">
        <v>5.94</v>
      </c>
      <c r="I39" s="1200">
        <v>3.33</v>
      </c>
      <c r="J39" s="1200">
        <v>3.87</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39779</v>
      </c>
      <c r="D40" s="1200">
        <v>5.04</v>
      </c>
      <c r="E40" s="1200">
        <v>5.58</v>
      </c>
      <c r="F40" s="1200">
        <v>5.67</v>
      </c>
      <c r="G40" s="1200">
        <v>5.94</v>
      </c>
      <c r="H40" s="1200">
        <v>6.12</v>
      </c>
      <c r="I40" s="1200">
        <v>3.51</v>
      </c>
      <c r="J40" s="1200">
        <v>4.05</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39751</v>
      </c>
      <c r="D41" s="1200">
        <v>6.03</v>
      </c>
      <c r="E41" s="1200">
        <v>6.66</v>
      </c>
      <c r="F41" s="1200">
        <v>6.75</v>
      </c>
      <c r="G41" s="1200">
        <v>7.02</v>
      </c>
      <c r="H41" s="1200">
        <v>7.2</v>
      </c>
      <c r="I41" s="1200">
        <v>4.05</v>
      </c>
      <c r="J41" s="1200">
        <v>4.59</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2">
        <v>39748</v>
      </c>
      <c r="D42" s="1200">
        <v>6.12</v>
      </c>
      <c r="E42" s="1200">
        <v>6.93</v>
      </c>
      <c r="F42" s="1200">
        <v>7.02</v>
      </c>
      <c r="G42" s="1200">
        <v>7.29</v>
      </c>
      <c r="H42" s="1200">
        <v>7.47</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39730</v>
      </c>
      <c r="D43" s="1200">
        <v>6.12</v>
      </c>
      <c r="E43" s="1200">
        <v>6.93</v>
      </c>
      <c r="F43" s="1200">
        <v>7.02</v>
      </c>
      <c r="G43" s="1200">
        <v>7.29</v>
      </c>
      <c r="H43" s="1200">
        <v>7.47</v>
      </c>
      <c r="I43" s="1200">
        <v>4.32</v>
      </c>
      <c r="J43" s="1200">
        <v>4.8600000000000003</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39707</v>
      </c>
      <c r="D44" s="1200">
        <v>6.21</v>
      </c>
      <c r="E44" s="1200">
        <v>7.2</v>
      </c>
      <c r="F44" s="1200">
        <v>7.29</v>
      </c>
      <c r="G44" s="1200">
        <v>7.56</v>
      </c>
      <c r="H44" s="1200">
        <v>7.74</v>
      </c>
      <c r="I44" s="1200">
        <v>4.59</v>
      </c>
      <c r="J44" s="1200">
        <v>5.13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39437</v>
      </c>
      <c r="D45" s="1200">
        <v>6.57</v>
      </c>
      <c r="E45" s="1200">
        <v>7.47</v>
      </c>
      <c r="F45" s="1200">
        <v>7.56</v>
      </c>
      <c r="G45" s="1200">
        <v>7.74</v>
      </c>
      <c r="H45" s="1200">
        <v>7.83</v>
      </c>
      <c r="I45" s="1200">
        <v>4.7699999999999996</v>
      </c>
      <c r="J45" s="1200">
        <v>5.22</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39340</v>
      </c>
      <c r="D46" s="1200">
        <v>6.48</v>
      </c>
      <c r="E46" s="1200">
        <v>7.29</v>
      </c>
      <c r="F46" s="1200">
        <v>7.47</v>
      </c>
      <c r="G46" s="1200">
        <v>7.65</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39316</v>
      </c>
      <c r="D47" s="1200">
        <v>6.21</v>
      </c>
      <c r="E47" s="1200">
        <v>7.02</v>
      </c>
      <c r="F47" s="1200">
        <v>7.2</v>
      </c>
      <c r="G47" s="1200">
        <v>7.38</v>
      </c>
      <c r="H47" s="1200">
        <v>7.56</v>
      </c>
      <c r="I47" s="1200">
        <v>4.59</v>
      </c>
      <c r="J47" s="1200">
        <v>5.04</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39284</v>
      </c>
      <c r="D48" s="1200">
        <v>6.03</v>
      </c>
      <c r="E48" s="1200">
        <v>6.84</v>
      </c>
      <c r="F48" s="1200">
        <v>7.02</v>
      </c>
      <c r="G48" s="1200">
        <v>7.2</v>
      </c>
      <c r="H48" s="1200">
        <v>7.38</v>
      </c>
      <c r="I48" s="1200">
        <v>4.5</v>
      </c>
      <c r="J48" s="1200">
        <v>4.95</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39221</v>
      </c>
      <c r="D49" s="1200">
        <v>5.85</v>
      </c>
      <c r="E49" s="1200">
        <v>6.57</v>
      </c>
      <c r="F49" s="1200">
        <v>6.75</v>
      </c>
      <c r="G49" s="1200">
        <v>6.93</v>
      </c>
      <c r="H49" s="1200">
        <v>7.2</v>
      </c>
      <c r="I49" s="1200">
        <v>4.41</v>
      </c>
      <c r="J49" s="1200">
        <v>4.8600000000000003</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39159</v>
      </c>
      <c r="D50" s="1200">
        <v>5.67</v>
      </c>
      <c r="E50" s="1200">
        <v>6.39</v>
      </c>
      <c r="F50" s="1200">
        <v>6.57</v>
      </c>
      <c r="G50" s="1200">
        <v>6.75</v>
      </c>
      <c r="H50" s="1200">
        <v>7.11</v>
      </c>
      <c r="I50" s="1200">
        <v>4.32</v>
      </c>
      <c r="J50" s="1200">
        <v>4.7699999999999996</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38948</v>
      </c>
      <c r="D51" s="1200">
        <v>5.58</v>
      </c>
      <c r="E51" s="1200">
        <v>6.12</v>
      </c>
      <c r="F51" s="1200">
        <v>6.3</v>
      </c>
      <c r="G51" s="1200">
        <v>6.48</v>
      </c>
      <c r="H51" s="1200">
        <v>6.84</v>
      </c>
      <c r="I51" s="1200">
        <v>4.1399999999999997</v>
      </c>
      <c r="J51" s="1200">
        <v>4.59</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38835</v>
      </c>
      <c r="D52" s="1200">
        <v>5.4</v>
      </c>
      <c r="E52" s="1200">
        <v>5.85</v>
      </c>
      <c r="F52" s="1200">
        <v>6.03</v>
      </c>
      <c r="G52" s="1200">
        <v>6.12</v>
      </c>
      <c r="H52" s="1200">
        <v>6.39</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38428</v>
      </c>
      <c r="D53" s="1200">
        <v>5.22</v>
      </c>
      <c r="E53" s="1200">
        <v>5.58</v>
      </c>
      <c r="F53" s="1200">
        <v>5.76</v>
      </c>
      <c r="G53" s="1200">
        <v>5.85</v>
      </c>
      <c r="H53" s="1200">
        <v>6.12</v>
      </c>
      <c r="I53" s="1200">
        <v>3.96</v>
      </c>
      <c r="J53" s="1200">
        <v>4.41</v>
      </c>
      <c r="L53" s="1200"/>
      <c r="M53" s="1201"/>
      <c r="N53" s="1200"/>
      <c r="O53" s="1200"/>
      <c r="P53" s="1200"/>
      <c r="Q53" s="1200"/>
      <c r="R53" s="1200"/>
      <c r="S53" s="1200"/>
      <c r="T53" s="1200"/>
      <c r="U53" s="1200"/>
      <c r="V53" s="1200"/>
      <c r="W53" s="1200"/>
      <c r="X53" s="1200"/>
      <c r="Y53" s="1200"/>
      <c r="Z53" s="1200"/>
    </row>
    <row r="54" spans="2:26">
      <c r="B54" s="1200"/>
      <c r="C54" s="1201">
        <v>38289</v>
      </c>
      <c r="D54" s="1200">
        <v>5.22</v>
      </c>
      <c r="E54" s="1200">
        <v>5.58</v>
      </c>
      <c r="F54" s="1200">
        <v>5.76</v>
      </c>
      <c r="G54" s="1200">
        <v>5.85</v>
      </c>
      <c r="H54" s="1200">
        <v>6.12</v>
      </c>
      <c r="I54" s="1200">
        <v>3.78</v>
      </c>
      <c r="J54" s="1200">
        <v>4.2300000000000004</v>
      </c>
      <c r="L54" s="1200"/>
      <c r="M54" s="1201"/>
      <c r="N54" s="1200"/>
      <c r="O54" s="1200"/>
      <c r="P54" s="1200"/>
      <c r="Q54" s="1200"/>
      <c r="R54" s="1200"/>
      <c r="S54" s="1200"/>
      <c r="T54" s="1200"/>
      <c r="U54" s="1200"/>
      <c r="V54" s="1200"/>
      <c r="W54" s="1200"/>
      <c r="X54" s="1200"/>
      <c r="Y54" s="1200"/>
      <c r="Z54" s="1200"/>
    </row>
    <row r="55" spans="2:26">
      <c r="B55" s="1200"/>
      <c r="C55" s="1201">
        <v>37308</v>
      </c>
      <c r="D55" s="1200">
        <v>5.04</v>
      </c>
      <c r="E55" s="1200">
        <v>5.31</v>
      </c>
      <c r="F55" s="1200">
        <v>5.49</v>
      </c>
      <c r="G55" s="1200">
        <v>5.58</v>
      </c>
      <c r="H55" s="1200">
        <v>5.76</v>
      </c>
      <c r="I55" s="1200">
        <v>3.6</v>
      </c>
      <c r="J55" s="1200">
        <v>4.05</v>
      </c>
      <c r="L55" s="1200"/>
      <c r="M55" s="1201"/>
      <c r="N55" s="1200"/>
      <c r="O55" s="1200"/>
      <c r="P55" s="1200"/>
      <c r="Q55" s="1200"/>
      <c r="R55" s="1200"/>
      <c r="S55" s="1200"/>
      <c r="T55" s="1200"/>
      <c r="U55" s="1200"/>
      <c r="V55" s="1200"/>
      <c r="W55" s="1200"/>
      <c r="X55" s="1200"/>
      <c r="Y55" s="1200"/>
      <c r="Z55" s="1200"/>
    </row>
    <row r="56" spans="2:26">
      <c r="B56" s="1200"/>
      <c r="C56" s="1201">
        <v>36321</v>
      </c>
      <c r="D56" s="1200">
        <v>5.58</v>
      </c>
      <c r="E56" s="1200">
        <v>5.85</v>
      </c>
      <c r="F56" s="1200">
        <v>5.94</v>
      </c>
      <c r="G56" s="1200">
        <v>6.03</v>
      </c>
      <c r="H56" s="1200">
        <v>6.21</v>
      </c>
      <c r="I56" s="1200">
        <v>4.1399999999999997</v>
      </c>
      <c r="J56" s="1200">
        <v>4.59</v>
      </c>
      <c r="L56" s="1200"/>
      <c r="M56" s="1201"/>
      <c r="N56" s="1200"/>
      <c r="O56" s="1200"/>
      <c r="P56" s="1200"/>
      <c r="Q56" s="1200"/>
      <c r="R56" s="1200"/>
      <c r="S56" s="1200"/>
      <c r="T56" s="1200"/>
      <c r="U56" s="1200"/>
      <c r="V56" s="1200"/>
      <c r="W56" s="1200"/>
      <c r="X56" s="1200"/>
      <c r="Y56" s="1200"/>
      <c r="Z56" s="1200"/>
    </row>
    <row r="57" spans="2:26">
      <c r="B57" s="1200"/>
      <c r="C57" s="1201">
        <v>36136</v>
      </c>
      <c r="D57" s="1200">
        <v>6.12</v>
      </c>
      <c r="E57" s="1200">
        <v>6.39</v>
      </c>
      <c r="F57" s="1200">
        <v>6.66</v>
      </c>
      <c r="G57" s="1200">
        <v>7.2</v>
      </c>
      <c r="H57" s="1200">
        <v>7.56</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35977</v>
      </c>
      <c r="D58" s="1200">
        <v>6.57</v>
      </c>
      <c r="E58" s="1200">
        <v>6.93</v>
      </c>
      <c r="F58" s="1200">
        <v>7.11</v>
      </c>
      <c r="G58" s="1200">
        <v>7.65</v>
      </c>
      <c r="H58" s="1200">
        <v>8.01</v>
      </c>
      <c r="I58" s="1200">
        <v>0</v>
      </c>
      <c r="J58" s="1200">
        <v>0</v>
      </c>
    </row>
    <row r="59" spans="2:26">
      <c r="B59" s="1200"/>
      <c r="C59" s="1201">
        <v>35879</v>
      </c>
      <c r="D59" s="1200">
        <v>7.02</v>
      </c>
      <c r="E59" s="1200">
        <v>7.92</v>
      </c>
      <c r="F59" s="1200">
        <v>9</v>
      </c>
      <c r="G59" s="1200">
        <v>9.7200000000000006</v>
      </c>
      <c r="H59" s="1200">
        <v>10.35</v>
      </c>
      <c r="I59" s="1200">
        <v>0</v>
      </c>
      <c r="J59" s="1200">
        <v>0</v>
      </c>
    </row>
    <row r="60" spans="2:26">
      <c r="B60" s="1200"/>
      <c r="C60" s="1201">
        <v>35726</v>
      </c>
      <c r="D60" s="1200">
        <v>7.65</v>
      </c>
      <c r="E60" s="1200">
        <v>8.64</v>
      </c>
      <c r="F60" s="1200">
        <v>9.36</v>
      </c>
      <c r="G60" s="1200">
        <v>9.9</v>
      </c>
      <c r="H60" s="1200">
        <v>10.53</v>
      </c>
      <c r="I60" s="1200">
        <v>0</v>
      </c>
      <c r="J60" s="1200">
        <v>0</v>
      </c>
    </row>
    <row r="61" spans="2:26">
      <c r="B61" s="1200"/>
      <c r="C61" s="1201">
        <v>35300</v>
      </c>
      <c r="D61" s="1200">
        <v>9.18</v>
      </c>
      <c r="E61" s="1200">
        <v>10.08</v>
      </c>
      <c r="F61" s="1200">
        <v>10.98</v>
      </c>
      <c r="G61" s="1200">
        <v>11.7</v>
      </c>
      <c r="H61" s="1200">
        <v>12.42</v>
      </c>
      <c r="I61" s="1200">
        <v>0</v>
      </c>
      <c r="J61" s="1200">
        <v>0</v>
      </c>
    </row>
    <row r="62" spans="2:26">
      <c r="B62" s="1200"/>
      <c r="C62" s="1201">
        <v>35186</v>
      </c>
      <c r="D62" s="1200">
        <v>9.7200000000000006</v>
      </c>
      <c r="E62" s="1200">
        <v>10.98</v>
      </c>
      <c r="F62" s="1200">
        <v>13.14</v>
      </c>
      <c r="G62" s="1200">
        <v>14.94</v>
      </c>
      <c r="H62" s="1200">
        <v>15.12</v>
      </c>
      <c r="I62" s="1200">
        <v>0</v>
      </c>
      <c r="J62" s="1200">
        <v>0</v>
      </c>
    </row>
    <row r="63" spans="2:26">
      <c r="B63" s="1200"/>
      <c r="C63" s="1201">
        <v>34881</v>
      </c>
      <c r="D63" s="1200">
        <v>10.08</v>
      </c>
      <c r="E63" s="1200">
        <v>12.06</v>
      </c>
      <c r="F63" s="1200">
        <v>13.5</v>
      </c>
      <c r="G63" s="1200">
        <v>15.12</v>
      </c>
      <c r="H63" s="1200">
        <v>15.3</v>
      </c>
      <c r="I63" s="1200">
        <v>0</v>
      </c>
      <c r="J63" s="1200">
        <v>0</v>
      </c>
    </row>
    <row r="64" spans="2:26">
      <c r="B64" s="1200"/>
      <c r="C64" s="1201">
        <v>34700</v>
      </c>
      <c r="D64" s="1200">
        <v>9</v>
      </c>
      <c r="E64" s="1200">
        <v>10.98</v>
      </c>
      <c r="F64" s="1200">
        <v>12.96</v>
      </c>
      <c r="G64" s="1200">
        <v>14.58</v>
      </c>
      <c r="H64" s="1200">
        <v>14.76</v>
      </c>
      <c r="I64" s="1200">
        <v>0</v>
      </c>
      <c r="J64" s="1200">
        <v>0</v>
      </c>
    </row>
    <row r="65" spans="2:10">
      <c r="B65" s="1200"/>
      <c r="C65" s="1201">
        <v>34161</v>
      </c>
      <c r="D65" s="1200">
        <v>9</v>
      </c>
      <c r="E65" s="1200">
        <v>10.98</v>
      </c>
      <c r="F65" s="1200">
        <v>12.24</v>
      </c>
      <c r="G65" s="1200">
        <v>13.86</v>
      </c>
      <c r="H65" s="1200">
        <v>14.04</v>
      </c>
      <c r="I65" s="1200">
        <v>0</v>
      </c>
      <c r="J65" s="1200">
        <v>0</v>
      </c>
    </row>
    <row r="66" spans="2:10">
      <c r="B66" s="1200"/>
      <c r="C66" s="1201">
        <v>34104</v>
      </c>
      <c r="D66" s="1200">
        <v>8.82</v>
      </c>
      <c r="E66" s="1200">
        <v>9.36</v>
      </c>
      <c r="F66" s="1200">
        <v>10.8</v>
      </c>
      <c r="G66" s="1200">
        <v>12.06</v>
      </c>
      <c r="H66" s="1200">
        <v>12.24</v>
      </c>
      <c r="I66" s="1200">
        <v>0</v>
      </c>
      <c r="J66" s="1200">
        <v>0</v>
      </c>
    </row>
    <row r="67" spans="2:10">
      <c r="B67" s="1200"/>
      <c r="C67" s="1201">
        <v>33349</v>
      </c>
      <c r="D67" s="1200">
        <v>8.1</v>
      </c>
      <c r="E67" s="1200">
        <v>8.64</v>
      </c>
      <c r="F67" s="1200">
        <v>9</v>
      </c>
      <c r="G67" s="1200">
        <v>9.5399999999999991</v>
      </c>
      <c r="H67" s="1200">
        <v>9.7200000000000006</v>
      </c>
      <c r="I67" s="1200">
        <v>0</v>
      </c>
      <c r="J67" s="1200">
        <v>0</v>
      </c>
    </row>
    <row r="68" spans="2:10">
      <c r="B68" s="1200"/>
      <c r="C68" s="1201">
        <v>33318</v>
      </c>
      <c r="D68" s="1200">
        <v>9</v>
      </c>
      <c r="E68" s="1200">
        <v>10.08</v>
      </c>
      <c r="F68" s="1200">
        <v>10.8</v>
      </c>
      <c r="G68" s="1200">
        <v>11.52</v>
      </c>
      <c r="H68" s="1200">
        <v>11.88</v>
      </c>
      <c r="I68" s="1200" t="s">
        <v>633</v>
      </c>
      <c r="J68" s="1200" t="s">
        <v>633</v>
      </c>
    </row>
    <row r="69" spans="2:10">
      <c r="B69" s="1200"/>
      <c r="C69" s="1201">
        <v>33106</v>
      </c>
      <c r="D69" s="1200">
        <v>8.64</v>
      </c>
      <c r="E69" s="1200">
        <v>9.36</v>
      </c>
      <c r="F69" s="1200">
        <v>10.08</v>
      </c>
      <c r="G69" s="1200">
        <v>10.8</v>
      </c>
      <c r="H69" s="1200">
        <v>11.16</v>
      </c>
      <c r="I69" s="1200">
        <v>0</v>
      </c>
      <c r="J69" s="1200">
        <v>0</v>
      </c>
    </row>
    <row r="70" spans="2:10">
      <c r="B70" s="1200"/>
      <c r="C70" s="1201">
        <v>32540</v>
      </c>
      <c r="D70" s="1200">
        <v>11.34</v>
      </c>
      <c r="E70" s="1200">
        <v>11.34</v>
      </c>
      <c r="F70" s="1200">
        <v>12.78</v>
      </c>
      <c r="G70" s="1200">
        <v>14.4</v>
      </c>
      <c r="H70" s="1200">
        <v>19.260000000000002</v>
      </c>
      <c r="I70" s="1200">
        <v>0</v>
      </c>
      <c r="J70" s="1200">
        <v>0</v>
      </c>
    </row>
    <row r="71" spans="2:10">
      <c r="B71" s="1200"/>
      <c r="C71" s="1201"/>
      <c r="D71" s="1200"/>
      <c r="E71" s="1200"/>
      <c r="F71" s="1200"/>
      <c r="G71" s="1200"/>
      <c r="H71" s="1200"/>
      <c r="I71" s="1200"/>
      <c r="J71" s="1200"/>
    </row>
    <row r="72" spans="2:10">
      <c r="B72" s="1203"/>
      <c r="C72" s="1204"/>
      <c r="D72" s="1203"/>
      <c r="E72" s="1203"/>
      <c r="F72" s="1203"/>
      <c r="G72" s="1203"/>
      <c r="H72" s="1203"/>
      <c r="I72" s="1203"/>
      <c r="J72" s="1203"/>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154"/>
      <c r="C75" s="1154"/>
      <c r="D75" s="1154"/>
      <c r="E75" s="1154"/>
      <c r="F75" s="1154"/>
      <c r="G75" s="1154"/>
      <c r="H75" s="1154"/>
      <c r="I75" s="1154"/>
      <c r="J75" s="1154"/>
    </row>
    <row r="76" spans="2:10">
      <c r="B76" s="1154"/>
      <c r="C76" s="1154"/>
      <c r="D76" s="1154"/>
      <c r="E76" s="1154"/>
      <c r="F76" s="1154"/>
      <c r="G76" s="1154"/>
      <c r="H76" s="1154"/>
      <c r="I76" s="1154"/>
      <c r="J76" s="1154"/>
    </row>
  </sheetData>
  <sheetProtection password="CEE9"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2" customWidth="1"/>
    <col min="3" max="10" width="12.5" style="1372" customWidth="1"/>
    <col min="11" max="16384" width="9" style="1372"/>
  </cols>
  <sheetData>
    <row r="1" spans="1:1" ht="18.75">
      <c r="A1" s="1399" t="s">
        <v>391</v>
      </c>
    </row>
    <row r="2" spans="1:1" ht="18.75">
      <c r="A2" s="1410"/>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5" customWidth="1"/>
    <col min="2" max="16384" width="14.5" style="1398"/>
  </cols>
  <sheetData>
    <row r="1" spans="1:7" s="1412" customFormat="1" ht="18.75">
      <c r="A1" s="1411" t="s">
        <v>947</v>
      </c>
    </row>
    <row r="3" spans="1:7">
      <c r="A3" s="1413" t="s">
        <v>55</v>
      </c>
      <c r="B3" s="1398" t="s">
        <v>948</v>
      </c>
      <c r="G3" s="1414"/>
    </row>
    <row r="4" spans="1:7">
      <c r="G4" s="1414"/>
    </row>
    <row r="5" spans="1:7">
      <c r="A5" s="1416" t="s">
        <v>46</v>
      </c>
      <c r="B5" s="1398" t="s">
        <v>949</v>
      </c>
      <c r="G5" s="1414"/>
    </row>
    <row r="6" spans="1:7">
      <c r="G6" s="1414"/>
    </row>
    <row r="7" spans="1:7">
      <c r="A7" s="1417" t="s">
        <v>108</v>
      </c>
      <c r="B7" s="1398" t="s">
        <v>950</v>
      </c>
      <c r="G7" s="1414"/>
    </row>
    <row r="8" spans="1:7">
      <c r="G8" s="1414"/>
    </row>
    <row r="9" spans="1:7">
      <c r="A9" s="1418" t="s">
        <v>47</v>
      </c>
      <c r="B9" s="1398" t="s">
        <v>951</v>
      </c>
    </row>
    <row r="11" spans="1:7">
      <c r="A11" s="1419" t="s">
        <v>48</v>
      </c>
      <c r="B11" s="1420" t="s">
        <v>45</v>
      </c>
    </row>
    <row r="13" spans="1:7">
      <c r="A13" s="1421" t="s">
        <v>952</v>
      </c>
    </row>
    <row r="15" spans="1:7" ht="13.5">
      <c r="A15" s="3237" t="s">
        <v>953</v>
      </c>
      <c r="B15" s="3232" t="s">
        <v>109</v>
      </c>
      <c r="C15" s="3233"/>
    </row>
    <row r="16" spans="1:7" ht="13.5">
      <c r="A16" s="3238"/>
      <c r="B16" s="3232" t="s">
        <v>42</v>
      </c>
      <c r="C16" s="3233"/>
    </row>
    <row r="17" spans="1:3" ht="13.5">
      <c r="A17" s="3238"/>
      <c r="B17" s="3235" t="s">
        <v>954</v>
      </c>
      <c r="C17" s="1422" t="s">
        <v>953</v>
      </c>
    </row>
    <row r="18" spans="1:3" ht="13.5">
      <c r="A18" s="3238"/>
      <c r="B18" s="3235"/>
      <c r="C18" s="1422" t="s">
        <v>955</v>
      </c>
    </row>
    <row r="19" spans="1:3" ht="13.5">
      <c r="A19" s="3238"/>
      <c r="B19" s="3235"/>
      <c r="C19" s="1422" t="s">
        <v>956</v>
      </c>
    </row>
    <row r="20" spans="1:3" ht="13.5">
      <c r="A20" s="3239"/>
      <c r="B20" s="3234" t="s">
        <v>957</v>
      </c>
      <c r="C20" s="3233"/>
    </row>
    <row r="21" spans="1:3" ht="13.5">
      <c r="A21" s="1423" t="s">
        <v>958</v>
      </c>
      <c r="B21" s="1424"/>
      <c r="C21" s="1425"/>
    </row>
    <row r="22" spans="1:3" ht="13.5">
      <c r="A22" s="3236" t="s">
        <v>959</v>
      </c>
      <c r="B22" s="3234" t="s">
        <v>960</v>
      </c>
      <c r="C22" s="3233"/>
    </row>
    <row r="23" spans="1:3" ht="13.5">
      <c r="A23" s="3236"/>
      <c r="B23" s="3234" t="s">
        <v>961</v>
      </c>
      <c r="C23" s="3233"/>
    </row>
    <row r="24" spans="1:3" ht="13.5">
      <c r="A24" s="3236"/>
      <c r="B24" s="3234" t="s">
        <v>962</v>
      </c>
      <c r="C24" s="3233"/>
    </row>
    <row r="25" spans="1:3" ht="13.5">
      <c r="A25" s="3236"/>
      <c r="B25" s="3235" t="s">
        <v>963</v>
      </c>
      <c r="C25" s="1422" t="s">
        <v>964</v>
      </c>
    </row>
    <row r="26" spans="1:3" ht="13.5">
      <c r="A26" s="3236"/>
      <c r="B26" s="3235"/>
      <c r="C26" s="1422" t="s">
        <v>965</v>
      </c>
    </row>
    <row r="27" spans="1:3" ht="13.5">
      <c r="A27" s="3236"/>
      <c r="B27" s="3235"/>
      <c r="C27" s="1422" t="s">
        <v>966</v>
      </c>
    </row>
    <row r="28" spans="1:3" ht="13.5">
      <c r="A28" s="3236"/>
      <c r="B28" s="3235"/>
      <c r="C28" s="1422" t="s">
        <v>967</v>
      </c>
    </row>
    <row r="29" spans="1:3" ht="13.5">
      <c r="A29" s="3236"/>
      <c r="B29" s="3235"/>
      <c r="C29" s="1422" t="s">
        <v>968</v>
      </c>
    </row>
    <row r="30" spans="1:3" ht="13.5">
      <c r="A30" s="3236"/>
      <c r="B30" s="3235"/>
      <c r="C30" s="1422" t="s">
        <v>969</v>
      </c>
    </row>
    <row r="31" spans="1:3" ht="13.5">
      <c r="A31" s="3236"/>
      <c r="B31" s="3235"/>
      <c r="C31" s="1422" t="s">
        <v>970</v>
      </c>
    </row>
    <row r="32" spans="1:3" ht="13.5">
      <c r="A32" s="3236"/>
      <c r="B32" s="3235"/>
      <c r="C32" s="1422" t="s">
        <v>971</v>
      </c>
    </row>
    <row r="33" spans="1:3" ht="13.5">
      <c r="A33" s="3236"/>
      <c r="B33" s="3235"/>
      <c r="C33" s="1422" t="s">
        <v>972</v>
      </c>
    </row>
    <row r="34" spans="1:3">
      <c r="A34" s="1426" t="s">
        <v>49</v>
      </c>
    </row>
    <row r="37" spans="1:3">
      <c r="A37" s="1426" t="s">
        <v>973</v>
      </c>
    </row>
    <row r="38" spans="1:3" ht="13.5">
      <c r="A38" s="1427" t="s">
        <v>50</v>
      </c>
    </row>
    <row r="39" spans="1:3" ht="13.5">
      <c r="A39" s="1427" t="s">
        <v>51</v>
      </c>
    </row>
    <row r="40" spans="1:3" ht="13.5">
      <c r="A40" s="1427" t="s">
        <v>52</v>
      </c>
    </row>
    <row r="41" spans="1:3" ht="13.5">
      <c r="A41" s="1428" t="s">
        <v>53</v>
      </c>
    </row>
    <row r="42" spans="1:3" ht="13.5">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2135</v>
      </c>
      <c r="B2" s="2150">
        <f ca="1">TODAY()</f>
        <v>45596</v>
      </c>
      <c r="C2" s="2151" t="s">
        <v>2136</v>
      </c>
      <c r="D2" s="2151"/>
      <c r="E2" s="2151"/>
      <c r="F2" s="2147"/>
      <c r="G2" s="2147"/>
      <c r="H2" s="2147"/>
    </row>
    <row r="3" spans="1:8" ht="24" customHeight="1">
      <c r="A3" s="2152" t="s">
        <v>2137</v>
      </c>
      <c r="B3" s="1214" t="s">
        <v>2138</v>
      </c>
      <c r="C3" s="1214" t="s">
        <v>2139</v>
      </c>
      <c r="D3" s="2153" t="s">
        <v>2140</v>
      </c>
      <c r="E3" s="2154" t="s">
        <v>2141</v>
      </c>
      <c r="F3" s="1214" t="s">
        <v>2142</v>
      </c>
      <c r="G3" s="1214" t="s">
        <v>2139</v>
      </c>
      <c r="H3" s="2153" t="s">
        <v>2143</v>
      </c>
    </row>
    <row r="4" spans="1:8" ht="24" customHeight="1">
      <c r="A4" s="1214" t="s">
        <v>2144</v>
      </c>
      <c r="B4" s="1214">
        <f ca="1">IF(C4&lt;B2,"已过期",1119970066)</f>
        <v>1119970066</v>
      </c>
      <c r="C4" s="2155">
        <v>45937</v>
      </c>
      <c r="D4" s="2156" t="str">
        <f ca="1">A4&amp;"（注册号："&amp;B4&amp;"）"</f>
        <v>梁津（注册号：1119970066）</v>
      </c>
      <c r="E4" s="2157" t="s">
        <v>2144</v>
      </c>
      <c r="F4" s="1214">
        <f ca="1">IF(G4&lt;B2,"已过期",96010014)</f>
        <v>96010014</v>
      </c>
      <c r="G4" s="2158">
        <v>47118</v>
      </c>
      <c r="H4" s="2159" t="str">
        <f ca="1">E4&amp;"（注册号："&amp;F4&amp;"）"</f>
        <v>梁津（注册号：96010014）</v>
      </c>
    </row>
    <row r="5" spans="1:8" ht="24" customHeight="1">
      <c r="A5" s="1214" t="s">
        <v>2145</v>
      </c>
      <c r="B5" s="1214">
        <f ca="1">IF(C5&lt;B2,"已过期",1119970111)</f>
        <v>1119970111</v>
      </c>
      <c r="C5" s="2155">
        <v>45937</v>
      </c>
      <c r="D5" s="2156" t="str">
        <f t="shared" ref="D5:D15" ca="1" si="0">A5&amp;"（注册号："&amp;B5&amp;"）"</f>
        <v>叶凌（注册号：1119970111）</v>
      </c>
      <c r="E5" s="2157" t="s">
        <v>2145</v>
      </c>
      <c r="F5" s="1214">
        <f ca="1">IF(G5&lt;B2,"已过期",94010078)</f>
        <v>94010078</v>
      </c>
      <c r="G5" s="2158">
        <v>46387</v>
      </c>
      <c r="H5" s="2159" t="str">
        <f t="shared" ref="H5:H16" ca="1" si="1">E5&amp;"（注册号："&amp;F5&amp;"）"</f>
        <v>叶凌（注册号：94010078）</v>
      </c>
    </row>
    <row r="6" spans="1:8" ht="24" customHeight="1">
      <c r="A6" s="1214" t="s">
        <v>2146</v>
      </c>
      <c r="B6" s="1214" t="str">
        <f ca="1">IF(C6&lt;B2,"已过期",1120050019)</f>
        <v>已过期</v>
      </c>
      <c r="C6" s="2155">
        <v>45410</v>
      </c>
      <c r="D6" s="2156" t="str">
        <f t="shared" ca="1" si="0"/>
        <v>王鹏（注册号：已过期）</v>
      </c>
      <c r="E6" s="2157" t="s">
        <v>2146</v>
      </c>
      <c r="F6" s="1214">
        <f ca="1">IF(G6&lt;B2,"已过期",2002110030)</f>
        <v>2002110030</v>
      </c>
      <c r="G6" s="2158">
        <v>46387</v>
      </c>
      <c r="H6" s="2159" t="str">
        <f t="shared" ca="1" si="1"/>
        <v>王鹏（注册号：2002110030）</v>
      </c>
    </row>
    <row r="7" spans="1:8" ht="24" customHeight="1">
      <c r="A7" s="1214" t="s">
        <v>2147</v>
      </c>
      <c r="B7" s="1214">
        <f ca="1">IF(C7&lt;B2,"已过期",1120000080)</f>
        <v>1120000080</v>
      </c>
      <c r="C7" s="2155">
        <v>45937</v>
      </c>
      <c r="D7" s="2156" t="str">
        <f t="shared" ca="1" si="0"/>
        <v>欧红伟（注册号：1120000080）</v>
      </c>
      <c r="E7" s="2157" t="s">
        <v>2147</v>
      </c>
      <c r="F7" s="1214">
        <f ca="1">IF(G7&lt;B2,"已过期",2000110082)</f>
        <v>2000110082</v>
      </c>
      <c r="G7" s="2158">
        <v>46387</v>
      </c>
      <c r="H7" s="2159" t="str">
        <f t="shared" ca="1" si="1"/>
        <v>欧红伟（注册号：2000110082）</v>
      </c>
    </row>
    <row r="8" spans="1:8" ht="24" customHeight="1">
      <c r="A8" s="1214" t="s">
        <v>2148</v>
      </c>
      <c r="B8" s="1214">
        <f ca="1">IF(C8&lt;B2,"已过期",1419970001)</f>
        <v>1419970001</v>
      </c>
      <c r="C8" s="2155">
        <v>45937</v>
      </c>
      <c r="D8" s="2156" t="str">
        <f t="shared" ca="1" si="0"/>
        <v>吴薇（注册号：1419970001）</v>
      </c>
      <c r="E8" s="2157" t="s">
        <v>2148</v>
      </c>
      <c r="F8" s="1214">
        <f ca="1">IF(G8&lt;B2,"已过期",2002110125)</f>
        <v>2002110125</v>
      </c>
      <c r="G8" s="2158">
        <v>47118</v>
      </c>
      <c r="H8" s="2159" t="str">
        <f t="shared" ca="1" si="1"/>
        <v>吴薇（注册号：2002110125）</v>
      </c>
    </row>
    <row r="9" spans="1:8" ht="24" customHeight="1">
      <c r="A9" s="1214" t="s">
        <v>2149</v>
      </c>
      <c r="B9" s="1214" t="str">
        <f ca="1">IF(C9&lt;B2,"已过期",1120060040)</f>
        <v>已过期</v>
      </c>
      <c r="C9" s="2160">
        <v>45592</v>
      </c>
      <c r="D9" s="2156" t="str">
        <f t="shared" ca="1" si="0"/>
        <v>陈颖（注册号：已过期）</v>
      </c>
      <c r="E9" s="2157" t="s">
        <v>2149</v>
      </c>
      <c r="F9" s="1214">
        <f ca="1">IF(G9&lt;B2,"已过期",2004110096)</f>
        <v>2004110096</v>
      </c>
      <c r="G9" s="2158">
        <v>47118</v>
      </c>
      <c r="H9" s="2159" t="str">
        <f t="shared" ca="1" si="1"/>
        <v>陈颖（注册号：2004110096）</v>
      </c>
    </row>
    <row r="10" spans="1:8" ht="24" customHeight="1">
      <c r="A10" s="1214" t="s">
        <v>2150</v>
      </c>
      <c r="B10" s="1214">
        <f ca="1">IF(C10&lt;B2,"已过期",1120100036)</f>
        <v>1120100036</v>
      </c>
      <c r="C10" s="2160">
        <v>45752</v>
      </c>
      <c r="D10" s="2156" t="str">
        <f t="shared" ca="1" si="0"/>
        <v>崔锴（注册号：1120100036）</v>
      </c>
      <c r="E10" s="2157" t="s">
        <v>2150</v>
      </c>
      <c r="F10" s="1214">
        <f ca="1">IF(G10&lt;B2,"已过期",2010110070)</f>
        <v>2010110070</v>
      </c>
      <c r="G10" s="2158">
        <v>47907</v>
      </c>
      <c r="H10" s="2159" t="str">
        <f t="shared" ca="1" si="1"/>
        <v>崔锴（注册号：2010110070）</v>
      </c>
    </row>
    <row r="11" spans="1:8" ht="24" customHeight="1">
      <c r="A11" s="1214" t="s">
        <v>2151</v>
      </c>
      <c r="B11" s="1214">
        <f ca="1">IF(C11&lt;B2,"已过期",1120070131)</f>
        <v>1120070131</v>
      </c>
      <c r="C11" s="2155">
        <v>45937</v>
      </c>
      <c r="D11" s="2156" t="str">
        <f t="shared" ca="1" si="0"/>
        <v>郑燚（注册号：1120070131）</v>
      </c>
      <c r="E11" s="2157" t="s">
        <v>2151</v>
      </c>
      <c r="F11" s="1214">
        <f ca="1">IF(G11&lt;B2,"已过期",2014110011)</f>
        <v>2014110011</v>
      </c>
      <c r="G11" s="2158">
        <v>49302</v>
      </c>
      <c r="H11" s="2159" t="str">
        <f t="shared" ca="1" si="1"/>
        <v>郑燚（注册号：2014110011）</v>
      </c>
    </row>
    <row r="12" spans="1:8" ht="24" customHeight="1">
      <c r="A12" s="1214" t="s">
        <v>2152</v>
      </c>
      <c r="B12" s="1214">
        <f ca="1">IF(C12&lt;B2,"已过期",1120040230)</f>
        <v>1120040230</v>
      </c>
      <c r="C12" s="2160">
        <v>45937</v>
      </c>
      <c r="D12" s="2156" t="str">
        <f t="shared" ca="1" si="0"/>
        <v>苏海（注册号：1120040230）</v>
      </c>
      <c r="E12" s="2157" t="s">
        <v>2152</v>
      </c>
      <c r="F12" s="1214">
        <f ca="1">IF(G12&lt;B2,"已过期",98030020)</f>
        <v>98030020</v>
      </c>
      <c r="G12" s="2158">
        <v>47118</v>
      </c>
      <c r="H12" s="2159" t="str">
        <f t="shared" ca="1" si="1"/>
        <v>苏海（注册号：98030020）</v>
      </c>
    </row>
    <row r="13" spans="1:8" ht="24" customHeight="1">
      <c r="A13" s="1214" t="s">
        <v>2153</v>
      </c>
      <c r="B13" s="1214" t="str">
        <f ca="1">IF(C13&lt;B2,"已过期",1120020033)</f>
        <v>已过期</v>
      </c>
      <c r="C13" s="2155">
        <v>45375</v>
      </c>
      <c r="D13" s="2156" t="str">
        <f t="shared" ca="1" si="0"/>
        <v>刘敬东（注册号：已过期）</v>
      </c>
      <c r="E13" s="2157" t="s">
        <v>2153</v>
      </c>
      <c r="F13" s="1214">
        <f ca="1">IF(G13&lt;B2,"已过期",2000110137)</f>
        <v>2000110137</v>
      </c>
      <c r="G13" s="2158">
        <v>46387</v>
      </c>
      <c r="H13" s="2159" t="str">
        <f t="shared" ca="1" si="1"/>
        <v>刘敬东（注册号：2000110137）</v>
      </c>
    </row>
    <row r="14" spans="1:8" ht="24" customHeight="1">
      <c r="A14" s="1214" t="s">
        <v>2154</v>
      </c>
      <c r="B14" s="1214" t="str">
        <f ca="1">IF(C14&lt;B2,"已过期",1119980106)</f>
        <v>已过期</v>
      </c>
      <c r="C14" s="2160">
        <v>44969</v>
      </c>
      <c r="D14" s="2156" t="str">
        <f t="shared" ca="1" si="0"/>
        <v>刘俊财（注册号：已过期）</v>
      </c>
      <c r="E14" s="2157" t="s">
        <v>2154</v>
      </c>
      <c r="F14" s="1214">
        <f ca="1">IF(G14&lt;B2,"已过期",96010063)</f>
        <v>96010063</v>
      </c>
      <c r="G14" s="2158">
        <v>47483</v>
      </c>
      <c r="H14" s="2159" t="str">
        <f t="shared" ca="1" si="1"/>
        <v>刘俊财（注册号：96010063）</v>
      </c>
    </row>
    <row r="15" spans="1:8" ht="24" customHeight="1">
      <c r="A15" s="1214" t="s">
        <v>2426</v>
      </c>
      <c r="B15" s="1214">
        <v>1120210056</v>
      </c>
      <c r="C15" s="2160">
        <v>45410</v>
      </c>
      <c r="D15" s="2156" t="str">
        <f t="shared" si="0"/>
        <v>宁小鳗（注册号：1120210056）</v>
      </c>
      <c r="E15" s="2157" t="s">
        <v>2155</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40" t="s">
        <v>2156</v>
      </c>
      <c r="B17" s="3240"/>
      <c r="C17" s="3240"/>
      <c r="D17" s="3240"/>
      <c r="E17" s="3240"/>
      <c r="F17" s="3240"/>
      <c r="G17" s="3240"/>
      <c r="H17" s="3240"/>
    </row>
    <row r="18" spans="1:8" ht="24" customHeight="1">
      <c r="A18" s="3241" t="s">
        <v>2157</v>
      </c>
      <c r="B18" s="3241"/>
      <c r="C18" s="3241"/>
      <c r="D18" s="2153"/>
      <c r="E18" s="3242" t="s">
        <v>2158</v>
      </c>
      <c r="F18" s="3241"/>
      <c r="G18" s="3241"/>
    </row>
    <row r="19" spans="1:8" s="2163" customFormat="1" ht="24" customHeight="1">
      <c r="A19" s="2162" t="s">
        <v>2159</v>
      </c>
      <c r="B19" s="1214" t="s">
        <v>2160</v>
      </c>
      <c r="C19" s="1214" t="s">
        <v>2139</v>
      </c>
      <c r="D19" s="2153"/>
      <c r="E19" s="2157" t="s">
        <v>2159</v>
      </c>
      <c r="F19" s="1214" t="s">
        <v>2160</v>
      </c>
      <c r="G19" s="1214" t="s">
        <v>2139</v>
      </c>
    </row>
    <row r="20" spans="1:8" s="2163" customFormat="1" ht="24" customHeight="1">
      <c r="A20" s="2164" t="s">
        <v>2161</v>
      </c>
      <c r="B20" s="2164" t="s">
        <v>2162</v>
      </c>
      <c r="C20" s="2158">
        <v>45898</v>
      </c>
      <c r="D20" s="2165"/>
      <c r="E20" s="2166" t="s">
        <v>2163</v>
      </c>
      <c r="F20" s="2169" t="s">
        <v>2427</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4" type="noConversion"/>
  <conditionalFormatting sqref="A16:C16">
    <cfRule type="cellIs" dxfId="199" priority="32" stopIfTrue="1" operator="equal">
      <formula>"已过期"</formula>
    </cfRule>
  </conditionalFormatting>
  <conditionalFormatting sqref="B4:B15">
    <cfRule type="cellIs" dxfId="198" priority="4" stopIfTrue="1" operator="equal">
      <formula>"已过期"</formula>
    </cfRule>
  </conditionalFormatting>
  <conditionalFormatting sqref="C7:C12">
    <cfRule type="expression" dxfId="197" priority="22">
      <formula>AND($C7-TODAY()&lt;30,TODAY()&lt;$C7)</formula>
    </cfRule>
    <cfRule type="cellIs" dxfId="196" priority="23" stopIfTrue="1" operator="lessThan">
      <formula>$B$2</formula>
    </cfRule>
  </conditionalFormatting>
  <conditionalFormatting sqref="C14:C15">
    <cfRule type="expression" dxfId="195" priority="7">
      <formula>AND($C14-TODAY()&lt;30,TODAY()&lt;$C14)</formula>
    </cfRule>
    <cfRule type="cellIs" dxfId="194" priority="8" stopIfTrue="1" operator="lessThan">
      <formula>$B$2</formula>
    </cfRule>
  </conditionalFormatting>
  <conditionalFormatting sqref="C4:D6 D14">
    <cfRule type="cellIs" dxfId="193" priority="50" stopIfTrue="1" operator="lessThan">
      <formula>$B$2</formula>
    </cfRule>
  </conditionalFormatting>
  <conditionalFormatting sqref="C12:D13">
    <cfRule type="expression" dxfId="192" priority="47">
      <formula>AND($C12-TODAY()&lt;30,TODAY()&lt;$C12)</formula>
    </cfRule>
  </conditionalFormatting>
  <conditionalFormatting sqref="C13:D14">
    <cfRule type="expression" dxfId="191" priority="18">
      <formula>AND($C13-TODAY()&lt;30,TODAY()&lt;$C13)</formula>
    </cfRule>
    <cfRule type="cellIs" dxfId="190" priority="19" stopIfTrue="1" operator="lessThan">
      <formula>$B$2</formula>
    </cfRule>
  </conditionalFormatting>
  <conditionalFormatting sqref="C15:D15">
    <cfRule type="expression" dxfId="189" priority="5">
      <formula>AND($C15-TODAY()&lt;30,TODAY()&lt;$C15)</formula>
    </cfRule>
    <cfRule type="cellIs" dxfId="188" priority="6" stopIfTrue="1" operator="lessThan">
      <formula>$B$2</formula>
    </cfRule>
  </conditionalFormatting>
  <conditionalFormatting sqref="C20:D20 C13:D13">
    <cfRule type="cellIs" dxfId="187" priority="54" stopIfTrue="1" operator="lessThan">
      <formula>$B$2</formula>
    </cfRule>
  </conditionalFormatting>
  <conditionalFormatting sqref="C20:D20">
    <cfRule type="expression" dxfId="186" priority="52">
      <formula>AND($C20-TODAY()&lt;30,TODAY()&lt;$C20)</formula>
    </cfRule>
  </conditionalFormatting>
  <conditionalFormatting sqref="D7:D12 D16">
    <cfRule type="expression" dxfId="185" priority="53">
      <formula>AND($C7-TODAY()&lt;30,TODAY()&lt;$C7)</formula>
    </cfRule>
  </conditionalFormatting>
  <conditionalFormatting sqref="D7:D12">
    <cfRule type="cellIs" dxfId="184" priority="48" stopIfTrue="1" operator="lessThan">
      <formula>$B$2</formula>
    </cfRule>
  </conditionalFormatting>
  <conditionalFormatting sqref="D14 C4:D6">
    <cfRule type="expression" dxfId="183" priority="49">
      <formula>AND($C4-TODAY()&lt;30,TODAY()&lt;$C4)</formula>
    </cfRule>
  </conditionalFormatting>
  <conditionalFormatting sqref="D15:D16">
    <cfRule type="expression" dxfId="182" priority="12">
      <formula>AND($C15-TODAY()&lt;30,TODAY()&lt;$C15)</formula>
    </cfRule>
    <cfRule type="cellIs" dxfId="181" priority="13" stopIfTrue="1" operator="lessThan">
      <formula>$B$2</formula>
    </cfRule>
  </conditionalFormatting>
  <conditionalFormatting sqref="E16:G16">
    <cfRule type="cellIs" dxfId="180" priority="31" stopIfTrue="1" operator="equal">
      <formula>"已过期"</formula>
    </cfRule>
  </conditionalFormatting>
  <conditionalFormatting sqref="F4:F15">
    <cfRule type="cellIs" dxfId="179" priority="9" stopIfTrue="1" operator="equal">
      <formula>"已过期"</formula>
    </cfRule>
  </conditionalFormatting>
  <conditionalFormatting sqref="G4:G15">
    <cfRule type="cellIs" dxfId="178" priority="3" stopIfTrue="1" operator="lessThan">
      <formula>$B$2</formula>
    </cfRule>
  </conditionalFormatting>
  <conditionalFormatting sqref="G20:G21">
    <cfRule type="expression" dxfId="177" priority="1" stopIfTrue="1">
      <formula>AND(#REF!-TODAY()&lt;30,TODAY()&lt;#REF!)</formula>
    </cfRule>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168</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昌平绿地中央广场</vt:lpstr>
      <vt:lpstr>华润·未来城市</vt:lpstr>
      <vt:lpstr>未来中心</vt:lpstr>
      <vt:lpstr>未来科学城</vt:lpstr>
      <vt:lpstr>Sheet1</vt:lpstr>
      <vt:lpstr>1号楼</vt:lpstr>
      <vt:lpstr>2号楼</vt:lpstr>
      <vt:lpstr>3号楼</vt:lpstr>
      <vt:lpstr>4号楼</vt:lpstr>
      <vt:lpstr>5号楼</vt:lpstr>
      <vt:lpstr>定义</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基准地价修正</vt:lpstr>
      <vt:lpstr>商业收益法</vt:lpstr>
      <vt:lpstr>收益法-酒店模型</vt:lpstr>
      <vt:lpstr>收益法（汇总）</vt:lpstr>
      <vt:lpstr>比较法-住宅</vt:lpstr>
      <vt:lpstr>租金比较法-商业</vt:lpstr>
      <vt:lpstr>办公-典型户型修正</vt:lpstr>
      <vt:lpstr>办公结果表</vt:lpstr>
      <vt:lpstr>比较法-工业</vt:lpstr>
      <vt:lpstr>办公-成本法</vt:lpstr>
      <vt:lpstr>比较法-办公</vt:lpstr>
      <vt:lpstr>办公-基准地价修正 </vt:lpstr>
      <vt:lpstr>办公收益法</vt:lpstr>
      <vt:lpstr>车位-典型户型修正</vt:lpstr>
      <vt:lpstr>车位结果表 </vt:lpstr>
      <vt:lpstr>成本法 (元)</vt:lpstr>
      <vt:lpstr>车位基准地价修正</vt:lpstr>
      <vt:lpstr>比较法-车位</vt:lpstr>
      <vt:lpstr>车库收益法 (元)</vt:lpstr>
      <vt:lpstr>车库收益法</vt:lpstr>
      <vt:lpstr>比较法-仓储</vt:lpstr>
      <vt:lpstr>土地比较法-住宅、综合</vt:lpstr>
      <vt:lpstr>土地比较法-工业</vt:lpstr>
      <vt:lpstr>租约</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'办公-成本法'!Print_Area</vt:lpstr>
      <vt:lpstr>'办公-基准地价修正 '!Print_Area</vt:lpstr>
      <vt:lpstr>办公结果表!Print_Area</vt:lpstr>
      <vt:lpstr>办公收益法!Print_Area</vt:lpstr>
      <vt:lpstr>'比较法-办公'!Print_Area</vt:lpstr>
      <vt:lpstr>'比较法-仓储'!Print_Area</vt:lpstr>
      <vt:lpstr>'比较法-车位'!Print_Area</vt:lpstr>
      <vt:lpstr>'比较法-工业'!Print_Area</vt:lpstr>
      <vt:lpstr>'比较法-住宅'!Print_Area</vt:lpstr>
      <vt:lpstr>车库收益法!Print_Area</vt:lpstr>
      <vt:lpstr>'车库收益法 (元)'!Print_Area</vt:lpstr>
      <vt:lpstr>车位基准地价修正!Print_Area</vt:lpstr>
      <vt:lpstr>'车位结果表 '!Print_Area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 '!季度</vt:lpstr>
      <vt:lpstr>车位基准地价修正!季度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'车位-典型户型修正'!一修多修正项2</vt:lpstr>
      <vt:lpstr>一修多修正项2</vt:lpstr>
      <vt:lpstr>'车位-典型户型修正'!一修多修正项3</vt:lpstr>
      <vt:lpstr>一修多修正项3</vt:lpstr>
      <vt:lpstr>'车位-典型户型修正'!一修多修正项4</vt:lpstr>
      <vt:lpstr>一修多修正项4</vt:lpstr>
      <vt:lpstr>'车位-典型户型修正'!一修多修正项5</vt:lpstr>
      <vt:lpstr>一修多修正项5</vt:lpstr>
      <vt:lpstr>'车位-典型户型修正'!一修多修正项6</vt:lpstr>
      <vt:lpstr>一修多修正项6</vt:lpstr>
      <vt:lpstr>'车位-典型户型修正'!一修多修正项7</vt:lpstr>
      <vt:lpstr>一修多修正项7</vt:lpstr>
      <vt:lpstr>'车位-典型户型修正'!一修多修正项8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2024-10-31T03:24:51Z</dcterms:modified>
</cp:coreProperties>
</file>