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三年总收益"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6" i="77" l="1"/>
  <c r="G164" i="77"/>
  <c r="G143" i="77"/>
  <c r="G47" i="77"/>
  <c r="G38" i="77"/>
  <c r="G31" i="77"/>
  <c r="Y23" i="1" l="1"/>
  <c r="Y22" i="1"/>
  <c r="U10" i="80" l="1"/>
  <c r="Y21" i="1"/>
  <c r="Y20" i="1"/>
  <c r="G19" i="6" l="1"/>
  <c r="D71" i="39" l="1"/>
  <c r="E71" i="39" s="1"/>
  <c r="F71" i="39" s="1"/>
  <c r="G71" i="39" s="1"/>
  <c r="H71" i="39" s="1"/>
  <c r="I71" i="39" s="1"/>
  <c r="J71" i="39" s="1"/>
  <c r="K71" i="39" s="1"/>
  <c r="L71" i="39" s="1"/>
  <c r="M71" i="39" s="1"/>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Z20" i="1" s="1"/>
  <c r="X21" i="1"/>
  <c r="Z21" i="1" s="1"/>
  <c r="X22" i="1"/>
  <c r="Z22" i="1" s="1"/>
  <c r="X23" i="1"/>
  <c r="Z23" i="1" s="1"/>
  <c r="X19" i="1"/>
  <c r="V23" i="1"/>
  <c r="V21" i="1"/>
  <c r="V22" i="1"/>
  <c r="V20" i="1"/>
  <c r="B9" i="77"/>
  <c r="D16" i="80" l="1"/>
  <c r="I13" i="3"/>
  <c r="F19" i="6" s="1"/>
  <c r="Z19" i="1"/>
  <c r="Z24" i="1" s="1"/>
  <c r="X24" i="1"/>
  <c r="AH6" i="1" s="1"/>
  <c r="N21" i="1"/>
  <c r="N6" i="1" s="1"/>
  <c r="N19" i="1"/>
  <c r="E18" i="80" l="1"/>
  <c r="E16" i="80"/>
  <c r="E17" i="80"/>
  <c r="W24" i="1"/>
  <c r="Y6" i="1"/>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AB31" i="71"/>
  <c r="Q31" i="71"/>
  <c r="P31" i="71"/>
  <c r="AA31" i="71" s="1"/>
  <c r="O31" i="71"/>
  <c r="Y31" i="71" s="1"/>
  <c r="Z31" i="71" s="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AA25" i="71" s="1"/>
  <c r="O27" i="71"/>
  <c r="Y27" i="71"/>
  <c r="Z27" i="71" s="1"/>
  <c r="N27" i="71"/>
  <c r="X25" i="71" s="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AA22" i="71" s="1"/>
  <c r="O23" i="71"/>
  <c r="Y23" i="71"/>
  <c r="Z23" i="71" s="1"/>
  <c r="N23" i="71"/>
  <c r="X21" i="71" s="1"/>
  <c r="Q22" i="71"/>
  <c r="AB22" i="71"/>
  <c r="P22" i="71"/>
  <c r="O22" i="71"/>
  <c r="Y22" i="71" s="1"/>
  <c r="Z22" i="71" s="1"/>
  <c r="N22" i="71"/>
  <c r="Q21" i="71"/>
  <c r="AB21" i="71" s="1"/>
  <c r="P21" i="71"/>
  <c r="O21" i="71"/>
  <c r="Y21" i="71" s="1"/>
  <c r="Z21" i="71" s="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D22" i="71" s="1"/>
  <c r="X22" i="71"/>
  <c r="X23" i="71"/>
  <c r="X24" i="71"/>
  <c r="C26" i="71"/>
  <c r="C27" i="71" s="1"/>
  <c r="Y25" i="71"/>
  <c r="Z25" i="71" s="1"/>
  <c r="AB25" i="71"/>
  <c r="AA26" i="71"/>
  <c r="AA27" i="71"/>
  <c r="X28" i="71"/>
  <c r="AA28" i="71"/>
  <c r="Y29" i="71"/>
  <c r="Z29" i="71" s="1"/>
  <c r="AB29" i="71"/>
  <c r="X30" i="71"/>
  <c r="AA30" i="71"/>
  <c r="F43" i="71"/>
  <c r="F44" i="71"/>
  <c r="V44" i="71" s="1"/>
  <c r="C20" i="71"/>
  <c r="C19" i="71" s="1"/>
  <c r="X17" i="71"/>
  <c r="X19" i="71"/>
  <c r="C23" i="71"/>
  <c r="D23" i="71" s="1"/>
  <c r="D26" i="71"/>
  <c r="P20" i="71"/>
  <c r="AA3" i="71" s="1"/>
  <c r="E51" i="71"/>
  <c r="E52" i="71" s="1"/>
  <c r="U52" i="71" s="1"/>
  <c r="E55" i="71"/>
  <c r="E56" i="71"/>
  <c r="U56" i="71" s="1"/>
  <c r="U60" i="71"/>
  <c r="E59" i="71"/>
  <c r="E58" i="71" s="1"/>
  <c r="Q20" i="71"/>
  <c r="C55" i="71"/>
  <c r="C56" i="71" s="1"/>
  <c r="D54" i="71"/>
  <c r="N59" i="71"/>
  <c r="B58" i="71"/>
  <c r="T60" i="71"/>
  <c r="O60" i="71"/>
  <c r="D60" i="71"/>
  <c r="C59" i="71"/>
  <c r="O59" i="71" s="1"/>
  <c r="Q60" i="71"/>
  <c r="C63" i="71"/>
  <c r="D63" i="71" s="1"/>
  <c r="E63" i="71"/>
  <c r="E62" i="71"/>
  <c r="D64" i="71"/>
  <c r="C67" i="71"/>
  <c r="C66" i="71" s="1"/>
  <c r="D66" i="71" s="1"/>
  <c r="E67" i="71"/>
  <c r="E66" i="71"/>
  <c r="D68" i="71"/>
  <c r="C71" i="71"/>
  <c r="C70" i="71" s="1"/>
  <c r="D70" i="71" s="1"/>
  <c r="E71" i="71"/>
  <c r="E70" i="71"/>
  <c r="D72" i="71"/>
  <c r="C75" i="71"/>
  <c r="D75" i="71" s="1"/>
  <c r="C79" i="71"/>
  <c r="T20" i="71"/>
  <c r="F20" i="71"/>
  <c r="F19" i="71"/>
  <c r="F18" i="71" s="1"/>
  <c r="AB17" i="71"/>
  <c r="AB19" i="71"/>
  <c r="AB20" i="71"/>
  <c r="E20" i="71"/>
  <c r="E19" i="71" s="1"/>
  <c r="E18" i="71" s="1"/>
  <c r="AA17" i="71"/>
  <c r="AA19" i="71"/>
  <c r="D20" i="71"/>
  <c r="U20" i="71" s="1"/>
  <c r="C58" i="71"/>
  <c r="D58" i="71" s="1"/>
  <c r="D59" i="71"/>
  <c r="D55" i="71"/>
  <c r="C74" i="71"/>
  <c r="D74" i="71" s="1"/>
  <c r="D67" i="71"/>
  <c r="N57" i="71"/>
  <c r="N58" i="71"/>
  <c r="D79" i="71"/>
  <c r="C78" i="71"/>
  <c r="D78" i="71" s="1"/>
  <c r="D71" i="71"/>
  <c r="C62" i="71"/>
  <c r="D62" i="71" s="1"/>
  <c r="P59" i="71"/>
  <c r="C24" i="71"/>
  <c r="T24" i="71" s="1"/>
  <c r="O58" i="71"/>
  <c r="O57" i="71"/>
  <c r="D2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S21" i="34"/>
  <c r="F94" i="40"/>
  <c r="H25" i="40"/>
  <c r="G94" i="40"/>
  <c r="J25" i="40"/>
  <c r="H29" i="39"/>
  <c r="AB29" i="39" s="1"/>
  <c r="J29" i="39"/>
  <c r="AC29" i="39" s="1"/>
  <c r="G66" i="36"/>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J31" i="39"/>
  <c r="F101" i="39"/>
  <c r="H27" i="39"/>
  <c r="U27" i="39" s="1"/>
  <c r="J19" i="39"/>
  <c r="AC19" i="39" s="1"/>
  <c r="J17" i="39"/>
  <c r="W1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s="1"/>
  <c r="F15" i="39"/>
  <c r="AA15" i="39"/>
  <c r="H15" i="39"/>
  <c r="U15" i="39"/>
  <c r="J15" i="39"/>
  <c r="W15" i="39"/>
  <c r="H41" i="39"/>
  <c r="AB41" i="39" s="1"/>
  <c r="W27" i="39"/>
  <c r="AB34" i="39"/>
  <c r="U40" i="39"/>
  <c r="W14"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O9" i="1"/>
  <c r="P9" i="1"/>
  <c r="AE9" i="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R9" i="1"/>
  <c r="J51" i="67"/>
  <c r="C42" i="1"/>
  <c r="H100" i="43"/>
  <c r="C30" i="66"/>
  <c r="AC34" i="33"/>
  <c r="AA34" i="33"/>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U25" i="39"/>
  <c r="AB27" i="39"/>
  <c r="U31" i="39"/>
  <c r="S25" i="39"/>
  <c r="J21" i="39"/>
  <c r="F21" i="39"/>
  <c r="AA21" i="39" s="1"/>
  <c r="H21" i="39"/>
  <c r="AB21" i="39" s="1"/>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BL17" i="3"/>
  <c r="AZ17" i="3"/>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M47" i="9"/>
  <c r="G19" i="43"/>
  <c r="O19" i="43" s="1"/>
  <c r="T35" i="4"/>
  <c r="A19" i="51" s="1"/>
  <c r="B14" i="72" s="1"/>
  <c r="C46" i="36"/>
  <c r="C59" i="34"/>
  <c r="D59" i="34" s="1"/>
  <c r="E59" i="34" s="1"/>
  <c r="C52" i="37"/>
  <c r="A4" i="51"/>
  <c r="B6" i="72" s="1"/>
  <c r="C48" i="35"/>
  <c r="C4" i="12"/>
  <c r="H66" i="43"/>
  <c r="H65" i="43"/>
  <c r="H64" i="43"/>
  <c r="H63" i="43"/>
  <c r="H55" i="43"/>
  <c r="H56" i="43"/>
  <c r="H72" i="43"/>
  <c r="L20" i="6"/>
  <c r="B6" i="1"/>
  <c r="E6" i="1" s="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28" i="67"/>
  <c r="C28" i="67" s="1"/>
  <c r="F52" i="9"/>
  <c r="F32" i="67"/>
  <c r="F60" i="67" s="1"/>
  <c r="F32" i="15"/>
  <c r="F60" i="15" s="1"/>
  <c r="F28" i="15"/>
  <c r="T11" i="1"/>
  <c r="AR11" i="1"/>
  <c r="C28" i="15"/>
  <c r="T13" i="1"/>
  <c r="AA39" i="40"/>
  <c r="S39" i="40"/>
  <c r="S12" i="33"/>
  <c r="AA12" i="33"/>
  <c r="D68" i="9"/>
  <c r="J32" i="39"/>
  <c r="H32" i="39"/>
  <c r="AB32" i="39" s="1"/>
  <c r="U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s="1"/>
  <c r="H23" i="21"/>
  <c r="S13" i="21"/>
  <c r="D6" i="52"/>
  <c r="O14" i="1"/>
  <c r="P14" i="1"/>
  <c r="BL5" i="3"/>
  <c r="AR8" i="1"/>
  <c r="T8" i="1"/>
  <c r="R22" i="31"/>
  <c r="AP7" i="1"/>
  <c r="C36" i="69" s="1"/>
  <c r="O7" i="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s="1"/>
  <c r="F34" i="68"/>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C65" i="40"/>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AB14" i="71"/>
  <c r="X12" i="71"/>
  <c r="X11" i="71"/>
  <c r="AA12" i="71"/>
  <c r="AA11" i="71"/>
  <c r="X15" i="71"/>
  <c r="Y11" i="71"/>
  <c r="Z11" i="71" s="1"/>
  <c r="AB12" i="71"/>
  <c r="AB11" i="71"/>
  <c r="F13" i="71"/>
  <c r="F12" i="71"/>
  <c r="F11" i="71" s="1"/>
  <c r="F10" i="71" s="1"/>
  <c r="F9" i="71" s="1"/>
  <c r="Y12" i="71"/>
  <c r="Z12" i="71" s="1"/>
  <c r="X3" i="71"/>
  <c r="E13" i="71"/>
  <c r="E12" i="71" s="1"/>
  <c r="G20" i="43"/>
  <c r="E41" i="43" s="1"/>
  <c r="C41" i="43" s="1"/>
  <c r="D65" i="40"/>
  <c r="G17" i="43"/>
  <c r="C16" i="43" s="1"/>
  <c r="D70" i="39"/>
  <c r="E65" i="40"/>
  <c r="F63" i="40"/>
  <c r="G63" i="40" s="1"/>
  <c r="F68" i="39"/>
  <c r="F70" i="39" s="1"/>
  <c r="E70" i="39"/>
  <c r="F65" i="40"/>
  <c r="G68" i="39"/>
  <c r="G70" i="39" s="1"/>
  <c r="C19" i="43"/>
  <c r="H68" i="39"/>
  <c r="I68" i="39" s="1"/>
  <c r="H70" i="39"/>
  <c r="M28" i="67"/>
  <c r="F36" i="15"/>
  <c r="D34" i="9"/>
  <c r="F43" i="67"/>
  <c r="AO8" i="1"/>
  <c r="F5" i="73"/>
  <c r="AO9" i="1"/>
  <c r="M26" i="67"/>
  <c r="B12" i="76"/>
  <c r="D7" i="73"/>
  <c r="C76" i="15"/>
  <c r="F3" i="73"/>
  <c r="AO12" i="1"/>
  <c r="M29" i="67"/>
  <c r="F16" i="15"/>
  <c r="F6" i="67"/>
  <c r="L48" i="15"/>
  <c r="L47" i="67"/>
  <c r="F7" i="15"/>
  <c r="E2" i="69"/>
  <c r="F4" i="73"/>
  <c r="M23" i="15"/>
  <c r="D35" i="9"/>
  <c r="L48" i="67"/>
  <c r="M8" i="67"/>
  <c r="F42" i="67"/>
  <c r="M6" i="67"/>
  <c r="E7" i="76"/>
  <c r="F16" i="67"/>
  <c r="D2" i="21"/>
  <c r="M22" i="67"/>
  <c r="F13" i="15"/>
  <c r="F36" i="67"/>
  <c r="B9" i="76"/>
  <c r="E11" i="76"/>
  <c r="M23" i="67"/>
  <c r="F43" i="15"/>
  <c r="F7" i="67"/>
  <c r="F26" i="15"/>
  <c r="M8" i="15"/>
  <c r="M9" i="67"/>
  <c r="F37" i="67"/>
  <c r="B7" i="76"/>
  <c r="AO10" i="1"/>
  <c r="D2" i="34"/>
  <c r="F40" i="67"/>
  <c r="L47" i="15"/>
  <c r="F38" i="67"/>
  <c r="B10" i="76"/>
  <c r="F6" i="15"/>
  <c r="D2" i="36"/>
  <c r="M28" i="15"/>
  <c r="B8" i="76"/>
  <c r="D2" i="35"/>
  <c r="D2" i="37"/>
  <c r="D4" i="73"/>
  <c r="M6" i="15"/>
  <c r="D3" i="73"/>
  <c r="C76" i="67"/>
  <c r="M24" i="15"/>
  <c r="B13" i="76"/>
  <c r="J15" i="15"/>
  <c r="F8" i="67"/>
  <c r="B11" i="76"/>
  <c r="E12" i="76"/>
  <c r="F42" i="15"/>
  <c r="D5" i="73"/>
  <c r="F7" i="73"/>
  <c r="F20" i="31"/>
  <c r="M27" i="15"/>
  <c r="F8" i="15"/>
  <c r="F13" i="67"/>
  <c r="AO13" i="1"/>
  <c r="M27" i="67"/>
  <c r="M24" i="67"/>
  <c r="F9" i="67"/>
  <c r="E9" i="76"/>
  <c r="E2" i="68"/>
  <c r="F37" i="15"/>
  <c r="F6" i="73"/>
  <c r="D6" i="73"/>
  <c r="M26" i="15"/>
  <c r="J15" i="67"/>
  <c r="E13" i="76"/>
  <c r="E8" i="76"/>
  <c r="M29" i="15"/>
  <c r="F40" i="15"/>
  <c r="M22" i="15"/>
  <c r="D2" i="33"/>
  <c r="M9" i="15"/>
  <c r="F26" i="67"/>
  <c r="E10" i="76"/>
  <c r="F9" i="15"/>
  <c r="F38" i="15"/>
  <c r="AO11" i="1"/>
  <c r="AA41" i="39" l="1"/>
  <c r="U41" i="39"/>
  <c r="AC41" i="39"/>
  <c r="L27" i="6"/>
  <c r="E12" i="6"/>
  <c r="E57" i="40" s="1"/>
  <c r="H16" i="1"/>
  <c r="I4" i="6"/>
  <c r="G3" i="43" s="1"/>
  <c r="I101" i="43" s="1"/>
  <c r="O16" i="1"/>
  <c r="G16" i="1"/>
  <c r="H10" i="39" s="1"/>
  <c r="AB10" i="39" s="1"/>
  <c r="I70" i="39"/>
  <c r="J68" i="39"/>
  <c r="G65" i="40"/>
  <c r="H63" i="40"/>
  <c r="E11" i="71"/>
  <c r="E10" i="71" s="1"/>
  <c r="E9" i="71" s="1"/>
  <c r="E8" i="71" s="1"/>
  <c r="V12" i="71"/>
  <c r="C20" i="43"/>
  <c r="D17" i="53"/>
  <c r="B36" i="72" s="1"/>
  <c r="AC37" i="21"/>
  <c r="F30" i="6"/>
  <c r="E28" i="6"/>
  <c r="K14" i="1" s="1"/>
  <c r="M14" i="1" s="1"/>
  <c r="D101" i="43"/>
  <c r="Z11" i="43"/>
  <c r="H22" i="43"/>
  <c r="AF11" i="43"/>
  <c r="AF13" i="43" s="1"/>
  <c r="AC11" i="43"/>
  <c r="AC17" i="21"/>
  <c r="W17" i="21"/>
  <c r="AB33" i="21"/>
  <c r="U33" i="21"/>
  <c r="AZ557" i="3"/>
  <c r="G5" i="3"/>
  <c r="B3" i="3" s="1"/>
  <c r="E29" i="6"/>
  <c r="AZ439" i="3"/>
  <c r="G30" i="6"/>
  <c r="G31" i="6" s="1"/>
  <c r="BA5" i="3"/>
  <c r="S32" i="37"/>
  <c r="S20" i="35"/>
  <c r="AB20" i="36"/>
  <c r="S27" i="36"/>
  <c r="AA27" i="40"/>
  <c r="AB27" i="40"/>
  <c r="E13" i="6"/>
  <c r="E15" i="6"/>
  <c r="H87" i="43"/>
  <c r="H86" i="43"/>
  <c r="S15" i="37"/>
  <c r="K5" i="4"/>
  <c r="B47" i="48" s="1"/>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 i="3" s="1"/>
  <c r="AZ54" i="3"/>
  <c r="AZ57" i="3"/>
  <c r="AZ70" i="3"/>
  <c r="AZ73" i="3"/>
  <c r="AZ78" i="3"/>
  <c r="AZ87" i="3"/>
  <c r="AZ91" i="3"/>
  <c r="AZ95" i="3"/>
  <c r="AZ98" i="3"/>
  <c r="AZ104" i="3"/>
  <c r="AZ108" i="3"/>
  <c r="C29" i="39"/>
  <c r="B66" i="43"/>
  <c r="D27" i="71"/>
  <c r="C28" i="71"/>
  <c r="B19" i="71"/>
  <c r="B18" i="71" s="1"/>
  <c r="S20" i="71"/>
  <c r="C31" i="71"/>
  <c r="D30" i="71"/>
  <c r="C35" i="71"/>
  <c r="D34" i="71"/>
  <c r="C39" i="71"/>
  <c r="D39" i="71" s="1"/>
  <c r="D38" i="71"/>
  <c r="D42" i="71"/>
  <c r="C43" i="71"/>
  <c r="D46" i="71"/>
  <c r="C47" i="71"/>
  <c r="D50" i="71"/>
  <c r="C51" i="71"/>
  <c r="M100" i="43"/>
  <c r="I100" i="43"/>
  <c r="E100" i="43"/>
  <c r="D100" i="43"/>
  <c r="C32" i="66"/>
  <c r="E26" i="66" s="1"/>
  <c r="D22" i="67"/>
  <c r="T56" i="71"/>
  <c r="D56" i="71"/>
  <c r="P58" i="71"/>
  <c r="P57" i="71"/>
  <c r="C18" i="71"/>
  <c r="D18" i="71" s="1"/>
  <c r="D19" i="71"/>
  <c r="F22" i="71"/>
  <c r="F23" i="71" s="1"/>
  <c r="F24" i="71" s="1"/>
  <c r="V24" i="71" s="1"/>
  <c r="Z12" i="43"/>
  <c r="Z10" i="43"/>
  <c r="AD12" i="43"/>
  <c r="AD10" i="43"/>
  <c r="AH12" i="43"/>
  <c r="AH10" i="43"/>
  <c r="Y14" i="71"/>
  <c r="Z14" i="71" s="1"/>
  <c r="AB15" i="71"/>
  <c r="X13" i="71"/>
  <c r="X9" i="71"/>
  <c r="Y9" i="71"/>
  <c r="Z9" i="71" s="1"/>
  <c r="AA9" i="71"/>
  <c r="AB10" i="71"/>
  <c r="Y6" i="71"/>
  <c r="Z6" i="71" s="1"/>
  <c r="AB5" i="71"/>
  <c r="V20" i="71"/>
  <c r="AA20" i="71"/>
  <c r="AA18" i="71"/>
  <c r="AB18" i="71"/>
  <c r="X20" i="71"/>
  <c r="X18" i="71"/>
  <c r="Y20" i="71"/>
  <c r="Z20" i="71" s="1"/>
  <c r="Y19" i="71"/>
  <c r="Z19" i="71" s="1"/>
  <c r="Y18" i="71"/>
  <c r="Z18" i="71" s="1"/>
  <c r="Y17" i="71"/>
  <c r="Z17" i="71" s="1"/>
  <c r="X27" i="71"/>
  <c r="X26" i="71"/>
  <c r="AA24" i="71"/>
  <c r="AA23" i="71"/>
  <c r="AA29" i="71"/>
  <c r="V60" i="71"/>
  <c r="F59" i="71"/>
  <c r="AF10" i="43"/>
  <c r="AC12" i="43"/>
  <c r="AC10" i="43"/>
  <c r="AG12" i="43"/>
  <c r="AG10" i="43"/>
  <c r="X16" i="71"/>
  <c r="Y16" i="71"/>
  <c r="Z16" i="71" s="1"/>
  <c r="AA15" i="71"/>
  <c r="X14" i="71"/>
  <c r="AA13" i="71"/>
  <c r="Y10" i="71"/>
  <c r="Z10" i="71" s="1"/>
  <c r="X10" i="71"/>
  <c r="AA10" i="71"/>
  <c r="Y13" i="71"/>
  <c r="Z13" i="71" s="1"/>
  <c r="AA14" i="71"/>
  <c r="AB13" i="71"/>
  <c r="X7" i="71"/>
  <c r="AA7" i="71"/>
  <c r="Y5" i="71"/>
  <c r="Z5" i="71" s="1"/>
  <c r="AA5" i="71"/>
  <c r="X5" i="71"/>
  <c r="AA16" i="71"/>
  <c r="AB16" i="71"/>
  <c r="B16" i="71"/>
  <c r="C16" i="71"/>
  <c r="Y15" i="71"/>
  <c r="Z15" i="71" s="1"/>
  <c r="AB7" i="71"/>
  <c r="AB9" i="71"/>
  <c r="AB6" i="71"/>
  <c r="AA6" i="71"/>
  <c r="X6" i="71"/>
  <c r="P74" i="67"/>
  <c r="P16" i="1"/>
  <c r="C11" i="12" s="1"/>
  <c r="C15" i="12" s="1"/>
  <c r="U12" i="39"/>
  <c r="S42" i="39"/>
  <c r="U32" i="39"/>
  <c r="S32" i="39"/>
  <c r="S31" i="39"/>
  <c r="W29" i="39"/>
  <c r="U29" i="39"/>
  <c r="S29" i="39"/>
  <c r="S21" i="39"/>
  <c r="S17" i="39"/>
  <c r="U9" i="39"/>
  <c r="P61" i="15"/>
  <c r="Q16" i="1"/>
  <c r="F27" i="69" s="1"/>
  <c r="F45" i="69" s="1"/>
  <c r="M7" i="1"/>
  <c r="F27" i="6"/>
  <c r="F31" i="6" s="1"/>
  <c r="E56" i="39"/>
  <c r="E51" i="40"/>
  <c r="D9" i="69"/>
  <c r="C9" i="69" s="1"/>
  <c r="D9" i="68"/>
  <c r="C9" i="68" s="1"/>
  <c r="D19" i="12"/>
  <c r="C19" i="12" s="1"/>
  <c r="E30" i="6"/>
  <c r="K15" i="1"/>
  <c r="K16" i="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M16" i="1"/>
  <c r="C34" i="68" s="1"/>
  <c r="E61" i="39"/>
  <c r="E56" i="40"/>
  <c r="AR9" i="1"/>
  <c r="AQ9" i="1"/>
  <c r="T9" i="1"/>
  <c r="G101" i="43"/>
  <c r="J101" i="43"/>
  <c r="L101" i="43"/>
  <c r="G22" i="43"/>
  <c r="S5" i="43"/>
  <c r="S4" i="43"/>
  <c r="K101" i="43"/>
  <c r="N101" i="43"/>
  <c r="C5" i="43"/>
  <c r="T12" i="43" s="1"/>
  <c r="V12" i="43" s="1"/>
  <c r="D5" i="43"/>
  <c r="C36" i="43" s="1"/>
  <c r="E36" i="43" s="1"/>
  <c r="C92" i="9"/>
  <c r="C94" i="9"/>
  <c r="C48" i="68"/>
  <c r="F54" i="9"/>
  <c r="M18" i="15"/>
  <c r="F30" i="69"/>
  <c r="M18" i="67"/>
  <c r="F31" i="12"/>
  <c r="C31" i="12" s="1"/>
  <c r="F30" i="11"/>
  <c r="F53" i="9"/>
  <c r="D93" i="9"/>
  <c r="C21" i="69"/>
  <c r="D12" i="52"/>
  <c r="D127" i="9"/>
  <c r="D13" i="52" s="1"/>
  <c r="F59" i="34"/>
  <c r="G59" i="34" s="1"/>
  <c r="H59" i="34" s="1"/>
  <c r="I59" i="34" s="1"/>
  <c r="J59" i="34" s="1"/>
  <c r="K59" i="34" s="1"/>
  <c r="L59" i="34" s="1"/>
  <c r="M59" i="34" s="1"/>
  <c r="N59" i="34" s="1"/>
  <c r="O59" i="34" s="1"/>
  <c r="F7" i="34"/>
  <c r="J7" i="34"/>
  <c r="H7" i="34"/>
  <c r="D46" i="36"/>
  <c r="F7" i="21"/>
  <c r="J7" i="21"/>
  <c r="T14" i="43"/>
  <c r="V14" i="43" s="1"/>
  <c r="H7" i="21"/>
  <c r="H10" i="40"/>
  <c r="D48" i="35"/>
  <c r="D52" i="37"/>
  <c r="H7" i="33"/>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Y8" i="71"/>
  <c r="Z8" i="71" s="1"/>
  <c r="Y7" i="71"/>
  <c r="Z7" i="71" s="1"/>
  <c r="AA8" i="71"/>
  <c r="AB3" i="71"/>
  <c r="C35" i="43"/>
  <c r="E35" i="43" s="1"/>
  <c r="C39" i="43"/>
  <c r="X8" i="71"/>
  <c r="AB8" i="71"/>
  <c r="T15" i="43"/>
  <c r="V15" i="43" s="1"/>
  <c r="Y3" i="71"/>
  <c r="Z3" i="71" s="1"/>
  <c r="F8" i="71"/>
  <c r="F7" i="71" s="1"/>
  <c r="F6" i="71" s="1"/>
  <c r="F5" i="71" s="1"/>
  <c r="C12" i="12"/>
  <c r="AF3" i="71"/>
  <c r="P22" i="43" s="1"/>
  <c r="T16" i="43"/>
  <c r="V16" i="43" s="1"/>
  <c r="T8" i="43"/>
  <c r="V8"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67"/>
  <c r="G1" i="73"/>
  <c r="C16" i="15"/>
  <c r="C34" i="69" l="1"/>
  <c r="C35" i="69" s="1"/>
  <c r="E62" i="39"/>
  <c r="S6" i="43"/>
  <c r="Z7" i="43"/>
  <c r="E101" i="43"/>
  <c r="AE11" i="43"/>
  <c r="AE13" i="43" s="1"/>
  <c r="AH11" i="43"/>
  <c r="E16" i="6"/>
  <c r="F10" i="39"/>
  <c r="E22" i="43"/>
  <c r="D22" i="43" s="1"/>
  <c r="F101" i="43"/>
  <c r="F22" i="43"/>
  <c r="C23" i="43"/>
  <c r="C21" i="43" s="1"/>
  <c r="S2" i="43"/>
  <c r="T2" i="43" s="1"/>
  <c r="V2" i="43" s="1"/>
  <c r="H101" i="43"/>
  <c r="N104" i="46"/>
  <c r="C101" i="43"/>
  <c r="B113" i="43"/>
  <c r="I115" i="43" s="1"/>
  <c r="J115" i="43" s="1"/>
  <c r="K115" i="43" s="1"/>
  <c r="L115" i="43" s="1"/>
  <c r="M115" i="43" s="1"/>
  <c r="F27" i="11"/>
  <c r="E27" i="6"/>
  <c r="E31" i="6" s="1"/>
  <c r="S7" i="43"/>
  <c r="T7" i="43" s="1"/>
  <c r="V7" i="43" s="1"/>
  <c r="Y11" i="43"/>
  <c r="Y13" i="43" s="1"/>
  <c r="AG11" i="43"/>
  <c r="AB11" i="43"/>
  <c r="AB13" i="43" s="1"/>
  <c r="AJ11" i="43"/>
  <c r="AJ13" i="43" s="1"/>
  <c r="M101" i="43"/>
  <c r="M109" i="43" s="1"/>
  <c r="AA11" i="43"/>
  <c r="AA13" i="43" s="1"/>
  <c r="AI11" i="43"/>
  <c r="AI13" i="43" s="1"/>
  <c r="AD11" i="43"/>
  <c r="S3" i="43"/>
  <c r="T3" i="43" s="1"/>
  <c r="V3" i="43" s="1"/>
  <c r="J22" i="43"/>
  <c r="F10" i="40"/>
  <c r="AA10" i="40" s="1"/>
  <c r="J10" i="39"/>
  <c r="J10" i="40"/>
  <c r="AY6" i="3"/>
  <c r="E3" i="6"/>
  <c r="C33" i="43"/>
  <c r="C34" i="43"/>
  <c r="C37" i="43"/>
  <c r="E37" i="43" s="1"/>
  <c r="J7" i="33"/>
  <c r="C15" i="71"/>
  <c r="D16" i="71"/>
  <c r="U16" i="71" s="1"/>
  <c r="T16" i="71"/>
  <c r="D51" i="71"/>
  <c r="C52" i="71"/>
  <c r="D47" i="71"/>
  <c r="C48" i="71"/>
  <c r="D43" i="71"/>
  <c r="C44" i="71"/>
  <c r="T28" i="71"/>
  <c r="D28" i="71"/>
  <c r="AC36" i="35"/>
  <c r="W36" i="35"/>
  <c r="AA34" i="35"/>
  <c r="S34" i="35"/>
  <c r="AB9" i="34"/>
  <c r="U9" i="34"/>
  <c r="E58" i="40"/>
  <c r="E63" i="39"/>
  <c r="AG13" i="43"/>
  <c r="AD13" i="43"/>
  <c r="I109" i="43"/>
  <c r="I104" i="43"/>
  <c r="I107" i="43"/>
  <c r="I105" i="43"/>
  <c r="I106" i="43"/>
  <c r="I102" i="43"/>
  <c r="I103" i="43"/>
  <c r="I63" i="40"/>
  <c r="H65" i="40"/>
  <c r="J70" i="39"/>
  <c r="K68" i="39"/>
  <c r="B15" i="71"/>
  <c r="B14" i="71" s="1"/>
  <c r="B13" i="71" s="1"/>
  <c r="B12" i="71" s="1"/>
  <c r="S16" i="71"/>
  <c r="F58" i="71"/>
  <c r="Q59" i="71"/>
  <c r="D35" i="71"/>
  <c r="C36" i="71"/>
  <c r="D31" i="71"/>
  <c r="C32" i="71"/>
  <c r="AB34" i="35"/>
  <c r="U34" i="35"/>
  <c r="E60" i="40"/>
  <c r="E65" i="39"/>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s="1"/>
  <c r="E5" i="71" s="1"/>
  <c r="V8" i="71"/>
  <c r="C47" i="69"/>
  <c r="D45" i="69" s="1"/>
  <c r="T5" i="43"/>
  <c r="V5" i="43" s="1"/>
  <c r="T13" i="43"/>
  <c r="V13" i="43" s="1"/>
  <c r="T10" i="43"/>
  <c r="V10" i="43" s="1"/>
  <c r="T6" i="43"/>
  <c r="V6" i="43" s="1"/>
  <c r="T4" i="43"/>
  <c r="V4" i="43" s="1"/>
  <c r="T9" i="43"/>
  <c r="V9" i="43" s="1"/>
  <c r="C29" i="43"/>
  <c r="E29" i="43" s="1"/>
  <c r="F27" i="68"/>
  <c r="C29" i="68" s="1"/>
  <c r="D27" i="68" s="1"/>
  <c r="F28" i="12"/>
  <c r="C29" i="12" s="1"/>
  <c r="D28" i="12" s="1"/>
  <c r="C29" i="69"/>
  <c r="D27" i="69" s="1"/>
  <c r="G36" i="43"/>
  <c r="I36" i="43" s="1"/>
  <c r="U10" i="39"/>
  <c r="C38" i="68"/>
  <c r="C35" i="68"/>
  <c r="C47" i="11"/>
  <c r="D45" i="11" s="1"/>
  <c r="C29" i="11"/>
  <c r="D27" i="11" s="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6" i="43"/>
  <c r="J116" i="43" s="1"/>
  <c r="K116" i="43" s="1"/>
  <c r="L116" i="43" s="1"/>
  <c r="M116" i="43" s="1"/>
  <c r="N16" i="1"/>
  <c r="L16" i="1"/>
  <c r="C34" i="11"/>
  <c r="F48" i="69"/>
  <c r="C30" i="69"/>
  <c r="C48" i="69"/>
  <c r="C48" i="11"/>
  <c r="C30" i="11"/>
  <c r="G35" i="43"/>
  <c r="I35" i="43" s="1"/>
  <c r="F7" i="33"/>
  <c r="E52" i="37"/>
  <c r="AB10" i="40"/>
  <c r="U10" i="40"/>
  <c r="S10" i="39"/>
  <c r="AA10" i="39"/>
  <c r="S7" i="21"/>
  <c r="AA7" i="21"/>
  <c r="R48" i="21" s="1"/>
  <c r="E46" i="36"/>
  <c r="W7" i="34"/>
  <c r="AC7" i="34"/>
  <c r="V49" i="34" s="1"/>
  <c r="I49" i="34" s="1"/>
  <c r="U7" i="33"/>
  <c r="AB7" i="33"/>
  <c r="T48" i="33" s="1"/>
  <c r="G48" i="33" s="1"/>
  <c r="W7" i="33"/>
  <c r="AC7" i="33"/>
  <c r="V48" i="33" s="1"/>
  <c r="I48" i="33" s="1"/>
  <c r="E48" i="35"/>
  <c r="U7" i="21"/>
  <c r="AB7" i="21"/>
  <c r="T48" i="21" s="1"/>
  <c r="G48" i="21" s="1"/>
  <c r="AC7" i="21"/>
  <c r="V48" i="21" s="1"/>
  <c r="I48" i="21" s="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C38" i="69" l="1"/>
  <c r="D117" i="43"/>
  <c r="E117" i="43" s="1"/>
  <c r="F117" i="43" s="1"/>
  <c r="G117" i="43" s="1"/>
  <c r="H117" i="43" s="1"/>
  <c r="D116" i="43"/>
  <c r="E116" i="43" s="1"/>
  <c r="F116" i="43" s="1"/>
  <c r="G116" i="43" s="1"/>
  <c r="H116" i="43" s="1"/>
  <c r="K19" i="6"/>
  <c r="S6" i="1" s="1"/>
  <c r="E6" i="70" s="1"/>
  <c r="I118" i="43"/>
  <c r="J118" i="43" s="1"/>
  <c r="K118" i="43" s="1"/>
  <c r="L118" i="43" s="1"/>
  <c r="M118" i="43" s="1"/>
  <c r="I117" i="43"/>
  <c r="J117" i="43" s="1"/>
  <c r="K117" i="43" s="1"/>
  <c r="L117" i="43" s="1"/>
  <c r="M117" i="43" s="1"/>
  <c r="K22" i="6"/>
  <c r="M22" i="6" s="1"/>
  <c r="I22" i="6" s="1"/>
  <c r="S10" i="40"/>
  <c r="B116" i="43"/>
  <c r="C116" i="43" s="1"/>
  <c r="K24" i="6"/>
  <c r="M24" i="6" s="1"/>
  <c r="I24" i="6" s="1"/>
  <c r="K20" i="6"/>
  <c r="E66" i="39"/>
  <c r="M103" i="43"/>
  <c r="M105" i="43"/>
  <c r="M102" i="43"/>
  <c r="D118" i="43"/>
  <c r="E118" i="43" s="1"/>
  <c r="F118" i="43" s="1"/>
  <c r="D115" i="43"/>
  <c r="E115" i="43" s="1"/>
  <c r="F115" i="43" s="1"/>
  <c r="G115" i="43" s="1"/>
  <c r="H115" i="43" s="1"/>
  <c r="B115" i="43"/>
  <c r="B117" i="43"/>
  <c r="C117" i="43" s="1"/>
  <c r="B118" i="43"/>
  <c r="C118" i="43" s="1"/>
  <c r="G118" i="43"/>
  <c r="H118" i="43" s="1"/>
  <c r="K25" i="6"/>
  <c r="M25" i="6" s="1"/>
  <c r="I25" i="6" s="1"/>
  <c r="K26" i="6"/>
  <c r="M26" i="6" s="1"/>
  <c r="I26" i="6" s="1"/>
  <c r="S26" i="6" s="1"/>
  <c r="K23" i="6"/>
  <c r="M23" i="6" s="1"/>
  <c r="I23" i="6" s="1"/>
  <c r="K21" i="6"/>
  <c r="M21" i="6" s="1"/>
  <c r="I21" i="6" s="1"/>
  <c r="S21" i="6" s="1"/>
  <c r="AC6" i="3"/>
  <c r="M107" i="43"/>
  <c r="M104" i="43"/>
  <c r="M106" i="43"/>
  <c r="C26" i="43"/>
  <c r="AC10" i="40"/>
  <c r="W10" i="40"/>
  <c r="H6" i="3"/>
  <c r="AC10" i="39"/>
  <c r="W10" i="39"/>
  <c r="T32" i="71"/>
  <c r="D32" i="71"/>
  <c r="T36" i="71"/>
  <c r="D36" i="71"/>
  <c r="J63" i="40"/>
  <c r="I65" i="40"/>
  <c r="D3" i="21"/>
  <c r="D3" i="33"/>
  <c r="D3" i="37"/>
  <c r="D3" i="34"/>
  <c r="L18" i="9"/>
  <c r="E6" i="6"/>
  <c r="D14" i="12"/>
  <c r="C17" i="4"/>
  <c r="B4" i="52" s="1"/>
  <c r="B43" i="72" s="1"/>
  <c r="M18" i="9"/>
  <c r="B118" i="9" s="1"/>
  <c r="B14" i="74" s="1"/>
  <c r="B1" i="74" s="1"/>
  <c r="D37" i="11"/>
  <c r="C37" i="11" s="1"/>
  <c r="D19" i="11"/>
  <c r="C19" i="11" s="1"/>
  <c r="Q58" i="71"/>
  <c r="Q57" i="71"/>
  <c r="B11" i="71"/>
  <c r="B10" i="71" s="1"/>
  <c r="B9" i="71" s="1"/>
  <c r="B8" i="71" s="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s="1"/>
  <c r="AQ6" i="1"/>
  <c r="AR6" i="1"/>
  <c r="T6" i="1"/>
  <c r="M20" i="6"/>
  <c r="I20" i="6" s="1"/>
  <c r="H20" i="6" s="1"/>
  <c r="S7" i="1"/>
  <c r="K27" i="6"/>
  <c r="M19" i="6"/>
  <c r="S24" i="6"/>
  <c r="H22" i="6"/>
  <c r="S22" i="6"/>
  <c r="S25" i="6"/>
  <c r="H25" i="6"/>
  <c r="H26" i="6"/>
  <c r="S23" i="6"/>
  <c r="H21" i="6"/>
  <c r="C38" i="11"/>
  <c r="C35" i="11"/>
  <c r="F50" i="11"/>
  <c r="F50" i="69"/>
  <c r="F50" i="68"/>
  <c r="D113" i="43"/>
  <c r="C115" i="43"/>
  <c r="R50" i="34"/>
  <c r="E49" i="34"/>
  <c r="G54" i="34"/>
  <c r="H54" i="34" s="1"/>
  <c r="G53" i="34"/>
  <c r="H53" i="34" s="1"/>
  <c r="I52" i="21"/>
  <c r="J52" i="21" s="1"/>
  <c r="F48" i="35"/>
  <c r="I53" i="34"/>
  <c r="J53" i="34" s="1"/>
  <c r="I54" i="34"/>
  <c r="J54" i="34" s="1"/>
  <c r="F46" i="36"/>
  <c r="F52" i="37"/>
  <c r="G52" i="21"/>
  <c r="H52" i="21" s="1"/>
  <c r="G53" i="21"/>
  <c r="H53" i="21" s="1"/>
  <c r="I52" i="33"/>
  <c r="J52" i="33" s="1"/>
  <c r="G52" i="33"/>
  <c r="H52" i="33" s="1"/>
  <c r="G53" i="33"/>
  <c r="H53" i="33" s="1"/>
  <c r="R49" i="21"/>
  <c r="E48" i="21"/>
  <c r="I53" i="21" s="1"/>
  <c r="J53" i="21" s="1"/>
  <c r="AA7" i="33"/>
  <c r="R48" i="33" s="1"/>
  <c r="S7" i="33"/>
  <c r="C27" i="43"/>
  <c r="J26" i="67"/>
  <c r="J24" i="67"/>
  <c r="J24" i="15"/>
  <c r="J26" i="15"/>
  <c r="C53" i="67"/>
  <c r="C48" i="67" s="1"/>
  <c r="C10" i="67"/>
  <c r="C5" i="67" s="1"/>
  <c r="C53" i="15"/>
  <c r="C48" i="15" s="1"/>
  <c r="C10" i="15"/>
  <c r="C5" i="15" s="1"/>
  <c r="F25" i="12"/>
  <c r="F22" i="69"/>
  <c r="F41" i="69" s="1"/>
  <c r="F24" i="67"/>
  <c r="C24" i="67" s="1"/>
  <c r="F22" i="11"/>
  <c r="F22" i="68"/>
  <c r="F24" i="15"/>
  <c r="C24" i="15" s="1"/>
  <c r="C17" i="15"/>
  <c r="F41" i="67"/>
  <c r="C17" i="67"/>
  <c r="C14" i="67"/>
  <c r="E6" i="76"/>
  <c r="C14" i="15"/>
  <c r="F41" i="15"/>
  <c r="H24" i="6" l="1"/>
  <c r="S20" i="6"/>
  <c r="E6" i="3"/>
  <c r="H23" i="6"/>
  <c r="C18" i="67"/>
  <c r="C15" i="67"/>
  <c r="C15" i="15"/>
  <c r="C18" i="15"/>
  <c r="M19" i="9"/>
  <c r="C118" i="9" s="1"/>
  <c r="C14" i="74" s="1"/>
  <c r="B2" i="74" s="1"/>
  <c r="D25" i="6"/>
  <c r="R25" i="6" s="1"/>
  <c r="D15" i="6"/>
  <c r="D22" i="6"/>
  <c r="R22" i="6" s="1"/>
  <c r="D23" i="6"/>
  <c r="D14" i="6"/>
  <c r="D12" i="6"/>
  <c r="D11" i="6"/>
  <c r="D13" i="6"/>
  <c r="D28" i="6"/>
  <c r="D19" i="6"/>
  <c r="D26" i="6"/>
  <c r="R26" i="6" s="1"/>
  <c r="C18" i="4"/>
  <c r="D21" i="6"/>
  <c r="R21" i="6" s="1"/>
  <c r="D24" i="6"/>
  <c r="R24" i="6" s="1"/>
  <c r="D20" i="6"/>
  <c r="R20" i="6" s="1"/>
  <c r="R7" i="1" s="1"/>
  <c r="D9" i="6"/>
  <c r="D10" i="6"/>
  <c r="L19" i="9"/>
  <c r="E61" i="40"/>
  <c r="D29" i="6"/>
  <c r="D8" i="6"/>
  <c r="D5" i="6"/>
  <c r="D6" i="6"/>
  <c r="L70" i="39"/>
  <c r="M68" i="39"/>
  <c r="D10" i="11"/>
  <c r="C10" i="11" s="1"/>
  <c r="D20" i="12"/>
  <c r="C20" i="12" s="1"/>
  <c r="D10" i="68"/>
  <c r="D10" i="69"/>
  <c r="S16" i="1"/>
  <c r="E7" i="70"/>
  <c r="E2" i="70" s="1"/>
  <c r="D14" i="71"/>
  <c r="C13" i="71"/>
  <c r="B7" i="71"/>
  <c r="B6" i="71" s="1"/>
  <c r="B5" i="71" s="1"/>
  <c r="S8" i="71"/>
  <c r="C20" i="11"/>
  <c r="C28" i="11" s="1"/>
  <c r="C27" i="11" s="1"/>
  <c r="C7" i="74"/>
  <c r="C8" i="74"/>
  <c r="D17" i="12"/>
  <c r="C17" i="12" s="1"/>
  <c r="C14" i="12"/>
  <c r="C16" i="12" s="1"/>
  <c r="J65" i="40"/>
  <c r="K63" i="40"/>
  <c r="F69" i="67"/>
  <c r="J29" i="67"/>
  <c r="F69" i="15"/>
  <c r="J29" i="15"/>
  <c r="AQ7" i="1"/>
  <c r="AR7" i="1"/>
  <c r="T7" i="1"/>
  <c r="T16" i="1" s="1"/>
  <c r="M27" i="6"/>
  <c r="I19" i="6"/>
  <c r="C19" i="68"/>
  <c r="C33" i="11"/>
  <c r="C39" i="11" s="1"/>
  <c r="C46" i="11" s="1"/>
  <c r="C45" i="11" s="1"/>
  <c r="R49" i="33"/>
  <c r="E48" i="33"/>
  <c r="C49" i="21"/>
  <c r="B2" i="21" s="1"/>
  <c r="B3" i="21" s="1"/>
  <c r="C48" i="21"/>
  <c r="E53" i="34"/>
  <c r="F53" i="34" s="1"/>
  <c r="E54" i="34"/>
  <c r="F54" i="34" s="1"/>
  <c r="E52" i="21"/>
  <c r="F52" i="21" s="1"/>
  <c r="E53" i="21"/>
  <c r="F53" i="21" s="1"/>
  <c r="G52" i="37"/>
  <c r="G46" i="36"/>
  <c r="G48" i="35"/>
  <c r="H48" i="35" s="1"/>
  <c r="I48" i="35" s="1"/>
  <c r="J48" i="35" s="1"/>
  <c r="K48" i="35" s="1"/>
  <c r="L48" i="35" s="1"/>
  <c r="M48" i="35" s="1"/>
  <c r="N48" i="35" s="1"/>
  <c r="O48" i="35" s="1"/>
  <c r="H7" i="35"/>
  <c r="C49" i="34"/>
  <c r="C50" i="34"/>
  <c r="B2" i="34" s="1"/>
  <c r="B3" i="34" s="1"/>
  <c r="F41" i="68"/>
  <c r="E2" i="76"/>
  <c r="B2" i="43"/>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M21" i="67"/>
  <c r="B6" i="76"/>
  <c r="F35" i="67"/>
  <c r="R23" i="6" l="1"/>
  <c r="D30" i="6"/>
  <c r="C43" i="11"/>
  <c r="D16" i="6"/>
  <c r="C19" i="15"/>
  <c r="C20" i="15" s="1"/>
  <c r="C26" i="15" s="1"/>
  <c r="C19" i="67"/>
  <c r="C20" i="67" s="1"/>
  <c r="C26" i="67" s="1"/>
  <c r="C42" i="11"/>
  <c r="C34" i="67"/>
  <c r="F63" i="67"/>
  <c r="C62" i="67" s="1"/>
  <c r="J20" i="67"/>
  <c r="C10" i="69"/>
  <c r="C8" i="69" s="1"/>
  <c r="C5" i="69" s="1"/>
  <c r="C23" i="69" s="1"/>
  <c r="D19" i="69"/>
  <c r="C4" i="52"/>
  <c r="B45" i="72" s="1"/>
  <c r="A10" i="51"/>
  <c r="B9" i="72" s="1"/>
  <c r="A7" i="51"/>
  <c r="B7" i="72" s="1"/>
  <c r="D27" i="6"/>
  <c r="D31" i="6" s="1"/>
  <c r="D7" i="74"/>
  <c r="D8" i="74"/>
  <c r="K65" i="40"/>
  <c r="L63" i="40"/>
  <c r="D13" i="71"/>
  <c r="C12" i="71"/>
  <c r="C10" i="68"/>
  <c r="B29" i="1" s="1"/>
  <c r="C8" i="68" s="1"/>
  <c r="D19" i="68"/>
  <c r="D37" i="68" s="1"/>
  <c r="C37" i="68" s="1"/>
  <c r="C33" i="68" s="1"/>
  <c r="M70" i="39"/>
  <c r="N68" i="39"/>
  <c r="S19" i="6"/>
  <c r="S27" i="6" s="1"/>
  <c r="I27" i="6"/>
  <c r="H19" i="6"/>
  <c r="AB7" i="35"/>
  <c r="T38" i="35" s="1"/>
  <c r="G38" i="35" s="1"/>
  <c r="U7" i="35"/>
  <c r="J7" i="35"/>
  <c r="H46" i="36"/>
  <c r="H52" i="37"/>
  <c r="C49" i="33"/>
  <c r="B2" i="33" s="1"/>
  <c r="B3" i="33" s="1"/>
  <c r="C48" i="33"/>
  <c r="E53" i="33"/>
  <c r="F53" i="33" s="1"/>
  <c r="E52" i="33"/>
  <c r="F52" i="33" s="1"/>
  <c r="I53" i="33"/>
  <c r="J53" i="33" s="1"/>
  <c r="F7" i="35"/>
  <c r="B2" i="76"/>
  <c r="B3" i="76" s="1"/>
  <c r="B3" i="43"/>
  <c r="C33" i="15"/>
  <c r="J59" i="15"/>
  <c r="J60" i="15" s="1"/>
  <c r="C22" i="11"/>
  <c r="C31" i="11" s="1"/>
  <c r="C33" i="67"/>
  <c r="C31" i="67" s="1"/>
  <c r="J59" i="67"/>
  <c r="J60" i="67" s="1"/>
  <c r="C18" i="12" l="1"/>
  <c r="C21" i="12" s="1"/>
  <c r="C22" i="12" s="1"/>
  <c r="C30" i="12" s="1"/>
  <c r="C28" i="12" s="1"/>
  <c r="C41" i="11"/>
  <c r="C49" i="11" s="1"/>
  <c r="C51" i="11" s="1"/>
  <c r="C52" i="11" s="1"/>
  <c r="B2" i="11" s="1"/>
  <c r="B3" i="11" s="1"/>
  <c r="C23" i="67"/>
  <c r="C29" i="67" s="1"/>
  <c r="C23" i="15"/>
  <c r="C29" i="15" s="1"/>
  <c r="C11" i="71"/>
  <c r="T12" i="71"/>
  <c r="D12" i="71"/>
  <c r="U12" i="71" s="1"/>
  <c r="L65" i="40"/>
  <c r="M63" i="40"/>
  <c r="I6" i="6"/>
  <c r="I5" i="6"/>
  <c r="C19" i="69"/>
  <c r="D37" i="69"/>
  <c r="C37" i="69" s="1"/>
  <c r="C33" i="69" s="1"/>
  <c r="O68" i="39"/>
  <c r="O70" i="39" s="1"/>
  <c r="F7" i="39" s="1"/>
  <c r="N70" i="39"/>
  <c r="J7" i="39" s="1"/>
  <c r="C39" i="68"/>
  <c r="C42" i="68"/>
  <c r="H27" i="6"/>
  <c r="R19" i="6"/>
  <c r="AA7" i="35"/>
  <c r="R38" i="35" s="1"/>
  <c r="S7" i="35"/>
  <c r="I52" i="37"/>
  <c r="I46" i="36"/>
  <c r="AC7" i="35"/>
  <c r="V38" i="35" s="1"/>
  <c r="I38" i="35" s="1"/>
  <c r="W7" i="35"/>
  <c r="G42" i="35"/>
  <c r="H42" i="35" s="1"/>
  <c r="G43" i="35"/>
  <c r="H43" i="35" s="1"/>
  <c r="Q48" i="15"/>
  <c r="Q48" i="67"/>
  <c r="C27" i="12" l="1"/>
  <c r="C25" i="12" s="1"/>
  <c r="C32" i="12" s="1"/>
  <c r="B2" i="12" s="1"/>
  <c r="B3" i="12" s="1"/>
  <c r="C36" i="67"/>
  <c r="J14" i="67"/>
  <c r="J19" i="67"/>
  <c r="J17" i="67" s="1"/>
  <c r="Q49" i="67"/>
  <c r="C13" i="67"/>
  <c r="C57" i="67"/>
  <c r="J14" i="15"/>
  <c r="C36" i="15"/>
  <c r="C13" i="15"/>
  <c r="J19" i="15"/>
  <c r="C57" i="15"/>
  <c r="Q49" i="15"/>
  <c r="S7" i="39"/>
  <c r="AA7" i="39"/>
  <c r="R47" i="39" s="1"/>
  <c r="W7" i="39"/>
  <c r="AC7" i="39"/>
  <c r="V47" i="39" s="1"/>
  <c r="I47" i="39" s="1"/>
  <c r="C42" i="69"/>
  <c r="C39" i="69"/>
  <c r="M65" i="40"/>
  <c r="N63" i="40"/>
  <c r="C10" i="71"/>
  <c r="D11" i="71"/>
  <c r="H7" i="39"/>
  <c r="C46" i="68"/>
  <c r="C45" i="68" s="1"/>
  <c r="C43" i="68"/>
  <c r="C41" i="68" s="1"/>
  <c r="C24" i="69"/>
  <c r="C20" i="69"/>
  <c r="R27" i="6"/>
  <c r="R6" i="1"/>
  <c r="I42" i="35"/>
  <c r="J42" i="35" s="1"/>
  <c r="J46" i="36"/>
  <c r="J52" i="37"/>
  <c r="K52" i="37" s="1"/>
  <c r="L52" i="37" s="1"/>
  <c r="M52" i="37" s="1"/>
  <c r="N52" i="37" s="1"/>
  <c r="O52" i="37" s="1"/>
  <c r="H7" i="37"/>
  <c r="R39" i="35"/>
  <c r="E38" i="35"/>
  <c r="I43" i="35" s="1"/>
  <c r="J43" i="35" s="1"/>
  <c r="C56" i="11"/>
  <c r="C57" i="11" s="1"/>
  <c r="F35" i="15"/>
  <c r="M21" i="15"/>
  <c r="C64" i="67" l="1"/>
  <c r="C61" i="67"/>
  <c r="C59" i="67" s="1"/>
  <c r="J22" i="67"/>
  <c r="J13" i="67"/>
  <c r="J23" i="67" s="1"/>
  <c r="C56" i="67"/>
  <c r="C65" i="67" s="1"/>
  <c r="Q70" i="67"/>
  <c r="C75" i="67"/>
  <c r="C37" i="67"/>
  <c r="C30" i="67" s="1"/>
  <c r="C39" i="67" s="1"/>
  <c r="C49" i="68"/>
  <c r="C51" i="68" s="1"/>
  <c r="C61" i="15"/>
  <c r="C64" i="15"/>
  <c r="Q70" i="15"/>
  <c r="C75" i="15"/>
  <c r="C56" i="15"/>
  <c r="C65" i="15" s="1"/>
  <c r="C37" i="15"/>
  <c r="J13" i="15"/>
  <c r="J23" i="15" s="1"/>
  <c r="J22" i="15"/>
  <c r="J7" i="37"/>
  <c r="F7" i="37"/>
  <c r="N65" i="40"/>
  <c r="O63" i="40"/>
  <c r="O65" i="40" s="1"/>
  <c r="J7" i="40" s="1"/>
  <c r="C43" i="69"/>
  <c r="C41" i="69" s="1"/>
  <c r="C46" i="69"/>
  <c r="C45" i="69" s="1"/>
  <c r="I51" i="39"/>
  <c r="J51" i="39" s="1"/>
  <c r="E47" i="39"/>
  <c r="I52" i="39" s="1"/>
  <c r="J52" i="39" s="1"/>
  <c r="C28" i="69"/>
  <c r="C27" i="69" s="1"/>
  <c r="C25" i="69"/>
  <c r="C22" i="69" s="1"/>
  <c r="AB7" i="39"/>
  <c r="T47" i="39" s="1"/>
  <c r="G47" i="39" s="1"/>
  <c r="U7" i="39"/>
  <c r="C9" i="71"/>
  <c r="D10" i="71"/>
  <c r="F63" i="15"/>
  <c r="C62" i="15" s="1"/>
  <c r="C59" i="15" s="1"/>
  <c r="C34" i="15"/>
  <c r="C31" i="15" s="1"/>
  <c r="C30" i="15" s="1"/>
  <c r="C39" i="15" s="1"/>
  <c r="J20" i="15"/>
  <c r="J17" i="15" s="1"/>
  <c r="R16" i="1"/>
  <c r="C39" i="35"/>
  <c r="B2" i="35" s="1"/>
  <c r="B3" i="35" s="1"/>
  <c r="C38" i="35"/>
  <c r="E43" i="35"/>
  <c r="F43" i="35" s="1"/>
  <c r="E42" i="35"/>
  <c r="F42" i="35" s="1"/>
  <c r="U7" i="37"/>
  <c r="AB7" i="37"/>
  <c r="T42" i="37" s="1"/>
  <c r="G42" i="37" s="1"/>
  <c r="K46" i="36"/>
  <c r="S7" i="37"/>
  <c r="AA7" i="37"/>
  <c r="R42" i="37" s="1"/>
  <c r="W7" i="37"/>
  <c r="AC7" i="37"/>
  <c r="V42" i="37" s="1"/>
  <c r="I42" i="37" s="1"/>
  <c r="L57" i="67"/>
  <c r="L60" i="67" s="1"/>
  <c r="L46" i="67" s="1"/>
  <c r="L51" i="67"/>
  <c r="L51" i="15"/>
  <c r="J16" i="15" l="1"/>
  <c r="J25" i="15" s="1"/>
  <c r="C58" i="15"/>
  <c r="C67" i="15" s="1"/>
  <c r="C68" i="15" s="1"/>
  <c r="C71" i="15" s="1"/>
  <c r="C58" i="67"/>
  <c r="C67" i="67" s="1"/>
  <c r="C68" i="67" s="1"/>
  <c r="C71" i="67" s="1"/>
  <c r="Q67" i="67"/>
  <c r="C40" i="67"/>
  <c r="Q69" i="67"/>
  <c r="Q68" i="67" s="1"/>
  <c r="C31" i="69"/>
  <c r="C80" i="67"/>
  <c r="C79" i="67" s="1"/>
  <c r="J16" i="67"/>
  <c r="J25" i="67" s="1"/>
  <c r="R48" i="39"/>
  <c r="C47" i="39" s="1"/>
  <c r="C49" i="69"/>
  <c r="C51" i="69" s="1"/>
  <c r="C48" i="39"/>
  <c r="C8" i="71"/>
  <c r="D9" i="71"/>
  <c r="G52" i="39"/>
  <c r="H52" i="39" s="1"/>
  <c r="G51" i="39"/>
  <c r="H51" i="39" s="1"/>
  <c r="E51" i="39"/>
  <c r="F51" i="39" s="1"/>
  <c r="E52" i="39"/>
  <c r="F52" i="39" s="1"/>
  <c r="F7" i="40"/>
  <c r="H7" i="40"/>
  <c r="W7" i="40"/>
  <c r="AC7" i="40"/>
  <c r="V42" i="40" s="1"/>
  <c r="I42" i="40" s="1"/>
  <c r="Q67" i="15"/>
  <c r="L57" i="15"/>
  <c r="L60" i="15" s="1"/>
  <c r="L46" i="15" s="1"/>
  <c r="C40" i="15"/>
  <c r="C80" i="15"/>
  <c r="C79" i="15" s="1"/>
  <c r="Q69" i="15"/>
  <c r="Q68" i="15" s="1"/>
  <c r="G46" i="37"/>
  <c r="H46" i="37" s="1"/>
  <c r="G47" i="37"/>
  <c r="H47" i="37" s="1"/>
  <c r="I47" i="37"/>
  <c r="J47" i="37" s="1"/>
  <c r="I46" i="37"/>
  <c r="J46" i="37" s="1"/>
  <c r="R43" i="37"/>
  <c r="E42" i="37"/>
  <c r="L46" i="36"/>
  <c r="Q66" i="67"/>
  <c r="Q57" i="67"/>
  <c r="C52" i="69" l="1"/>
  <c r="B2" i="69" s="1"/>
  <c r="B3" i="69" s="1"/>
  <c r="C46" i="15"/>
  <c r="C43" i="67"/>
  <c r="Q56" i="67"/>
  <c r="Q62" i="67" s="1"/>
  <c r="C83" i="67"/>
  <c r="C82" i="67" s="1"/>
  <c r="Q47" i="67"/>
  <c r="Q53" i="67" s="1"/>
  <c r="Q65" i="67"/>
  <c r="Q75" i="67" s="1"/>
  <c r="C45" i="67"/>
  <c r="C46" i="67" s="1"/>
  <c r="D2" i="67"/>
  <c r="I46" i="40"/>
  <c r="J46" i="40" s="1"/>
  <c r="S7" i="40"/>
  <c r="AA7" i="40"/>
  <c r="R42" i="40" s="1"/>
  <c r="C7" i="71"/>
  <c r="T8" i="71"/>
  <c r="D8" i="71"/>
  <c r="U8" i="71" s="1"/>
  <c r="AB7" i="40"/>
  <c r="T42" i="40" s="1"/>
  <c r="G42" i="40" s="1"/>
  <c r="U7" i="40"/>
  <c r="B59" i="39"/>
  <c r="F59" i="39" s="1"/>
  <c r="B60" i="39"/>
  <c r="F60" i="39" s="1"/>
  <c r="B62" i="39"/>
  <c r="F62" i="39" s="1"/>
  <c r="B63" i="39"/>
  <c r="F63" i="39" s="1"/>
  <c r="B61" i="39"/>
  <c r="F61" i="39" s="1"/>
  <c r="B58" i="39"/>
  <c r="F58" i="39" s="1"/>
  <c r="B65" i="39"/>
  <c r="F65" i="39" s="1"/>
  <c r="B56" i="39"/>
  <c r="F56" i="39" s="1"/>
  <c r="B57" i="39"/>
  <c r="F57" i="39" s="1"/>
  <c r="B64" i="39"/>
  <c r="F64" i="39" s="1"/>
  <c r="Q57" i="15"/>
  <c r="Q66" i="15"/>
  <c r="Q56" i="15"/>
  <c r="C43" i="15"/>
  <c r="C83" i="15"/>
  <c r="C82" i="15" s="1"/>
  <c r="Q65" i="15"/>
  <c r="Q75" i="15" s="1"/>
  <c r="Q47" i="15"/>
  <c r="Q53" i="15" s="1"/>
  <c r="B2" i="15"/>
  <c r="E47" i="37"/>
  <c r="F47" i="37" s="1"/>
  <c r="E46" i="37"/>
  <c r="F46" i="37" s="1"/>
  <c r="M46" i="36"/>
  <c r="N46" i="36" s="1"/>
  <c r="O46" i="36" s="1"/>
  <c r="H7" i="36" s="1"/>
  <c r="C43" i="37"/>
  <c r="B2" i="37" s="1"/>
  <c r="B3" i="37" s="1"/>
  <c r="C42" i="37"/>
  <c r="AO6" i="1"/>
  <c r="C57" i="69" l="1"/>
  <c r="C56" i="69" s="1"/>
  <c r="Q62" i="15"/>
  <c r="B3" i="67"/>
  <c r="B2" i="67"/>
  <c r="J7" i="36"/>
  <c r="W7" i="36" s="1"/>
  <c r="G46" i="40"/>
  <c r="H46" i="40" s="1"/>
  <c r="G47" i="40"/>
  <c r="H47" i="40" s="1"/>
  <c r="R43" i="40"/>
  <c r="E42" i="40"/>
  <c r="F66" i="39"/>
  <c r="B2" i="39" s="1"/>
  <c r="D7" i="71"/>
  <c r="C6" i="71"/>
  <c r="B6" i="70"/>
  <c r="B3" i="15"/>
  <c r="F7" i="36"/>
  <c r="U7" i="36"/>
  <c r="AB7" i="36"/>
  <c r="T36" i="36" s="1"/>
  <c r="G36" i="36" s="1"/>
  <c r="AO7" i="1"/>
  <c r="B7" i="70" l="1"/>
  <c r="B2" i="70" s="1"/>
  <c r="AC7" i="36"/>
  <c r="V36" i="36" s="1"/>
  <c r="I36" i="36" s="1"/>
  <c r="I40" i="36" s="1"/>
  <c r="J40" i="36" s="1"/>
  <c r="C5" i="71"/>
  <c r="D6" i="71"/>
  <c r="B3" i="39"/>
  <c r="C6" i="68"/>
  <c r="C7" i="68" s="1"/>
  <c r="C5" i="68" s="1"/>
  <c r="C43" i="40"/>
  <c r="C42" i="40"/>
  <c r="E47" i="40"/>
  <c r="F47" i="40" s="1"/>
  <c r="E46" i="40"/>
  <c r="F46" i="40" s="1"/>
  <c r="I47" i="40"/>
  <c r="J47" i="40" s="1"/>
  <c r="AA7" i="36"/>
  <c r="R36" i="36" s="1"/>
  <c r="S7" i="36"/>
  <c r="G40" i="36"/>
  <c r="H40" i="36" s="1"/>
  <c r="D19" i="9"/>
  <c r="D21" i="9" l="1"/>
  <c r="D102" i="9"/>
  <c r="B3" i="70"/>
  <c r="C23" i="68"/>
  <c r="C20" i="68"/>
  <c r="C25" i="68" s="1"/>
  <c r="G41" i="36"/>
  <c r="H41" i="36"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 i="71"/>
  <c r="M20" i="43"/>
  <c r="R37" i="36"/>
  <c r="E36" i="36"/>
  <c r="D20" i="9"/>
  <c r="C28" i="68" l="1"/>
  <c r="C27" i="68" s="1"/>
  <c r="D103" i="9"/>
  <c r="C22" i="68"/>
  <c r="C37" i="36"/>
  <c r="B2" i="36" s="1"/>
  <c r="B3" i="36" s="1"/>
  <c r="C36" i="36"/>
  <c r="E40" i="36"/>
  <c r="F40" i="36" s="1"/>
  <c r="E41" i="36"/>
  <c r="F41" i="36" s="1"/>
  <c r="I41" i="36"/>
  <c r="J41" i="36" s="1"/>
  <c r="C31" i="68" l="1"/>
  <c r="C52" i="68" s="1"/>
  <c r="C57" i="68" s="1"/>
  <c r="C56" i="68" s="1"/>
  <c r="B2" i="68" l="1"/>
  <c r="C19" i="9"/>
  <c r="C102" i="9" l="1"/>
  <c r="D22" i="9"/>
  <c r="C21" i="9"/>
  <c r="G19" i="9"/>
  <c r="G21" i="9" s="1"/>
  <c r="B3" i="68"/>
  <c r="C20" i="9"/>
  <c r="C103" i="9" l="1"/>
  <c r="G20" i="9"/>
  <c r="C32" i="9" s="1"/>
  <c r="C35" i="9" s="1"/>
  <c r="H118" i="9" l="1"/>
  <c r="H4" i="52" s="1"/>
  <c r="C34" i="9"/>
  <c r="D118" i="9" s="1"/>
  <c r="F118" i="9"/>
  <c r="D14" i="74" l="1"/>
  <c r="C104" i="9"/>
  <c r="I118" i="9"/>
  <c r="C105" i="9" s="1"/>
  <c r="H101" i="9"/>
  <c r="H107" i="9" s="1"/>
  <c r="H119" i="9"/>
  <c r="H5" i="52" s="1"/>
  <c r="D4" i="52"/>
  <c r="B47" i="72" s="1"/>
  <c r="D119" i="9"/>
  <c r="D5" i="52" s="1"/>
  <c r="B49" i="72" s="1"/>
  <c r="D45" i="9"/>
  <c r="F4" i="52"/>
  <c r="B51" i="72" s="1"/>
  <c r="F119" i="9"/>
  <c r="F5" i="52" s="1"/>
  <c r="B53" i="72" s="1"/>
  <c r="G118" i="9"/>
  <c r="G4" i="52" s="1"/>
  <c r="B52" i="72" s="1"/>
  <c r="E14" i="74" l="1"/>
  <c r="AA24" i="1"/>
  <c r="F14" i="74"/>
  <c r="M48" i="9"/>
  <c r="I4" i="52"/>
  <c r="B5" i="74"/>
  <c r="C5" i="74" s="1"/>
  <c r="H102" i="9"/>
  <c r="D7" i="53" s="1"/>
  <c r="B21" i="72" s="1"/>
  <c r="D5" i="53"/>
  <c r="D6" i="53" s="1"/>
  <c r="B22" i="72" s="1"/>
  <c r="E118" i="9"/>
  <c r="E4" i="52" s="1"/>
  <c r="B48" i="72" s="1"/>
  <c r="B20" i="72"/>
  <c r="D122" i="9"/>
  <c r="H108" i="9"/>
  <c r="D15" i="53" s="1"/>
  <c r="B31" i="72" s="1"/>
  <c r="M49" i="9"/>
  <c r="D13" i="53"/>
  <c r="C78" i="9"/>
  <c r="C73" i="9" s="1"/>
  <c r="C72" i="9"/>
  <c r="D52" i="9"/>
  <c r="D55" i="9"/>
  <c r="M53" i="9" s="1"/>
  <c r="D53" i="9"/>
  <c r="C93" i="9"/>
  <c r="C86" i="9" s="1"/>
  <c r="C85" i="9"/>
  <c r="C64" i="9"/>
  <c r="C63" i="9" s="1"/>
  <c r="C67" i="9" s="1"/>
  <c r="AA19" i="1" l="1"/>
  <c r="AA21" i="1"/>
  <c r="AA23" i="1"/>
  <c r="AA20" i="1"/>
  <c r="AA22" i="1"/>
  <c r="D5" i="74"/>
  <c r="C79" i="9"/>
  <c r="C80" i="9" s="1"/>
  <c r="E80" i="9" s="1"/>
  <c r="E81" i="9" s="1"/>
  <c r="D59" i="9"/>
  <c r="M55" i="9" s="1"/>
  <c r="C68" i="9"/>
  <c r="D54" i="9" s="1"/>
  <c r="D14" i="53"/>
  <c r="B32" i="72" s="1"/>
  <c r="B30" i="72"/>
  <c r="C95" i="9"/>
  <c r="L65" i="9"/>
  <c r="M65" i="9" s="1"/>
  <c r="L67" i="9"/>
  <c r="M67" i="9" s="1"/>
  <c r="L68" i="9"/>
  <c r="M68" i="9" s="1"/>
  <c r="L64" i="9"/>
  <c r="M64" i="9" s="1"/>
  <c r="L66" i="9"/>
  <c r="M66" i="9" s="1"/>
  <c r="L63" i="9"/>
  <c r="M63" i="9" s="1"/>
  <c r="D8" i="52"/>
  <c r="D123" i="9"/>
  <c r="D9" i="52" s="1"/>
  <c r="G14" i="74"/>
  <c r="B6" i="74" s="1"/>
  <c r="C81" i="9" l="1"/>
  <c r="M69" i="9"/>
  <c r="N69" i="9" s="1"/>
  <c r="C6" i="74"/>
  <c r="D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<sst xmlns="http://schemas.openxmlformats.org/spreadsheetml/2006/main" count="8217" uniqueCount="3303">
  <si>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</si>
  <si>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</si>
  <si>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</si>
  <si>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</si>
  <si>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</si>
  <si>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</si>
  <si>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</si>
  <si>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</si>
  <si>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</si>
  <si>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</si>
  <si>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</si>
  <si>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</si>
  <si>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</si>
  <si>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</si>
  <si>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</si>
  <si>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</si>
  <si>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</si>
  <si>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</si>
  <si>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</si>
  <si>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</si>
  <si>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</si>
  <si>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</si>
  <si>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</si>
  <si>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</si>
  <si>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</si>
  <si>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</si>
  <si>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</si>
  <si>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</si>
  <si>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</si>
  <si>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</si>
  <si>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</si>
  <si>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</si>
  <si>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</si>
  <si>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</si>
  <si>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</si>
  <si>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</si>
  <si>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</si>
  <si>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</si>
  <si>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</si>
  <si>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</si>
  <si>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</si>
  <si>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</si>
  <si>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</si>
  <si>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</si>
  <si>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</si>
  <si>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</si>
  <si>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</si>
  <si>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</si>
  <si>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</si>
  <si>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</si>
  <si>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</si>
  <si>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</si>
  <si>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</si>
  <si>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</si>
  <si>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</si>
  <si>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</si>
  <si>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</si>
  <si>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</si>
  <si>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</si>
  <si>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</si>
  <si>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</si>
  <si>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</si>
  <si>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</si>
  <si>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</si>
  <si>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</si>
  <si>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</si>
  <si>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</si>
  <si>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</si>
  <si>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</si>
  <si>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</si>
  <si>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</si>
  <si>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</si>
  <si>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</si>
  <si>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</si>
  <si>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</si>
  <si>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</si>
  <si>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</si>
  <si>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</si>
  <si>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</si>
  <si>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</si>
  <si>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</si>
  <si>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</si>
  <si>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</si>
  <si>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</si>
  <si>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</si>
  <si>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</si>
  <si>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</si>
  <si>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</si>
  <si>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</si>
  <si>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</si>
  <si>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</si>
  <si>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</si>
  <si>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</si>
  <si>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</si>
  <si>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</si>
  <si>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</si>
  <si>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</si>
  <si>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</si>
  <si>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</si>
  <si>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</si>
  <si>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</si>
  <si>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</si>
  <si>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</si>
  <si>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</si>
  <si>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</si>
  <si>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</si>
  <si>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</si>
  <si>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</si>
  <si>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</si>
  <si>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</si>
  <si>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</si>
  <si>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</si>
  <si>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</si>
  <si>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</si>
  <si>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</si>
  <si>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</si>
  <si>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</si>
  <si>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</si>
  <si>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</si>
  <si>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</si>
  <si>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</si>
  <si>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</si>
  <si>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</si>
  <si>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</si>
  <si>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</si>
  <si>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</si>
  <si>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</si>
  <si>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</si>
  <si>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</si>
  <si>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</si>
  <si>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</si>
  <si>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</si>
  <si>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</si>
  <si>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</si>
  <si>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</si>
  <si>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</si>
  <si>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</si>
  <si>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</si>
  <si>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</si>
  <si>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</si>
  <si>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</si>
  <si>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</si>
  <si>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</si>
  <si>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</si>
  <si>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</si>
  <si>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</si>
  <si>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</si>
  <si>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</si>
  <si>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</si>
  <si>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</si>
  <si>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</si>
  <si>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</si>
  <si>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</si>
  <si>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</si>
  <si>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</si>
  <si>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</si>
  <si>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</si>
  <si>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</si>
  <si>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</si>
  <si>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</si>
  <si>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</si>
  <si>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</si>
  <si>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</si>
  <si>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</si>
  <si>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</si>
  <si>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</si>
  <si>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</si>
  <si>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</si>
  <si>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</si>
  <si>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</si>
  <si>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</si>
  <si>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</si>
  <si>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</si>
  <si>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</si>
  <si>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</si>
  <si>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</si>
  <si>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</si>
  <si>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</si>
  <si>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</si>
  <si>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</si>
  <si>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</si>
  <si>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</si>
  <si>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</si>
  <si>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</si>
  <si>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</si>
  <si>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</si>
  <si>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</si>
  <si>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</si>
  <si>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</si>
  <si>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</si>
  <si>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</si>
  <si>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</si>
  <si>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</si>
  <si>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</si>
  <si>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</si>
  <si>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</si>
  <si>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</si>
  <si>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</si>
  <si>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</si>
  <si>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</si>
  <si>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</si>
  <si>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</si>
  <si>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</si>
  <si>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</si>
  <si>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</si>
  <si>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</si>
  <si>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</si>
  <si>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</si>
  <si>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</si>
  <si>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</si>
  <si>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</si>
  <si>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</si>
  <si>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</si>
  <si>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</si>
  <si>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</si>
  <si>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</si>
  <si>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</si>
  <si>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</si>
  <si>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</si>
  <si>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</si>
  <si>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</si>
  <si>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</si>
  <si>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</si>
  <si>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</si>
  <si>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</si>
  <si>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</si>
  <si>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</si>
  <si>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</si>
  <si>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</si>
  <si>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</si>
  <si>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</si>
  <si>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</si>
  <si>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</si>
  <si>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</si>
  <si>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</si>
  <si>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</si>
  <si>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</si>
  <si>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</si>
  <si>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</si>
  <si>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</si>
  <si>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</si>
  <si>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</si>
  <si>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</si>
  <si>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</si>
  <si>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</si>
  <si>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</si>
  <si>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</si>
  <si>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</si>
  <si>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</si>
  <si>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</si>
  <si>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</si>
  <si>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</si>
  <si>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</si>
  <si>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</si>
  <si>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</si>
  <si>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</si>
  <si>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</si>
  <si>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</si>
  <si>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</si>
  <si>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</si>
  <si>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</si>
  <si>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</si>
  <si>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</si>
  <si>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</si>
  <si>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</si>
  <si>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</si>
  <si>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</si>
  <si>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</si>
  <si>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</si>
  <si>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</si>
  <si>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</si>
  <si>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</si>
  <si>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</si>
  <si>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</si>
  <si>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</si>
  <si>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</si>
  <si>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</si>
  <si>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</si>
  <si>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</si>
  <si>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</si>
  <si>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</si>
  <si>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</si>
  <si>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</si>
  <si>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</si>
  <si>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</si>
  <si>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</si>
  <si>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</si>
  <si>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</si>
  <si>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</si>
  <si>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</si>
  <si>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</si>
  <si>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</si>
  <si>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</si>
  <si>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</si>
  <si>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</si>
  <si>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</si>
  <si>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</si>
  <si>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</si>
  <si>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</si>
  <si>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</si>
  <si>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</si>
  <si>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</si>
  <si>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</si>
  <si>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</si>
  <si>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</si>
  <si>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</si>
  <si>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</si>
  <si>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</si>
  <si>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</si>
  <si>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</si>
  <si>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</si>
  <si>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</si>
  <si>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</si>
  <si>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</si>
  <si>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</si>
  <si>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</si>
  <si>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</si>
  <si>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</si>
  <si>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</si>
  <si>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</si>
  <si>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</si>
  <si>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</si>
  <si>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</si>
  <si>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</si>
  <si>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</si>
  <si>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</si>
  <si>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</si>
  <si>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</si>
  <si>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</si>
  <si>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</si>
  <si>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</si>
  <si>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</si>
  <si>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</si>
  <si>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</si>
  <si>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</si>
  <si>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</si>
  <si>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</si>
  <si>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</si>
  <si>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</si>
  <si>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</si>
  <si>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</si>
  <si>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</si>
  <si>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</si>
  <si>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</si>
  <si>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</si>
  <si>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</si>
  <si>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</si>
  <si>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</si>
  <si>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</si>
  <si>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</si>
  <si>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</si>
  <si>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</si>
  <si>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</si>
  <si>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</si>
  <si>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</si>
  <si>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</si>
  <si>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</si>
  <si>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</si>
  <si>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</si>
  <si>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</si>
  <si>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</si>
  <si>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</si>
  <si>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</si>
  <si>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</si>
  <si>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</si>
  <si>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</si>
  <si>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</si>
  <si>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</si>
  <si>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</si>
  <si>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</si>
  <si>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</si>
  <si>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</si>
  <si>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</si>
  <si>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</si>
  <si>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</si>
  <si>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</si>
  <si>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</si>
  <si>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</si>
  <si>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</si>
  <si>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</si>
  <si>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</si>
  <si>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</si>
  <si>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</si>
  <si>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</si>
  <si>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</si>
  <si>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</si>
  <si>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</si>
  <si>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</si>
  <si>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</si>
  <si>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</si>
  <si>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</si>
  <si>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</si>
  <si>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</si>
  <si>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</si>
  <si>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</si>
  <si>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</si>
  <si>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</si>
  <si>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</si>
  <si>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</si>
  <si>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</si>
  <si>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</si>
  <si>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</si>
  <si>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</si>
  <si>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</si>
  <si>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</si>
  <si>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</si>
  <si>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</si>
  <si>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</si>
  <si>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</si>
  <si>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</si>
  <si>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</si>
  <si>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</si>
  <si>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</si>
  <si>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</si>
  <si>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</si>
  <si>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</si>
  <si>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</si>
  <si>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</si>
  <si>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</si>
  <si>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</si>
  <si>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</si>
  <si>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</si>
  <si>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</si>
  <si>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</si>
  <si>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</si>
  <si>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</si>
  <si>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</si>
  <si>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</si>
  <si>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</si>
  <si>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</si>
  <si>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</si>
  <si>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</si>
  <si>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</si>
  <si>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</si>
  <si>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</si>
  <si>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</si>
  <si>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</si>
  <si>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</si>
  <si>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</si>
  <si>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</si>
  <si>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</si>
  <si>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</si>
  <si>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</si>
  <si>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</si>
  <si>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</si>
  <si>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</si>
  <si>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</si>
  <si>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</si>
  <si>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</si>
  <si>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</si>
  <si>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</si>
  <si>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</si>
  <si>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</si>
  <si>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</si>
  <si>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</si>
  <si>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</si>
  <si>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</si>
  <si>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</si>
  <si>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</si>
  <si>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</si>
  <si>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</si>
  <si>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</si>
  <si>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</si>
  <si>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</si>
  <si>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</si>
  <si>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</si>
  <si>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</si>
  <si>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</si>
  <si>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</si>
  <si>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</si>
  <si>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</si>
  <si>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</si>
  <si>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</si>
  <si>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</si>
  <si>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</si>
  <si>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</si>
  <si>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</si>
  <si>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</si>
  <si>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</si>
  <si>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</si>
  <si>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</si>
  <si>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</si>
  <si>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</si>
  <si>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</si>
  <si>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</si>
  <si>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</si>
  <si>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</si>
  <si>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</si>
  <si>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</si>
  <si>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</si>
  <si>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</si>
  <si>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</si>
  <si>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</si>
  <si>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</si>
  <si>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</si>
  <si>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</si>
  <si>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</si>
  <si>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</si>
  <si>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</si>
  <si>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</si>
  <si>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</si>
  <si>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</si>
  <si>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</si>
  <si>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</si>
  <si>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</si>
  <si>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</si>
  <si>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</si>
  <si>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</si>
  <si>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</si>
  <si>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</si>
  <si>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</si>
  <si>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</si>
  <si>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</si>
  <si>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</si>
  <si>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</si>
  <si>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</si>
  <si>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</si>
  <si>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</si>
  <si>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</si>
  <si>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</si>
  <si>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</si>
  <si>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</si>
  <si>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</si>
  <si>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</si>
  <si>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</si>
  <si>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</si>
  <si>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</si>
  <si>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</si>
  <si>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</si>
  <si>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</si>
  <si>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</si>
  <si>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</si>
  <si>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</si>
  <si>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</si>
  <si>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</si>
  <si>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</si>
  <si>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</si>
  <si>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</si>
  <si>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</si>
  <si>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</si>
  <si>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</si>
  <si>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</si>
  <si>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</si>
  <si>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</si>
  <si>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</si>
  <si>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</si>
  <si>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</si>
  <si>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</si>
  <si>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</si>
  <si>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</si>
  <si>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</si>
  <si>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</si>
  <si>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</si>
  <si>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</si>
  <si>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</si>
  <si>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</si>
  <si>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</si>
  <si>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</si>
  <si>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</si>
  <si>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</si>
  <si>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</si>
  <si>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</si>
  <si>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</si>
  <si>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</si>
  <si>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</si>
  <si>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</si>
  <si>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</si>
  <si>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</si>
  <si>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</si>
  <si>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</si>
  <si>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</si>
  <si>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</si>
  <si>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</si>
  <si>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</si>
  <si>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</si>
  <si>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</si>
  <si>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</si>
  <si>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</si>
  <si>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</si>
  <si>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</si>
  <si>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</si>
  <si>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</si>
  <si>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</si>
  <si>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</si>
  <si>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</si>
  <si>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</si>
  <si>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</si>
  <si>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</si>
  <si>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</si>
  <si>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</si>
  <si>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</si>
  <si>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</si>
  <si>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</si>
  <si>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</si>
  <si>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</si>
  <si>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</si>
  <si>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</si>
  <si>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</si>
  <si>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</si>
  <si>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</si>
  <si>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</si>
  <si>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</si>
  <si>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</si>
  <si>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</si>
  <si>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</si>
  <si>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</si>
  <si>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</si>
  <si>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</si>
  <si>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</si>
  <si>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</si>
  <si>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</si>
  <si>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</si>
  <si>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</si>
  <si>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</si>
  <si>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</si>
  <si>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</si>
  <si>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</si>
  <si>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</si>
  <si>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</si>
  <si>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</si>
  <si>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</si>
  <si>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</si>
  <si>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</si>
  <si>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</si>
  <si>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</si>
  <si>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</si>
  <si>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</si>
  <si>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</si>
  <si>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</si>
  <si>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</si>
  <si>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</si>
  <si>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</si>
  <si>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</si>
  <si>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</si>
  <si>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</si>
  <si>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</si>
  <si>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</si>
  <si>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</si>
  <si>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</si>
  <si>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</si>
  <si>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</si>
  <si>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</si>
  <si>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</si>
  <si>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</si>
  <si>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</si>
  <si>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</si>
  <si>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</si>
  <si>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</si>
  <si>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</si>
  <si>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</si>
  <si>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</si>
  <si>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</si>
  <si>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</si>
  <si>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</si>
  <si>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</si>
  <si>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</si>
  <si>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</si>
  <si>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</si>
  <si>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</si>
  <si>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</si>
  <si>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</si>
  <si>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</si>
  <si>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</si>
  <si>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</si>
  <si>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</si>
  <si>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</si>
  <si>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</si>
  <si>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</si>
  <si>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</si>
  <si>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</si>
  <si>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</si>
  <si>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</si>
  <si>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</si>
  <si>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</si>
  <si>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</si>
  <si>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</si>
  <si>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</si>
  <si>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</si>
  <si>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</si>
  <si>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</si>
  <si>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</si>
  <si>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</si>
  <si>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</si>
  <si>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</si>
  <si>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</si>
  <si>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</si>
  <si>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</si>
  <si>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</si>
  <si>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</si>
  <si>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</si>
  <si>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</si>
  <si>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</si>
  <si>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</si>
  <si>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</si>
  <si>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</si>
  <si>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</si>
  <si>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</si>
  <si>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</si>
  <si>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</si>
  <si>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</si>
  <si>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</si>
  <si>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</si>
  <si>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</si>
  <si>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</si>
  <si>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</si>
  <si>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</si>
  <si>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</si>
  <si>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</si>
  <si>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</si>
  <si>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</si>
  <si>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</si>
  <si>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</si>
  <si>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</si>
  <si>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</si>
  <si>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</si>
  <si>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</si>
  <si>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</si>
  <si>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</si>
  <si>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</si>
  <si>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</si>
  <si>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</si>
  <si>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</si>
  <si>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</si>
  <si>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</si>
  <si>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</si>
  <si>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</si>
  <si>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</si>
  <si>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</si>
  <si>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</si>
  <si>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</si>
  <si>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</si>
  <si>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</si>
  <si>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</si>
  <si>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</si>
  <si>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</si>
  <si>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</si>
  <si>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</si>
  <si>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</si>
  <si>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</si>
  <si>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</si>
  <si>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</si>
  <si>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</si>
  <si>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</si>
  <si>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</si>
  <si>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</si>
  <si>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</si>
  <si>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</si>
  <si>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</si>
  <si>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</si>
  <si>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</si>
  <si>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</si>
  <si>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</si>
  <si>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</si>
  <si>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</si>
  <si>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</si>
  <si>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</si>
  <si>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</si>
  <si>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</si>
  <si>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</si>
  <si>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</si>
  <si>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</si>
  <si>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</si>
  <si>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</si>
  <si>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</si>
  <si>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</si>
  <si>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</si>
  <si>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</si>
  <si>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</si>
  <si>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</si>
  <si>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</si>
  <si>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</si>
  <si>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</si>
  <si>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</si>
  <si>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</si>
  <si>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</si>
  <si>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</si>
  <si>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</si>
  <si>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</si>
  <si>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</si>
  <si>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</si>
  <si>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</si>
  <si>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</si>
  <si>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</si>
  <si>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</si>
  <si>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</si>
  <si>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</si>
  <si>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</si>
  <si>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</si>
  <si>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</si>
  <si>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</si>
  <si>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</si>
  <si>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</si>
  <si>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</si>
  <si>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</si>
  <si>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</si>
  <si>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</si>
  <si>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</si>
  <si>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</si>
  <si>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</si>
  <si>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</si>
  <si>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</si>
  <si>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</si>
  <si>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</si>
  <si>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</si>
  <si>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</si>
  <si>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</si>
  <si>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</si>
  <si>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</si>
  <si>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</si>
  <si>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</si>
  <si>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</si>
  <si>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</si>
  <si>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</si>
  <si>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</si>
  <si>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</si>
  <si>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</si>
  <si>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</si>
  <si>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</si>
  <si>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</si>
  <si>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</si>
  <si>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</si>
  <si>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</si>
  <si>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</si>
  <si>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</si>
  <si>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</si>
  <si>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</si>
  <si>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</si>
  <si>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</si>
  <si>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</si>
  <si>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</si>
  <si>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</si>
  <si>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</si>
  <si>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</si>
  <si>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</si>
  <si>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</si>
  <si>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</si>
  <si>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</si>
  <si>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</si>
  <si>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</si>
  <si>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</si>
  <si>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</si>
  <si>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</si>
  <si>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</si>
  <si>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</si>
  <si>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</si>
  <si>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</si>
  <si>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</si>
  <si>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</si>
  <si>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</si>
  <si>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</si>
  <si>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</si>
  <si>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</si>
  <si>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</si>
  <si>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</si>
  <si>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</si>
  <si>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</si>
  <si>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</si>
  <si>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</si>
  <si>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</si>
  <si>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</si>
  <si>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</si>
  <si>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</si>
  <si>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</si>
  <si>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</si>
  <si>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</si>
  <si>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</si>
  <si>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</si>
  <si>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</si>
  <si>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</si>
  <si>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</si>
  <si>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</si>
  <si>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</si>
  <si>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</si>
  <si>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</si>
  <si>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</si>
  <si>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</si>
  <si>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</si>
  <si>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</si>
  <si>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</si>
  <si>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</si>
  <si>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</si>
  <si>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</si>
  <si>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</si>
  <si>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</si>
  <si>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</si>
  <si>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</si>
  <si>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</si>
  <si>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</si>
  <si>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</si>
  <si>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</si>
  <si>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</si>
  <si>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</si>
  <si>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</si>
  <si>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</si>
  <si>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</si>
  <si>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</si>
  <si>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</si>
  <si>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</si>
  <si>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</si>
  <si>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</si>
  <si>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</si>
  <si>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</si>
  <si>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</si>
  <si>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</si>
  <si>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</si>
  <si>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</si>
  <si>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</si>
  <si>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</si>
  <si>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</si>
  <si>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</si>
  <si>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</si>
  <si>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</si>
  <si>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</si>
  <si>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</si>
  <si>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</si>
  <si>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</si>
  <si>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</si>
  <si>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</si>
  <si>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</si>
  <si>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</si>
  <si>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</si>
  <si>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</si>
  <si>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</si>
  <si>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</si>
  <si>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</si>
  <si>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</si>
  <si>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</si>
  <si>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</si>
  <si>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</si>
  <si>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</si>
  <si>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</si>
  <si>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</si>
  <si>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</si>
  <si>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</si>
  <si>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</si>
  <si>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</si>
  <si>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</si>
  <si>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</si>
  <si>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</si>
  <si>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</si>
  <si>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</si>
  <si>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</si>
  <si>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</si>
  <si>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</si>
  <si>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</si>
  <si>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</si>
  <si>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</si>
  <si>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</si>
  <si>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</si>
  <si>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</si>
  <si>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</si>
  <si>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</si>
  <si>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</si>
  <si>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</si>
  <si>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</si>
  <si>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</si>
  <si>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</si>
  <si>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</si>
  <si>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</si>
  <si>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</si>
  <si>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</si>
  <si>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</si>
  <si>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</si>
  <si>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</si>
  <si>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</si>
  <si>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</si>
  <si>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</si>
  <si>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</si>
  <si>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</si>
  <si>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</si>
  <si>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</si>
  <si>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</si>
  <si>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</si>
  <si>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</si>
  <si>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</si>
  <si>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</si>
  <si>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</si>
  <si>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</si>
  <si>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</si>
  <si>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</si>
  <si>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</si>
  <si>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</si>
  <si>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</si>
  <si>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</si>
  <si>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</si>
  <si>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</si>
  <si>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</si>
  <si>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</si>
  <si>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</si>
  <si>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</si>
  <si>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</si>
  <si>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</si>
  <si>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</si>
  <si>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</si>
  <si>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</si>
  <si>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</si>
  <si>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</si>
  <si>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</si>
  <si>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</si>
  <si>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</si>
  <si>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</si>
  <si>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</si>
  <si>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</si>
  <si>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</si>
  <si>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</si>
  <si>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</si>
  <si>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</si>
  <si>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</si>
  <si>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</si>
  <si>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</si>
  <si>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</si>
  <si>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</si>
  <si>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</si>
  <si>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</si>
  <si>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</si>
  <si>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</si>
  <si>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</si>
  <si>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</si>
  <si>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</si>
  <si>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</si>
  <si>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</si>
  <si>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</si>
  <si>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</si>
  <si>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</si>
  <si>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</si>
  <si>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</si>
  <si>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</si>
  <si>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</si>
  <si>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</si>
  <si>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</si>
  <si>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</si>
  <si>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</si>
  <si>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</si>
  <si>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</si>
  <si>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</si>
  <si>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</si>
  <si>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</si>
  <si>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</si>
  <si>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</si>
  <si>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</si>
  <si>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</si>
  <si>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</si>
  <si>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</si>
  <si>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</si>
  <si>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</si>
  <si>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</si>
  <si>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</si>
  <si>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</si>
  <si>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</si>
  <si>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</si>
  <si>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</si>
  <si>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</si>
  <si>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</si>
  <si>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</si>
  <si>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</si>
  <si>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</si>
  <si>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</si>
  <si>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</si>
  <si>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</si>
  <si>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</si>
  <si>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</si>
  <si>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</si>
  <si>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</si>
  <si>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</si>
  <si>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</si>
  <si>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</si>
  <si>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</si>
  <si>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</si>
  <si>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</si>
  <si>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</si>
  <si>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</si>
  <si>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</si>
  <si>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</si>
  <si>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</si>
  <si>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</si>
  <si>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</si>
  <si>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</si>
  <si>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</si>
  <si>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</si>
  <si>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</si>
  <si>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</si>
  <si>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</si>
  <si>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</si>
  <si>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</si>
  <si>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</si>
  <si>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</si>
  <si>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</si>
  <si>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</si>
  <si>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</si>
  <si>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</si>
  <si>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</si>
  <si>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</si>
  <si>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</si>
  <si>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</si>
  <si>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</si>
  <si>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</si>
  <si>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</si>
  <si>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</si>
  <si>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</si>
  <si>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</si>
  <si>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</si>
  <si>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</si>
  <si>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</si>
  <si>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</si>
  <si>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</si>
  <si>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</si>
  <si>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</si>
  <si>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</si>
  <si>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</si>
  <si>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</si>
  <si>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</si>
  <si>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</si>
  <si>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</si>
  <si>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</si>
  <si>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</si>
  <si>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</si>
  <si>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</si>
  <si>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</si>
  <si>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</si>
  <si>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</si>
  <si>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</si>
  <si>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</si>
  <si>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</si>
  <si>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</si>
  <si>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</si>
  <si>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</si>
  <si>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</si>
  <si>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</si>
  <si>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</si>
  <si>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</si>
  <si>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</si>
  <si>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</si>
  <si>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</si>
  <si>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</si>
  <si>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</si>
  <si>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</si>
  <si>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</si>
  <si>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</si>
  <si>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</si>
  <si>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</si>
  <si>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</si>
  <si>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</si>
  <si>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</si>
  <si>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</si>
  <si>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</si>
  <si>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</si>
  <si>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</si>
  <si>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</si>
  <si>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</si>
  <si>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</si>
  <si>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</si>
  <si>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</si>
  <si>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</si>
  <si>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</si>
  <si>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</si>
  <si>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</si>
  <si>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</si>
  <si>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</si>
  <si>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</si>
  <si>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</si>
  <si>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</si>
  <si>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</si>
  <si>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</si>
  <si>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</si>
  <si>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</si>
  <si>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</si>
  <si>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</si>
  <si>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</si>
  <si>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</si>
  <si>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</si>
  <si>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</si>
  <si>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</si>
  <si>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</si>
  <si>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</si>
  <si>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</si>
  <si>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</si>
  <si>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</si>
  <si>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</si>
  <si>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</si>
  <si>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</si>
  <si>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</si>
  <si>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</si>
  <si>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</si>
  <si>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</si>
  <si>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</si>
  <si>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</si>
  <si>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</si>
  <si>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</si>
  <si>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</si>
  <si>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</si>
  <si>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</si>
  <si>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</si>
  <si>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</si>
  <si>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</si>
  <si>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</si>
  <si>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</si>
  <si>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</si>
  <si>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</si>
  <si>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</si>
  <si>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</si>
  <si>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</si>
  <si>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</si>
  <si>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</si>
  <si>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</si>
  <si>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</si>
  <si>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</si>
  <si>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</si>
  <si>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</si>
  <si>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</si>
  <si>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</si>
  <si>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</si>
  <si>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</si>
  <si>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</si>
  <si>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</si>
  <si>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</si>
  <si>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</si>
  <si>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</si>
  <si>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</si>
  <si>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</si>
  <si>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</si>
  <si>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</si>
  <si>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</si>
  <si>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</si>
  <si>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</si>
  <si>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</si>
  <si>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</si>
  <si>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</si>
  <si>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</si>
  <si>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</si>
  <si>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</si>
  <si>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</si>
  <si>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</si>
  <si>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</si>
  <si>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</si>
  <si>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</si>
  <si>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</si>
  <si>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</si>
  <si>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</si>
  <si>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</si>
  <si>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</si>
  <si>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</si>
  <si>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</si>
  <si>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</si>
  <si>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</si>
  <si>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</si>
  <si>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</si>
  <si>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</si>
  <si>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</si>
  <si>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</si>
  <si>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</si>
  <si>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</si>
  <si>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</si>
  <si>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</si>
  <si>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</si>
  <si>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</si>
  <si>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</si>
  <si>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</si>
  <si>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</si>
  <si>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</si>
  <si>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</si>
  <si>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</si>
  <si>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</si>
  <si>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</si>
  <si>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</si>
  <si>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</si>
  <si>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</si>
  <si>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</si>
  <si>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</si>
  <si>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</si>
  <si>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</si>
  <si>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</si>
  <si>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</si>
  <si>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</si>
  <si>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</si>
  <si>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</si>
  <si>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</si>
  <si>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</si>
  <si>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</si>
  <si>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</si>
  <si>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</si>
  <si>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</si>
  <si>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</si>
  <si>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</si>
  <si>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</si>
  <si>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</si>
  <si>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</si>
  <si>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</si>
  <si>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</si>
  <si>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</si>
  <si>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</si>
  <si>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</si>
  <si>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</si>
  <si>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</si>
  <si>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</si>
  <si>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</si>
  <si>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</si>
  <si>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</si>
  <si>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</si>
  <si>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</si>
  <si>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</si>
  <si>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</si>
  <si>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</si>
  <si>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</si>
  <si>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</si>
  <si>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</si>
  <si>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</si>
  <si>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</si>
  <si>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</si>
  <si>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</si>
  <si>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</si>
  <si>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</si>
  <si>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</si>
  <si>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</si>
  <si>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</si>
  <si>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</si>
  <si>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</si>
  <si>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</si>
  <si>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</si>
  <si>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</si>
  <si>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</si>
  <si>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</si>
  <si>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</si>
  <si>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</si>
  <si>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</si>
  <si>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</si>
  <si>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</si>
  <si>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</si>
  <si>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</si>
  <si>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</si>
  <si>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</si>
  <si>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</si>
  <si>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</si>
  <si>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</si>
  <si>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</si>
  <si>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</si>
  <si>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</si>
  <si>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</si>
  <si>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</si>
  <si>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</si>
  <si>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</si>
  <si>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</si>
  <si>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</si>
  <si>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</si>
  <si>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</si>
  <si>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</si>
  <si>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</si>
  <si>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</si>
  <si>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</si>
  <si>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</si>
  <si>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</si>
  <si>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</si>
  <si>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</si>
  <si>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</si>
  <si>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</si>
  <si>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</si>
  <si>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</si>
  <si>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</si>
  <si>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</si>
  <si>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</si>
  <si>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</si>
  <si>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</si>
  <si>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</si>
  <si>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</si>
  <si>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</si>
  <si>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</si>
  <si>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</si>
  <si>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</si>
  <si>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</si>
  <si>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</si>
  <si>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</si>
  <si>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</si>
  <si>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</si>
  <si>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</si>
  <si>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</si>
  <si>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</si>
  <si>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</si>
  <si>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</si>
  <si>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</si>
  <si>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</si>
  <si>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</si>
  <si>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</si>
  <si>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</si>
  <si>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</si>
  <si>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</si>
  <si>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</si>
  <si>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</si>
  <si>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</si>
  <si>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</si>
  <si>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</si>
  <si>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</si>
  <si>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</si>
  <si>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</si>
  <si>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</si>
  <si>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</si>
  <si>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</si>
  <si>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</si>
  <si>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</si>
  <si>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</si>
  <si>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</si>
  <si>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</si>
  <si>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</si>
  <si>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</si>
  <si>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</si>
  <si>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</si>
  <si>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</si>
  <si>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</si>
  <si>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</si>
  <si>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</si>
  <si>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</si>
  <si>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</si>
  <si>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</si>
  <si>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</si>
  <si>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</si>
  <si>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</si>
  <si>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</si>
  <si>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</si>
  <si>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</si>
  <si>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</si>
  <si>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</si>
  <si>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</si>
  <si>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</si>
  <si>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</si>
  <si>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</si>
  <si>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</si>
  <si>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</si>
  <si>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</si>
  <si>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</si>
  <si>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</si>
  <si>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</si>
  <si>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</si>
  <si>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</si>
  <si>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</si>
  <si>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</si>
  <si>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</si>
  <si>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</si>
  <si>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</si>
  <si>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</si>
  <si>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</si>
  <si>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</si>
  <si>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</si>
  <si>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</si>
  <si>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</si>
  <si>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</si>
  <si>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</si>
  <si>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</si>
  <si>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</si>
  <si>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</si>
  <si>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</si>
  <si>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</si>
  <si>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</si>
  <si>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</si>
  <si>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</si>
  <si>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</si>
  <si>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</si>
  <si>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</si>
  <si>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</si>
  <si>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</si>
  <si>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</si>
  <si>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</si>
  <si>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</si>
  <si>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</si>
  <si>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</si>
  <si>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</si>
  <si>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</si>
  <si>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</si>
  <si>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</si>
  <si>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</si>
  <si>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</si>
  <si>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</si>
  <si>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</si>
  <si>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</si>
  <si>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</si>
  <si>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</si>
  <si>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</si>
  <si>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</si>
  <si>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</si>
  <si>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</si>
  <si>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</si>
  <si>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</si>
  <si>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</si>
  <si>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</si>
  <si>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</si>
  <si>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</si>
  <si>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</si>
  <si>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</si>
  <si>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</si>
  <si>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</si>
  <si>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</si>
  <si>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</si>
  <si>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</si>
  <si>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</si>
  <si>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</si>
  <si>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</si>
  <si>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</si>
  <si>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</si>
  <si>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</si>
  <si>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</si>
  <si>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</si>
  <si>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</si>
  <si>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</si>
  <si>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</si>
  <si>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</si>
  <si>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</si>
  <si>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</si>
  <si>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</si>
  <si>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</si>
  <si>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</si>
  <si>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</si>
  <si>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</si>
  <si>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</si>
  <si>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</si>
  <si>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</si>
  <si>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</si>
  <si>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</si>
  <si>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</si>
  <si>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</si>
  <si>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</si>
  <si>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</si>
  <si>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</si>
  <si>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</si>
  <si>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</si>
  <si>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</si>
  <si>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</si>
  <si>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</si>
  <si>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</si>
  <si>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</si>
  <si>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</si>
  <si>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</si>
  <si>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</si>
  <si>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</si>
  <si>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</si>
  <si>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</si>
  <si>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</si>
  <si>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</si>
  <si>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</si>
  <si>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</si>
  <si>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</si>
  <si>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</si>
  <si>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</si>
  <si>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</si>
  <si>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</si>
  <si>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</si>
  <si>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</si>
  <si>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</si>
  <si>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</si>
  <si>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</si>
  <si>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</si>
  <si>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</si>
  <si>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</si>
  <si>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</si>
  <si>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</si>
  <si>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</si>
  <si>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</si>
  <si>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</si>
  <si>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</si>
  <si>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</si>
  <si>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</si>
  <si>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</si>
  <si>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</si>
  <si>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</si>
  <si>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</si>
  <si>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</si>
  <si>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</si>
  <si>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</si>
  <si>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</si>
  <si>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</si>
  <si>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</si>
  <si>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</si>
  <si>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</si>
  <si>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</si>
  <si>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</si>
  <si>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</si>
  <si>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</si>
  <si>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</si>
  <si>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</si>
  <si>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</si>
  <si>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</si>
  <si>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</si>
  <si>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</si>
  <si>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</si>
  <si>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</si>
  <si>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</si>
  <si>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</si>
  <si>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</si>
  <si>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</si>
  <si>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</si>
  <si>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</si>
  <si>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</si>
  <si>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</si>
  <si>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</si>
  <si>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</si>
  <si>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</si>
  <si>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</si>
  <si>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</si>
  <si>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</si>
  <si>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</si>
  <si>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</si>
  <si>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</si>
  <si>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</si>
  <si>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</si>
  <si>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</si>
  <si>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</si>
  <si>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</si>
  <si>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</si>
  <si>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</si>
  <si>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</si>
  <si>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</si>
  <si>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</si>
  <si>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</si>
  <si>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</si>
  <si>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</si>
  <si>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</si>
  <si>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</si>
  <si>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</si>
  <si>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</si>
  <si>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</si>
  <si>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</si>
  <si>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</si>
  <si>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</si>
  <si>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</si>
  <si>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</si>
  <si>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</si>
  <si>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</si>
  <si>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</si>
  <si>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</si>
  <si>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</si>
  <si>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</si>
  <si>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</si>
  <si>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</si>
  <si>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</si>
  <si>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</si>
  <si>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</si>
  <si>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</si>
  <si>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</si>
  <si>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</si>
  <si>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</si>
  <si>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</si>
  <si>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</si>
  <si>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</si>
  <si>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</si>
  <si>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</si>
  <si>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</si>
  <si>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</si>
  <si>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</si>
  <si>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</si>
  <si>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</si>
  <si>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</si>
  <si>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</si>
  <si>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</si>
  <si>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</si>
  <si>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</si>
  <si>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</si>
  <si>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</si>
  <si>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</si>
  <si>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</si>
  <si>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</si>
  <si>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</si>
  <si>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</si>
  <si>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</si>
  <si>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</si>
  <si>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</si>
  <si>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</si>
  <si>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</si>
  <si>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</si>
  <si>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</si>
  <si>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</si>
  <si>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</si>
  <si>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</si>
  <si>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</si>
  <si>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</si>
  <si>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</si>
  <si>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</si>
  <si>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</si>
  <si>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</si>
  <si>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</si>
  <si>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</si>
  <si>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</si>
  <si>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</si>
  <si>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</si>
  <si>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</si>
  <si>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</si>
  <si>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</si>
  <si>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</si>
  <si>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</si>
  <si>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</si>
  <si>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</si>
  <si>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</si>
  <si>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</si>
  <si>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</si>
  <si>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</si>
  <si>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</si>
  <si>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</si>
  <si>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</si>
  <si>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</si>
  <si>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</si>
  <si>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</si>
  <si>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</si>
  <si>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</si>
  <si>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</si>
  <si>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</si>
  <si>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</si>
  <si>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</si>
  <si>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</si>
  <si>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</si>
  <si>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</si>
  <si>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</si>
  <si>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</si>
  <si>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</si>
  <si>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</si>
  <si>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</si>
  <si>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</si>
  <si>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</si>
  <si>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</si>
  <si>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</si>
  <si>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</si>
  <si>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</si>
  <si>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</si>
  <si>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</si>
  <si>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</si>
  <si>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</si>
  <si>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</si>
  <si>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</si>
  <si>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</si>
  <si>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</si>
  <si>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</si>
  <si>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</si>
  <si>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</si>
  <si>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</si>
  <si>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</si>
  <si>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</si>
  <si>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</si>
  <si>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</si>
  <si>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</si>
  <si>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</si>
  <si>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</si>
  <si>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</si>
  <si>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</si>
  <si>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</si>
  <si>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</si>
  <si>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</si>
  <si>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</si>
  <si>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</si>
  <si>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</si>
  <si>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</si>
  <si>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</si>
  <si>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</si>
  <si>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</si>
  <si>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</si>
  <si>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</si>
  <si>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</si>
  <si>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</si>
  <si>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</si>
  <si>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</si>
  <si>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</si>
  <si>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</si>
  <si>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</si>
  <si>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</si>
  <si>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</si>
  <si>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</si>
  <si>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</si>
  <si>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</si>
  <si>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</si>
  <si>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</si>
  <si>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</si>
  <si>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</si>
  <si>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</si>
  <si>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</si>
  <si>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</si>
  <si>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</si>
  <si>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</si>
  <si>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</si>
  <si>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</si>
  <si>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</si>
  <si>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</si>
  <si>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</si>
  <si>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</si>
  <si>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</si>
  <si>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</si>
  <si>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</si>
  <si>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</si>
  <si>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</si>
  <si>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</si>
  <si>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</si>
  <si>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</si>
  <si>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</si>
  <si>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</si>
  <si>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</si>
  <si>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</si>
  <si>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</si>
  <si>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</si>
  <si>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</si>
  <si>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</si>
  <si>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</si>
  <si>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</si>
  <si>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</si>
  <si>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</si>
  <si>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</si>
  <si>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</si>
  <si>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</si>
  <si>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</si>
  <si>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</si>
  <si>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</si>
  <si>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</si>
  <si>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</si>
  <si>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</si>
  <si>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</si>
  <si>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</si>
  <si>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</si>
  <si>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</si>
  <si>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</si>
  <si>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</si>
  <si>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</si>
  <si>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</si>
  <si>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</si>
  <si>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</si>
  <si>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</si>
  <si>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</si>
  <si>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</si>
  <si>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</si>
  <si>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</si>
  <si>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</si>
  <si>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</si>
  <si>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</si>
  <si>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</si>
  <si>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</si>
  <si>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</si>
  <si>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</si>
  <si>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</si>
  <si>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</si>
  <si>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</si>
  <si>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</si>
  <si>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</si>
  <si>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</si>
  <si>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</si>
  <si>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</si>
  <si>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</si>
  <si>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</si>
  <si>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</si>
  <si>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</si>
  <si>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</si>
  <si>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</si>
  <si>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</si>
  <si>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</si>
  <si>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</si>
  <si>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</si>
  <si>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</si>
  <si>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</si>
  <si>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</si>
  <si>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</si>
  <si>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</si>
  <si>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</si>
  <si>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</si>
  <si>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</si>
  <si>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</si>
  <si>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</si>
  <si>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</si>
  <si>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</si>
  <si>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</si>
  <si>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</si>
  <si>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</si>
  <si>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</si>
  <si>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</si>
  <si>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</si>
  <si>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</si>
  <si>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</si>
  <si>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</si>
  <si>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</si>
  <si>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</si>
  <si>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</si>
  <si>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</si>
  <si>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</si>
  <si>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</si>
  <si>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</si>
  <si>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</si>
  <si>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</si>
  <si>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</si>
  <si>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</si>
  <si>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</si>
  <si>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</si>
  <si>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</si>
  <si>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</si>
  <si>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</si>
  <si>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</si>
  <si>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</si>
  <si>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</si>
  <si>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</si>
  <si>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</si>
  <si>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</si>
  <si>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</si>
  <si>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</si>
  <si>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</si>
  <si>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</si>
  <si>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</si>
  <si>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</si>
  <si>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</si>
  <si>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</si>
  <si>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</si>
  <si>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</si>
  <si>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</si>
  <si>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</si>
  <si>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</si>
  <si>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</si>
  <si>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</si>
  <si>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</si>
  <si>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</si>
  <si>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</si>
  <si>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</si>
  <si>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</si>
  <si>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</si>
  <si>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</si>
  <si>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</si>
  <si>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</si>
  <si>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</si>
  <si>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</si>
  <si>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</si>
  <si>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</si>
  <si>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</si>
  <si>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</si>
  <si>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</si>
  <si>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</si>
  <si>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</si>
  <si>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</si>
  <si>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</si>
  <si>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</si>
  <si>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</si>
  <si>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</si>
  <si>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</si>
  <si>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</si>
  <si>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</si>
  <si>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</si>
  <si>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</si>
  <si>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</si>
  <si>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</si>
  <si>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</si>
  <si>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</si>
  <si>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</si>
  <si>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</si>
  <si>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</si>
  <si>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</si>
  <si>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</si>
  <si>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</si>
  <si>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</si>
  <si>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</si>
  <si>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</si>
  <si>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</si>
  <si>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</si>
  <si>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</si>
  <si>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</si>
  <si>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</si>
  <si>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</si>
  <si>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</si>
  <si>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</si>
  <si>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</si>
  <si>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</si>
  <si>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</si>
  <si>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</si>
  <si>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</si>
  <si>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</si>
  <si>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</si>
  <si>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</si>
  <si>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</si>
  <si>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</si>
  <si>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</si>
  <si>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</si>
  <si>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</si>
  <si>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</si>
  <si>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</si>
  <si>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</si>
  <si>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</si>
  <si>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</si>
  <si>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</si>
  <si>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</si>
  <si>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</si>
  <si>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</si>
  <si>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</si>
  <si>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</si>
  <si>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</si>
  <si>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</si>
  <si>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</si>
  <si>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</si>
  <si>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</si>
  <si>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</si>
  <si>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</si>
  <si>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</si>
  <si>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</si>
  <si>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</si>
  <si>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</si>
  <si>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</si>
  <si>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</si>
  <si>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</si>
  <si>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</si>
  <si>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</si>
  <si>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</si>
  <si>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</si>
  <si>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</si>
  <si>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</si>
  <si>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</si>
  <si>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</si>
  <si>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</si>
  <si>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</si>
  <si>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</si>
  <si>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</si>
  <si>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</si>
  <si>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</si>
  <si>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</si>
  <si>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</si>
  <si>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</si>
  <si>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</si>
  <si>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</si>
  <si>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</si>
  <si>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</si>
  <si>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</si>
  <si>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</si>
  <si>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</si>
  <si>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</si>
  <si>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</si>
  <si>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</si>
  <si>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</si>
  <si>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</si>
  <si>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</si>
  <si>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</si>
  <si>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</si>
  <si>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</si>
  <si>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</si>
  <si>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</si>
  <si>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</si>
  <si>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</si>
  <si>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</si>
  <si>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</si>
  <si>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</si>
  <si>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</si>
  <si>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</si>
  <si>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</si>
  <si>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</si>
  <si>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</si>
  <si>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</si>
  <si>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</si>
  <si>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</si>
  <si>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</si>
  <si>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</si>
  <si>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</si>
  <si>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</si>
  <si>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</si>
  <si>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</si>
  <si>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</si>
  <si>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</si>
  <si>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</si>
  <si>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</si>
  <si>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</si>
  <si>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</si>
  <si>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</si>
  <si>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</si>
  <si>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</si>
  <si>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</si>
  <si>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</si>
  <si>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</si>
  <si>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</si>
  <si>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</si>
  <si>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</si>
  <si>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</si>
  <si>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</si>
  <si>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</si>
  <si>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</si>
  <si>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</si>
  <si>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</si>
  <si>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</si>
  <si>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</si>
  <si>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</si>
  <si>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</si>
  <si>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</si>
  <si>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</si>
  <si>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</si>
  <si>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</si>
  <si>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</si>
  <si>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</si>
  <si>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</si>
  <si>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</si>
  <si>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</si>
  <si>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</si>
  <si>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</si>
  <si>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</si>
  <si>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</si>
  <si>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</si>
  <si>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</si>
  <si>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</si>
  <si>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</si>
  <si>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</si>
  <si>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</si>
  <si>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</si>
  <si>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</si>
  <si>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</si>
  <si>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</si>
  <si>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</si>
  <si>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</si>
  <si>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</si>
  <si>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</si>
  <si>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</si>
  <si>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</si>
  <si>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</si>
  <si>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</si>
  <si>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</si>
  <si>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</si>
  <si>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</si>
  <si>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</si>
  <si>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</si>
  <si>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</si>
  <si>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</si>
  <si>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</si>
  <si>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</si>
  <si>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</si>
  <si>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</si>
  <si>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</si>
  <si>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</si>
  <si>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</si>
  <si>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</si>
  <si>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</si>
  <si>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</si>
  <si>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</si>
  <si>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</si>
  <si>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</si>
  <si>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</si>
  <si>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</si>
  <si>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</si>
  <si>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</si>
  <si>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</si>
  <si>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</si>
  <si>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</si>
  <si>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</si>
  <si>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</si>
  <si>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</si>
  <si>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</si>
  <si>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</si>
  <si>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</si>
  <si>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</si>
  <si>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</si>
  <si>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</si>
  <si>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</si>
  <si>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</si>
  <si>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</si>
  <si>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</si>
  <si>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</si>
  <si>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</si>
  <si>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</si>
  <si>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</si>
  <si>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</si>
  <si>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</si>
  <si>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</si>
  <si>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</si>
  <si>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</si>
  <si>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</si>
  <si>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</si>
  <si>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</si>
  <si>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</si>
  <si>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</si>
  <si>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</si>
  <si>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</si>
  <si>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</si>
  <si>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</si>
  <si>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</si>
  <si>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</si>
  <si>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</si>
  <si>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</si>
  <si>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</si>
  <si>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</si>
  <si>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</si>
  <si>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</si>
  <si>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</si>
  <si>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</si>
  <si>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</si>
  <si>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</si>
  <si>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</si>
  <si>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</si>
  <si>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</si>
  <si>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</si>
  <si>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</si>
  <si>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</si>
  <si>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</si>
  <si>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</si>
  <si>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</si>
  <si>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</si>
  <si>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</si>
  <si>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</si>
  <si>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</si>
  <si>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</si>
  <si>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</si>
  <si>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</si>
  <si>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</si>
  <si>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</si>
  <si>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</si>
  <si>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</si>
  <si>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</si>
  <si>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</si>
  <si>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</si>
  <si>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</si>
  <si>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</si>
  <si>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</si>
  <si>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</si>
  <si>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</si>
  <si>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</si>
  <si>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</si>
  <si>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</si>
  <si>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</si>
  <si>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</si>
  <si>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</si>
  <si>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</si>
  <si>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</si>
  <si>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</si>
  <si>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</si>
  <si>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</si>
  <si>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</si>
  <si>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</si>
  <si>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</si>
  <si>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</si>
  <si>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</si>
  <si>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</si>
  <si>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</si>
  <si>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</si>
  <si>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</si>
  <si>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</si>
  <si>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</si>
  <si>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</si>
  <si>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</si>
  <si>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</si>
  <si>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</si>
  <si>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</si>
  <si>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</si>
  <si>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</si>
  <si>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</si>
  <si>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</si>
  <si>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</si>
  <si>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</si>
  <si>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</si>
  <si>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</si>
  <si>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</si>
  <si>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</si>
  <si>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</si>
  <si>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</si>
  <si>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</si>
  <si>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</si>
  <si>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</si>
  <si>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</si>
  <si>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</si>
  <si>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</si>
  <si>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</si>
  <si>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</si>
  <si>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</si>
  <si>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</si>
  <si>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</si>
  <si>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</si>
  <si>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</si>
  <si>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</si>
  <si>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</si>
  <si>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</si>
  <si>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</si>
  <si>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</si>
  <si>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</si>
  <si>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</si>
  <si>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</si>
  <si>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</si>
  <si>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</si>
  <si>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</si>
  <si>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</si>
  <si>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</si>
  <si>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</si>
  <si>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</si>
  <si>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</si>
  <si>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</si>
  <si>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</si>
  <si>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</si>
  <si>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</si>
  <si>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</si>
  <si>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</si>
  <si>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</si>
  <si>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</si>
  <si>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</si>
  <si>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</si>
  <si>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</si>
  <si>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</si>
  <si>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</si>
  <si>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</si>
  <si>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</si>
  <si>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</si>
  <si>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</si>
  <si>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</si>
  <si>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</si>
  <si>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</si>
  <si>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</si>
  <si>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</si>
  <si>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</si>
  <si>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</si>
  <si>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</si>
  <si>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</si>
  <si>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</si>
  <si>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</si>
  <si>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</si>
  <si>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</si>
  <si>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</si>
  <si>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</si>
  <si>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</si>
  <si>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</si>
  <si>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</si>
  <si>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</si>
  <si>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</si>
  <si>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</si>
  <si>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</si>
  <si>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</si>
  <si>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</si>
  <si>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</si>
  <si>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</si>
  <si>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</si>
  <si>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</si>
  <si>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</si>
  <si>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</si>
  <si>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</si>
  <si>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</si>
  <si>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</si>
  <si>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</si>
  <si>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</si>
  <si>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</si>
  <si>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</si>
  <si>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</si>
  <si>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</si>
  <si>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</si>
  <si>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</si>
  <si>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</si>
  <si>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</si>
  <si>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</si>
  <si>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</si>
  <si>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</si>
  <si>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</si>
  <si>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</si>
  <si>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</si>
  <si>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</si>
  <si>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</si>
  <si>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</si>
  <si>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</si>
  <si>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</si>
  <si>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</si>
  <si>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</si>
  <si>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</si>
  <si>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</si>
  <si>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</si>
  <si>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</si>
  <si>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</si>
  <si>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</si>
  <si>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</si>
  <si>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</si>
  <si>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</si>
  <si>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</si>
  <si>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</si>
  <si>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</si>
  <si>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</si>
  <si>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</si>
  <si>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</si>
  <si>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</si>
  <si>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</si>
  <si>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</si>
  <si>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</si>
  <si>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</si>
  <si>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</si>
  <si>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</si>
  <si>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</si>
  <si>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</si>
  <si>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</si>
  <si>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</si>
  <si>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</si>
  <si>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</si>
  <si>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</si>
  <si>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</si>
  <si>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</si>
  <si>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</si>
  <si>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</si>
  <si>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</si>
  <si>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</si>
  <si>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</si>
  <si>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</si>
  <si>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</si>
  <si>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</si>
  <si>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</si>
  <si>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</si>
  <si>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</si>
  <si>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</si>
  <si>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</si>
  <si>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</si>
  <si>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</si>
  <si>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</si>
  <si>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</si>
  <si>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</si>
  <si>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</si>
  <si>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</si>
  <si>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</si>
  <si>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</si>
  <si>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</si>
  <si>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</si>
  <si>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</si>
  <si>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</si>
  <si>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</si>
  <si>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</si>
  <si>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</si>
  <si>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</si>
  <si>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</si>
  <si>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</si>
  <si>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</si>
  <si>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</si>
  <si>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</si>
  <si>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</si>
  <si>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</si>
  <si>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</si>
  <si>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</si>
  <si>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</si>
  <si>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</si>
  <si>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</si>
  <si>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</si>
  <si>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</si>
  <si>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</si>
  <si>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</si>
  <si>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</si>
  <si>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</si>
  <si>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</si>
  <si>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</si>
  <si>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</si>
  <si>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</si>
  <si>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</si>
  <si>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</si>
  <si>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</si>
  <si>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</si>
  <si>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</si>
  <si>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</si>
  <si>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</si>
  <si>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</si>
  <si>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</si>
  <si>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</si>
  <si>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</si>
  <si>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</si>
  <si>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</si>
  <si>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</si>
  <si>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</si>
  <si>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</si>
  <si>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</si>
  <si>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</si>
  <si>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</si>
  <si>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</si>
  <si>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</si>
  <si>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</si>
  <si>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</si>
  <si>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</si>
  <si>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</si>
  <si>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</si>
  <si>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</si>
  <si>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</si>
  <si>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</si>
  <si>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</si>
  <si>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</si>
  <si>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</si>
  <si>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</si>
  <si>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</si>
  <si>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</si>
  <si>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</si>
  <si>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</si>
  <si>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</si>
  <si>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</si>
  <si>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</si>
  <si>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</si>
  <si>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</si>
  <si>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</si>
  <si>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</si>
  <si>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</si>
  <si>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</si>
  <si>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</si>
  <si>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</si>
  <si>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</si>
  <si>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</si>
  <si>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</si>
  <si>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</si>
  <si>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</si>
  <si>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</si>
  <si>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</si>
  <si>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</si>
  <si>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</si>
  <si>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</si>
  <si>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</si>
  <si>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</si>
  <si>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</si>
  <si>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</si>
  <si>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</si>
  <si>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</si>
  <si>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</si>
  <si>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</si>
  <si>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</si>
  <si>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</si>
  <si>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</si>
  <si>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</si>
  <si>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</si>
  <si>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</si>
  <si>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</si>
  <si>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</si>
  <si>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</si>
  <si>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</si>
  <si>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</si>
  <si>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</si>
  <si>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</si>
  <si>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</si>
  <si>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</si>
  <si>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</si>
  <si>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</si>
  <si>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</si>
  <si>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</si>
  <si>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</si>
  <si>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</si>
  <si>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</si>
  <si>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</si>
  <si>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</si>
  <si>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</si>
  <si>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</si>
  <si>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</si>
  <si>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</si>
  <si>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</si>
  <si>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</si>
  <si>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</si>
  <si>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</si>
  <si>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</si>
  <si>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</si>
  <si>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</si>
  <si>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</si>
  <si>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</si>
  <si>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</si>
  <si>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</si>
  <si>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</si>
  <si>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</si>
  <si>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</si>
  <si>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</si>
  <si>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</si>
  <si>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</si>
  <si>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</si>
  <si>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</si>
  <si>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</si>
  <si>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</si>
  <si>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</si>
  <si>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</si>
  <si>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</si>
  <si>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</si>
  <si>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</si>
  <si>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</si>
  <si>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</si>
  <si>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</si>
  <si>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</si>
  <si>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</si>
  <si>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</si>
  <si>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</si>
  <si>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</si>
  <si>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</si>
  <si>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</si>
  <si>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</si>
  <si>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</si>
  <si>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</si>
  <si>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</si>
  <si>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</si>
  <si>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</si>
  <si>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</si>
  <si>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</si>
  <si>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</si>
  <si>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</si>
  <si>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</si>
  <si>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</si>
  <si>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</si>
  <si>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</si>
  <si>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</si>
  <si>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</si>
  <si>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</si>
  <si>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</si>
  <si>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</si>
  <si>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</si>
  <si>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</si>
  <si>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</si>
  <si>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</si>
  <si>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</si>
  <si>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</si>
  <si>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</si>
  <si>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</si>
  <si>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</si>
  <si>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</si>
  <si>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</si>
  <si>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</si>
  <si>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</si>
  <si>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</si>
  <si>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</si>
  <si>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</si>
  <si>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</si>
  <si>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</si>
  <si>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</si>
  <si>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</si>
  <si>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</si>
  <si>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</si>
  <si>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</si>
  <si>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</si>
  <si>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</si>
  <si>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</si>
  <si>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</si>
  <si>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</si>
  <si>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</si>
  <si>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</si>
  <si>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</si>
  <si>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</si>
  <si>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</si>
  <si>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</si>
  <si>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</si>
  <si>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</si>
  <si>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</si>
  <si>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</si>
  <si>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</si>
  <si>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</si>
  <si>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</si>
  <si>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</si>
  <si>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</si>
  <si>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</si>
  <si>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</si>
  <si>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</si>
  <si>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</si>
  <si>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</si>
  <si>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</si>
  <si>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</si>
  <si>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</si>
  <si>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</si>
  <si>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</si>
  <si>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</si>
  <si>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</si>
  <si>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</si>
  <si>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</si>
  <si>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</si>
  <si>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</si>
  <si>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</si>
  <si>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</si>
  <si>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</si>
  <si>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</si>
  <si>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</si>
  <si>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</si>
  <si>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</si>
  <si>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</si>
  <si>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</si>
  <si>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</si>
  <si>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</si>
  <si>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</si>
  <si>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</si>
  <si>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</si>
  <si>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</si>
  <si>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</si>
  <si>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</si>
  <si>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</si>
  <si>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</si>
  <si>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</si>
  <si>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</si>
  <si>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</si>
  <si>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</si>
  <si>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</si>
  <si>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</si>
  <si>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</si>
  <si>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</si>
  <si>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</si>
  <si>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</si>
  <si>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</si>
  <si>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</si>
  <si>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</si>
  <si>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</si>
  <si>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</si>
  <si>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</si>
  <si>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</si>
  <si>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</si>
  <si>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</si>
  <si>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</si>
  <si>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</si>
  <si>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</si>
  <si>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</si>
  <si>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</si>
  <si>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</si>
  <si>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</si>
  <si>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</si>
  <si>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</si>
  <si>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</si>
  <si>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</si>
  <si>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</si>
  <si>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</si>
  <si>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</si>
  <si>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</si>
  <si>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</si>
  <si>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</si>
  <si>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</si>
  <si>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</si>
  <si>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</si>
  <si>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</si>
  <si>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</si>
  <si>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</si>
  <si>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</si>
  <si>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</si>
  <si>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</si>
  <si>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</si>
  <si>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</si>
  <si>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</si>
  <si>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</si>
  <si>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</si>
  <si>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</si>
  <si>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</si>
  <si>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</si>
  <si>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</si>
  <si>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</si>
  <si>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</si>
  <si>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</si>
  <si>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</si>
  <si>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</si>
  <si>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</si>
  <si>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</si>
  <si>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</si>
  <si>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</si>
  <si>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</si>
  <si>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</si>
  <si>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</si>
  <si>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</si>
  <si>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</si>
  <si>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</si>
  <si>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</si>
  <si>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</si>
  <si>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</si>
  <si>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</si>
  <si>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</si>
  <si>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</si>
  <si>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</si>
  <si>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</si>
  <si>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</si>
  <si>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</si>
  <si>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</si>
  <si>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</si>
  <si>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</si>
  <si>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</si>
  <si>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</si>
  <si>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</si>
  <si>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</si>
  <si>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</si>
  <si>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</si>
  <si>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</si>
  <si>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</si>
  <si>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</si>
  <si>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</si>
  <si>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</si>
  <si>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</si>
  <si>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</si>
  <si>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</si>
  <si>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</si>
  <si>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</si>
  <si>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</si>
  <si>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</si>
  <si>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</si>
  <si>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</si>
  <si>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</si>
  <si>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</si>
  <si>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</si>
  <si>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</si>
  <si>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</si>
  <si>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</si>
  <si>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</si>
  <si>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</si>
  <si>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</si>
  <si>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</si>
  <si>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</si>
  <si>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</si>
  <si>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</si>
  <si>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</si>
  <si>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</si>
  <si>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</si>
  <si>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</si>
  <si>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</si>
  <si>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</si>
  <si>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</si>
  <si>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</si>
  <si>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</si>
  <si>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</si>
  <si>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</si>
  <si>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</si>
  <si>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</si>
  <si>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</si>
  <si>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</si>
  <si>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</si>
  <si>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</si>
  <si>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</si>
  <si>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</si>
  <si>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</si>
  <si>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</si>
  <si>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</si>
  <si>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</si>
  <si>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</si>
  <si>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</si>
  <si>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</si>
  <si>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</si>
  <si>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</si>
  <si>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</si>
  <si>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</si>
  <si>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</si>
  <si>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</si>
  <si>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</si>
  <si>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</si>
  <si>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</si>
  <si>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</si>
  <si>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</si>
  <si>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</si>
  <si>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</si>
  <si>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</si>
  <si>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</si>
  <si>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</si>
  <si>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</si>
  <si>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</si>
  <si>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</si>
  <si>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</si>
  <si>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</si>
  <si>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</si>
  <si>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</si>
  <si>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</si>
  <si>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</si>
  <si>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</si>
  <si>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</si>
  <si>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</si>
  <si>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</si>
  <si>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</si>
  <si>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</si>
  <si>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</si>
  <si>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</si>
  <si>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</si>
  <si>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</si>
  <si>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</si>
  <si>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</si>
  <si>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</si>
  <si>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</si>
  <si>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</si>
  <si>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</si>
  <si>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</si>
  <si>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</si>
  <si>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</si>
  <si>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</si>
  <si>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</si>
  <si>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</si>
  <si>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</si>
  <si>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</si>
  <si>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</si>
  <si>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</si>
  <si>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</si>
  <si>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</si>
  <si>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</si>
  <si>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</si>
  <si>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</si>
  <si>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</si>
  <si>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</si>
  <si>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</si>
  <si>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</si>
  <si>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</si>
  <si>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</si>
  <si>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</si>
  <si>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</si>
  <si>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</si>
  <si>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</si>
  <si>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</si>
  <si>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</si>
  <si>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</si>
  <si>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</si>
  <si>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</si>
  <si>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</si>
  <si>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</si>
  <si>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</si>
  <si>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</si>
  <si>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</si>
  <si>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</si>
  <si>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</si>
  <si>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</si>
  <si>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</si>
  <si>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</si>
  <si>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</si>
  <si>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</si>
  <si>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</si>
  <si>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</si>
  <si>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</si>
  <si>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</si>
  <si>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</si>
  <si>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</si>
  <si>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</si>
  <si>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</si>
  <si>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</si>
  <si>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</si>
  <si>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</si>
  <si>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</si>
  <si>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</si>
  <si>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</si>
  <si>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</si>
  <si>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</si>
  <si>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</si>
  <si>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</si>
  <si>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</si>
  <si>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</si>
  <si>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</si>
  <si>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</si>
  <si>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</si>
  <si>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</si>
  <si>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</si>
  <si>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</si>
  <si>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</si>
  <si>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</si>
  <si>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</si>
  <si>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</si>
  <si>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</si>
  <si>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</si>
  <si>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</si>
  <si>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</si>
  <si>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</si>
  <si>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</si>
  <si>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</si>
  <si>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</si>
  <si>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</si>
  <si>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</si>
  <si>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</si>
  <si>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</si>
  <si>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</si>
  <si>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</si>
  <si>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</si>
  <si>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</si>
  <si>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</si>
  <si>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</si>
  <si>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</si>
  <si>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</si>
  <si>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</si>
  <si>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</si>
  <si>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</si>
  <si>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</si>
  <si>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</si>
  <si>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</si>
  <si>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</si>
  <si>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</si>
  <si>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</si>
  <si>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</si>
  <si>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</si>
  <si>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</si>
  <si>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</si>
  <si>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</si>
  <si>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</si>
  <si>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</si>
  <si>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</si>
  <si>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</si>
  <si>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</si>
  <si>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</si>
  <si>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</si>
  <si>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</si>
  <si>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</si>
  <si>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</si>
  <si>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</si>
  <si>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</si>
  <si>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</si>
  <si>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</si>
  <si>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</si>
  <si>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</si>
  <si>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</si>
  <si>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</si>
  <si>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</si>
  <si>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</si>
  <si>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</si>
  <si>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</si>
  <si>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</si>
  <si>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</si>
  <si>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</si>
  <si>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</si>
  <si>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</si>
  <si>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</si>
  <si>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</si>
  <si>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</si>
  <si>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</si>
  <si>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</si>
  <si>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</si>
  <si>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</si>
  <si>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</si>
  <si>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</si>
  <si>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</si>
  <si>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</si>
  <si>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</si>
  <si>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</si>
  <si>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</si>
  <si>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</si>
  <si>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</si>
  <si>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</si>
  <si>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</si>
  <si>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</si>
  <si>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</si>
  <si>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</si>
  <si>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</si>
  <si>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</si>
  <si>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</si>
  <si>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</si>
  <si>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</si>
  <si>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</si>
  <si>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</si>
  <si>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</si>
  <si>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</si>
  <si>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</si>
  <si>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</si>
  <si>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</si>
  <si>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</si>
  <si>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</si>
  <si>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</si>
  <si>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</si>
  <si>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</si>
  <si>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</si>
  <si>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</si>
  <si>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</si>
  <si>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</si>
  <si>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</si>
  <si>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</si>
  <si>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</si>
  <si>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</si>
  <si>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</si>
  <si>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</si>
  <si>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</si>
  <si>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</si>
  <si>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</si>
  <si>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</si>
  <si>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</si>
  <si>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</si>
  <si>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</si>
  <si>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</si>
  <si>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</si>
  <si>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</si>
  <si>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</si>
  <si>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</si>
  <si>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</si>
  <si>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</si>
  <si>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</si>
  <si>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</si>
  <si>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</si>
  <si>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</si>
  <si>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</si>
  <si>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</si>
  <si>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</si>
  <si>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</si>
  <si>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</si>
  <si>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</si>
  <si>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</si>
  <si>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</si>
  <si>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</si>
  <si>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</si>
  <si>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</si>
  <si>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</si>
  <si>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</si>
  <si>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</si>
  <si>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</si>
  <si>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</si>
  <si>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</si>
  <si>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</si>
  <si>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</si>
  <si>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</si>
  <si>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</si>
  <si>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</si>
  <si>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</si>
  <si>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</si>
  <si>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</si>
  <si>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</si>
  <si>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</si>
  <si>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</si>
  <si>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</si>
  <si>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</si>
  <si>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</si>
  <si>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</si>
  <si>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</si>
  <si>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</si>
  <si>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</si>
  <si>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</si>
  <si>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</si>
  <si>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</si>
  <si>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</si>
  <si>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</si>
  <si>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</si>
  <si>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t>http://blog.sina.com.cn/s/blog_56e9618a0101eroa.html</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</si>
  <si>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</si>
  <si>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</si>
  <si>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</si>
  <si>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</si>
  <si>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</si>
  <si>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</si>
  <si>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</si>
  <si>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</si>
  <si>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</si>
  <si>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</si>
  <si>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</si>
  <si>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</si>
  <si>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是</t>
  </si>
  <si>
    <t>商业</t>
    <phoneticPr fontId="7" type="noConversion"/>
  </si>
  <si>
    <t>车库</t>
  </si>
  <si>
    <t>收益法</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</si>
  <si>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</si>
  <si>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</si>
  <si>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</si>
  <si>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</si>
  <si>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</si>
  <si>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</si>
  <si>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</si>
  <si>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</si>
  <si>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</si>
  <si>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</si>
  <si>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</si>
  <si>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</si>
  <si>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</si>
  <si>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</si>
  <si>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</si>
  <si>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</si>
  <si>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</si>
  <si>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</si>
  <si>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</si>
  <si>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</si>
  <si>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</si>
  <si>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</si>
  <si>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</si>
  <si>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</si>
  <si>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</si>
  <si>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</si>
  <si>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</si>
  <si>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</si>
  <si>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</si>
  <si>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</si>
  <si>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</si>
  <si>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</si>
  <si>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</si>
  <si>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</si>
  <si>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</si>
  <si>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</si>
  <si>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</si>
  <si>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</si>
  <si>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</si>
  <si>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</si>
  <si>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</si>
  <si>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</si>
  <si>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</si>
  <si>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</si>
  <si>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</si>
  <si>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</si>
  <si>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</si>
  <si>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</si>
  <si>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</si>
  <si>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</si>
  <si>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</si>
  <si>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</si>
  <si>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</si>
  <si>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</si>
  <si>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</si>
  <si>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</si>
  <si>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</si>
  <si>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</si>
  <si>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</si>
  <si>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</si>
  <si>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</si>
  <si>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</si>
  <si>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</si>
  <si>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</si>
  <si>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</si>
  <si>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</si>
  <si>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</si>
  <si>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</si>
  <si>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</si>
  <si>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</si>
  <si>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</si>
  <si>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</si>
  <si>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</si>
  <si>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</si>
  <si>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</si>
  <si>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</si>
  <si>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</si>
  <si>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</si>
  <si>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</si>
  <si>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东华路以东、北人字街以南、平安大街以西、民生路以北</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</si>
  <si>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</si>
  <si>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</si>
  <si>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</si>
  <si>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</si>
  <si>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</si>
  <si>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</si>
  <si>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</si>
  <si>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</si>
  <si>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</si>
  <si>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</si>
  <si>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</si>
  <si>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</si>
  <si>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塔南路南、新胜利大街西、京广东街东</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</si>
  <si>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</si>
  <si>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</si>
  <si>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</si>
  <si>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</si>
  <si>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</si>
  <si>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</si>
  <si>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</si>
  <si>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</si>
  <si>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</si>
  <si>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</si>
  <si>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</si>
  <si>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</si>
  <si>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</si>
  <si>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</si>
  <si>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</si>
  <si>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</si>
  <si>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</si>
  <si>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</si>
  <si>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</si>
  <si>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</si>
  <si>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</si>
  <si>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</si>
  <si>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</si>
  <si>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</si>
  <si>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</si>
  <si>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</si>
  <si>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</si>
  <si>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</si>
  <si>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</si>
  <si>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</si>
  <si>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</si>
  <si>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</si>
  <si>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</si>
  <si>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</si>
  <si>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</si>
  <si>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</si>
  <si>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</si>
  <si>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</si>
  <si>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</si>
  <si>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</si>
  <si>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</si>
  <si>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</si>
  <si>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</si>
  <si>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</si>
  <si>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</si>
  <si>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</si>
  <si>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</si>
  <si>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</si>
  <si>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</si>
  <si>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</si>
  <si>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</si>
  <si>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</si>
  <si>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</si>
  <si>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</si>
  <si>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</si>
  <si>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</si>
  <si>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</si>
  <si>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</si>
  <si>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</si>
  <si>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</si>
  <si>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</si>
  <si>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</si>
  <si>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</si>
  <si>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</si>
  <si>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</si>
  <si>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</si>
  <si>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</si>
  <si>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</si>
  <si>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</si>
  <si>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</si>
  <si>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</si>
  <si>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</si>
  <si>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</si>
  <si>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</si>
  <si>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</si>
  <si>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</si>
  <si>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</si>
  <si>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</si>
  <si>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</si>
  <si>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</si>
  <si>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</si>
  <si>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</si>
  <si>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</si>
  <si>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</si>
  <si>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</si>
  <si>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</si>
  <si>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总价</t>
  </si>
  <si>
    <t>仓储</t>
  </si>
  <si>
    <t>押一</t>
  </si>
  <si>
    <t>总收入</t>
    <phoneticPr fontId="140" type="noConversion"/>
  </si>
  <si>
    <t>面积</t>
    <phoneticPr fontId="140" type="noConversion"/>
  </si>
  <si>
    <t>序号</t>
    <phoneticPr fontId="140" type="noConversion"/>
  </si>
  <si>
    <t>所在楼层</t>
    <phoneticPr fontId="140" type="noConversion"/>
  </si>
  <si>
    <t>房号</t>
    <phoneticPr fontId="140" type="noConversion"/>
  </si>
  <si>
    <t>规划用途</t>
    <phoneticPr fontId="140" type="noConversion"/>
  </si>
  <si>
    <t>实际用途</t>
    <phoneticPr fontId="140" type="noConversion"/>
  </si>
  <si>
    <t>1层</t>
    <phoneticPr fontId="140" type="noConversion"/>
  </si>
  <si>
    <t>1层</t>
    <phoneticPr fontId="140" type="noConversion"/>
  </si>
  <si>
    <t>商业</t>
    <phoneticPr fontId="140" type="noConversion"/>
  </si>
  <si>
    <t>2层</t>
  </si>
  <si>
    <t>3层</t>
  </si>
  <si>
    <t>4层</t>
  </si>
  <si>
    <t>5层</t>
  </si>
  <si>
    <t>1层</t>
  </si>
  <si>
    <t>小计</t>
    <phoneticPr fontId="140" type="noConversion"/>
  </si>
  <si>
    <t>2层</t>
    <phoneticPr fontId="140" type="noConversion"/>
  </si>
  <si>
    <t>3层</t>
    <phoneticPr fontId="140" type="noConversion"/>
  </si>
  <si>
    <t>4层</t>
    <phoneticPr fontId="140" type="noConversion"/>
  </si>
  <si>
    <t>5层</t>
    <phoneticPr fontId="140" type="noConversion"/>
  </si>
  <si>
    <t>办公</t>
    <phoneticPr fontId="140" type="noConversion"/>
  </si>
  <si>
    <t>地下1层</t>
    <phoneticPr fontId="140" type="noConversion"/>
  </si>
  <si>
    <t>地下室</t>
    <phoneticPr fontId="140" type="noConversion"/>
  </si>
  <si>
    <t>车库</t>
    <phoneticPr fontId="140" type="noConversion"/>
  </si>
  <si>
    <t>合计</t>
    <phoneticPr fontId="140" type="noConversion"/>
  </si>
  <si>
    <t>——</t>
    <phoneticPr fontId="140" type="noConversion"/>
  </si>
  <si>
    <t>——</t>
    <phoneticPr fontId="140" type="noConversion"/>
  </si>
  <si>
    <r>
      <t>建筑面积（m</t>
    </r>
    <r>
      <rPr>
        <vertAlign val="superscript"/>
        <sz val="11"/>
        <color indexed="8"/>
        <rFont val="宋体"/>
        <family val="3"/>
        <charset val="134"/>
      </rPr>
      <t>2</t>
    </r>
    <r>
      <rPr>
        <sz val="11"/>
        <color indexed="8"/>
        <rFont val="宋体"/>
        <family val="3"/>
        <charset val="134"/>
      </rPr>
      <t>）</t>
    </r>
    <phoneticPr fontId="140" type="noConversion"/>
  </si>
  <si>
    <t>五通</t>
  </si>
  <si>
    <t>五通</t>
    <phoneticPr fontId="31" type="noConversion"/>
  </si>
  <si>
    <t>四通</t>
    <phoneticPr fontId="31" type="noConversion"/>
  </si>
  <si>
    <t>三通</t>
  </si>
  <si>
    <t>三通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</si>
</sst>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
      <vertAlign val="superscript"/>
      <sz val="11"/>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xf numFmtId="0" fontId="98" fillId="0" borderId="0" xfId="0" applyFont="1">
      <alignment vertical="center"/>
    </xf>
    <xf numFmtId="0" fontId="49" fillId="19" borderId="0" xfId="0" applyFont="1" applyFill="1" applyAlignment="1" applyProtection="1">
      <alignment vertical="center"/>
      <protection locked="0"/>
    </xf>
    <xf numFmtId="0" fontId="46" fillId="19" borderId="23" xfId="0" applyFont="1" applyFill="1" applyBorder="1" applyAlignment="1" applyProtection="1">
      <alignment horizontal="center" vertical="center"/>
      <protection locked="0"/>
    </xf>
    <xf numFmtId="0" fontId="134" fillId="0" borderId="1" xfId="17" applyBorder="1" applyAlignment="1">
      <alignment horizontal="center" vertical="center"/>
    </xf>
    <xf numFmtId="0" fontId="134" fillId="0" borderId="1" xfId="17" applyFill="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1</xdr:row>
      <xdr:rowOff>0</xdr:rowOff>
    </xdr:from>
    <xdr:to>
      <xdr:col>18</xdr:col>
      <xdr:colOff>437172</xdr:colOff>
      <xdr:row>38</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0" y="171450"/>
          <a:ext cx="7828572" cy="6476191"/>
        </a:xfrm>
        <a:prstGeom prst="rect">
          <a:avLst/>
        </a:prstGeom>
      </xdr:spPr>
    </xdr:pic>
    <xdr:clientData/>
  </xdr:twoCellAnchor>
  <xdr:twoCellAnchor editAs="oneCell">
    <xdr:from>
      <xdr:col>0</xdr:col>
      <xdr:colOff>457200</xdr:colOff>
      <xdr:row>40</xdr:row>
      <xdr:rowOff>9525</xdr:rowOff>
    </xdr:from>
    <xdr:to>
      <xdr:col>11</xdr:col>
      <xdr:colOff>561015</xdr:colOff>
      <xdr:row>73</xdr:row>
      <xdr:rowOff>37390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867525"/>
          <a:ext cx="7685715" cy="5685715"/>
        </a:xfrm>
        <a:prstGeom prst="rect">
          <a:avLst/>
        </a:prstGeom>
      </xdr:spPr>
    </xdr:pic>
    <xdr:clientData/>
  </xdr:twoCellAnchor>
  <xdr:twoCellAnchor editAs="oneCell">
    <xdr:from>
      <xdr:col>0</xdr:col>
      <xdr:colOff>257175</xdr:colOff>
      <xdr:row>74</xdr:row>
      <xdr:rowOff>114300</xdr:rowOff>
    </xdr:from>
    <xdr:to>
      <xdr:col>15</xdr:col>
      <xdr:colOff>189219</xdr:colOff>
      <xdr:row>108</xdr:row>
      <xdr:rowOff>85000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2801600"/>
          <a:ext cx="10257144"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估价对象为房地产，为所有。根据《国有土地使用证》[]，估价对象（分摊）出让国有建设用地使用权面积为0平方米，建筑面积为8684.62平方米。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估价对象为房地产,属开发建设的，该项目尚在开发建设中。根据《国有土地使用证》[]，估价对象（分摊）出让国有建设用地使用权面积为0平方米，规划建筑面积为8684.62平方米。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12368</v>
      </c>
    </row>
    <row r="21" spans="1:2" s="1362" customFormat="1">
      <c r="A21" s="1360" t="s">
        <v>1202</v>
      </c>
      <c r="B21" s="1361">
        <f ca="1">'预评函-2'!D7</f>
        <v>14241</v>
      </c>
    </row>
    <row r="22" spans="1:2" s="1362" customFormat="1">
      <c r="A22" s="1360" t="s">
        <v>1203</v>
      </c>
      <c r="B22" s="1361" t="str">
        <f ca="1">'预评函-2'!D6</f>
        <v>壹亿贰仟叁佰陆拾捌万元整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12368</v>
      </c>
    </row>
    <row r="31" spans="1:2" s="1362" customFormat="1">
      <c r="A31" s="1360" t="s">
        <v>1241</v>
      </c>
      <c r="B31" s="1361">
        <f ca="1">'预评函-2'!D15</f>
        <v>14241</v>
      </c>
    </row>
    <row r="32" spans="1:2" s="1362" customFormat="1">
      <c r="A32" s="1360" t="s">
        <v>1208</v>
      </c>
      <c r="B32" s="1361" t="str">
        <f ca="1">'预评函-2'!D14</f>
        <v>壹亿贰仟叁佰陆拾捌万元整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8684.6199999999972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8" t="s">
        <v>832</v>
      </c>
      <c r="C54" s="1735" t="s">
        <v>1248</v>
      </c>
    </row>
    <row r="55" spans="1:4">
      <c r="A55" s="3109"/>
      <c r="B55" s="1738" t="s">
        <v>833</v>
      </c>
      <c r="C55" s="1735" t="s">
        <v>1249</v>
      </c>
    </row>
    <row r="56" spans="1:4">
      <c r="A56" s="3109"/>
      <c r="B56" s="1738" t="s">
        <v>834</v>
      </c>
      <c r="C56" s="1735" t="s">
        <v>1253</v>
      </c>
    </row>
    <row r="57" spans="1:4">
      <c r="A57" s="310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18" t="str">
        <f>IF(B10="北京市","北京市",C10)&amp;F10&amp;IF(结果表!G1="在建","出让国有建设用地使用权及在建建筑物",IF(结果表!G1="土地","出让国有建设用地使用权",))&amp;B9&amp;"预评估"</f>
        <v>房地产抵押价值预评估</v>
      </c>
      <c r="C1" s="3119"/>
      <c r="D1" s="3119"/>
      <c r="E1" s="3119"/>
      <c r="F1" s="3119"/>
      <c r="G1" s="3119"/>
      <c r="H1" s="3119"/>
      <c r="I1" s="3120"/>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21"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22"/>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28"/>
      <c r="C16" s="3129"/>
      <c r="D16" s="3130"/>
      <c r="E16" s="2638" t="s">
        <v>2942</v>
      </c>
      <c r="F16" s="3131"/>
      <c r="G16" s="3132"/>
      <c r="H16" s="3132"/>
      <c r="I16" s="3133"/>
      <c r="J16" s="2664"/>
      <c r="K16" s="2843"/>
      <c r="L16" s="2676"/>
      <c r="M16" s="2676"/>
      <c r="N16" s="2734"/>
      <c r="O16" s="2676"/>
      <c r="P16" s="2734"/>
      <c r="Q16" s="2664"/>
      <c r="R16" s="2664"/>
    </row>
    <row r="17" spans="1:28">
      <c r="A17" s="316" t="s">
        <v>2943</v>
      </c>
      <c r="B17" s="305" t="s">
        <v>2944</v>
      </c>
      <c r="C17" s="11">
        <f>'数据-汇总表'!E3</f>
        <v>8684.6199999999972</v>
      </c>
      <c r="D17" s="2544" t="s">
        <v>2945</v>
      </c>
      <c r="E17" s="3134" t="s">
        <v>2946</v>
      </c>
      <c r="F17" s="3135"/>
      <c r="G17" s="3135"/>
      <c r="H17" s="3135"/>
      <c r="I17" s="3136"/>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37" t="s">
        <v>2950</v>
      </c>
      <c r="F18" s="3138"/>
      <c r="G18" s="3138"/>
      <c r="H18" s="3138"/>
      <c r="I18" s="3139"/>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24" t="s">
        <v>2954</v>
      </c>
      <c r="C20" s="3125"/>
      <c r="D20" s="3126" t="s">
        <v>2955</v>
      </c>
      <c r="E20" s="3127"/>
      <c r="F20" s="2873" t="s">
        <v>1742</v>
      </c>
      <c r="G20" s="2890"/>
      <c r="H20" s="2890"/>
      <c r="I20" s="2890"/>
      <c r="J20" s="2664"/>
      <c r="K20" s="3123"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2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2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1"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1"/>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1"/>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2"/>
      <c r="B30" s="305" t="s">
        <v>2966</v>
      </c>
      <c r="C30" s="3113"/>
      <c r="D30" s="3114"/>
      <c r="E30" s="2890"/>
      <c r="F30" s="2890"/>
      <c r="G30" s="2890"/>
      <c r="H30" s="2890"/>
      <c r="I30" s="2890"/>
      <c r="J30" s="2664"/>
      <c r="K30" s="2841"/>
      <c r="L30" s="2838"/>
      <c r="M30" s="2838"/>
      <c r="N30" s="2664"/>
      <c r="O30" s="2675"/>
      <c r="P30" s="2664"/>
      <c r="Q30" s="2664"/>
      <c r="R30" s="2664"/>
      <c r="S30" s="2664"/>
      <c r="T30" s="2664"/>
      <c r="U30" s="2664"/>
      <c r="V30" s="2664"/>
    </row>
    <row r="31" spans="1:28">
      <c r="A31" s="3115"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6"/>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6"/>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10" t="s">
        <v>2976</v>
      </c>
      <c r="T34" s="2653" t="str">
        <f>NUMBERSTRING(7-K34,1)&amp;"通"</f>
        <v>七通</v>
      </c>
      <c r="U34" s="2664"/>
      <c r="V34" s="2664"/>
    </row>
    <row r="35" spans="1:30">
      <c r="A35" s="2654"/>
      <c r="B35" s="3117" t="s">
        <v>2977</v>
      </c>
      <c r="C35" s="3117"/>
      <c r="D35" s="3117"/>
      <c r="E35" s="3117"/>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10"/>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57"/>
      <c r="B3" s="13">
        <f>IF(C3="否",G5-AT5,G5)</f>
        <v>8684.6199999999972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8684.6199999999972</v>
      </c>
      <c r="H5" s="15">
        <f t="shared" ref="H5:AT5" si="0">SUM(H13:H656)</f>
        <v>8684.6199999999972</v>
      </c>
      <c r="I5" s="15">
        <f t="shared" si="0"/>
        <v>6360.869999999999</v>
      </c>
      <c r="J5" s="15">
        <f t="shared" si="0"/>
        <v>0</v>
      </c>
      <c r="K5" s="15">
        <f t="shared" si="0"/>
        <v>2167.87</v>
      </c>
      <c r="L5" s="15">
        <f t="shared" si="0"/>
        <v>0</v>
      </c>
      <c r="M5" s="15">
        <f t="shared" si="0"/>
        <v>155.88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8684.6199999999972</v>
      </c>
      <c r="BA5" s="17">
        <f t="shared" si="1"/>
        <v>8684.6199999999972</v>
      </c>
      <c r="BB5" s="17">
        <f t="shared" si="1"/>
        <v>6360.869999999999</v>
      </c>
      <c r="BC5" s="17">
        <f t="shared" si="1"/>
        <v>2167.87</v>
      </c>
      <c r="BD5" s="17">
        <f t="shared" si="1"/>
        <v>155.88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3082</v>
      </c>
      <c r="J9" s="915"/>
      <c r="K9" s="1787" t="s">
        <v>3082</v>
      </c>
      <c r="L9" s="915"/>
      <c r="M9" s="1787" t="s">
        <v>3083</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27</v>
      </c>
      <c r="L10" s="915"/>
      <c r="M10" s="1793" t="s">
        <v>3268</v>
      </c>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办公</v>
      </c>
      <c r="BD11" s="1783" t="str">
        <f>M10</f>
        <v>仓储</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3084</v>
      </c>
      <c r="E13" s="15">
        <f>IF($C$3="是",ROUND($A$3*G13/$B$3,2),ROUND($A$3*(G13-AT13)/$B$3,2))</f>
        <v>0</v>
      </c>
      <c r="F13" s="31"/>
      <c r="G13" s="32">
        <f>H13+AC13+AT13</f>
        <v>8684.6199999999972</v>
      </c>
      <c r="H13" s="19">
        <f>SUMIF(I$12:AB$12,"总值",I13:AB13)</f>
        <v>8684.6199999999972</v>
      </c>
      <c r="I13" s="1810">
        <f>自有铺位面积!B9-自有铺位面积!B8-自有铺位面积!B3</f>
        <v>6360.869999999999</v>
      </c>
      <c r="J13" s="1810"/>
      <c r="K13" s="1810">
        <v>2167.87</v>
      </c>
      <c r="L13" s="1810"/>
      <c r="M13" s="1810">
        <v>155.88</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8684.6199999999972</v>
      </c>
      <c r="BA13" s="15">
        <f>SUM(BB13:BK13)</f>
        <v>8684.6199999999972</v>
      </c>
      <c r="BB13" s="15">
        <f>IF($D13="是",I13-J13,0)</f>
        <v>6360.869999999999</v>
      </c>
      <c r="BC13" s="15">
        <f>IF($D13="是",K13-L13,0)</f>
        <v>2167.87</v>
      </c>
      <c r="BD13" s="15">
        <f>IF($D13="是",M13-N13,0)</f>
        <v>155.88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zoomScaleSheetLayoutView="100" workbookViewId="0">
      <selection activeCell="L145" sqref="L145"/>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9" ht="39.950000000000003" customHeight="1">
      <c r="A1" s="3142" t="s">
        <v>3073</v>
      </c>
      <c r="B1" s="3142"/>
    </row>
    <row r="2" spans="1:9" ht="39.950000000000003" customHeight="1">
      <c r="A2" s="3046" t="s">
        <v>3074</v>
      </c>
      <c r="B2" s="3046" t="s">
        <v>3075</v>
      </c>
    </row>
    <row r="3" spans="1:9" ht="33.950000000000003" customHeight="1">
      <c r="A3" s="3047" t="s">
        <v>3076</v>
      </c>
      <c r="B3" s="3047">
        <v>155.88</v>
      </c>
    </row>
    <row r="4" spans="1:9" ht="33.950000000000003" customHeight="1">
      <c r="A4" s="3047" t="s">
        <v>3077</v>
      </c>
      <c r="B4" s="3047">
        <v>1660.73</v>
      </c>
    </row>
    <row r="5" spans="1:9" ht="33.950000000000003" customHeight="1">
      <c r="A5" s="3047" t="s">
        <v>3078</v>
      </c>
      <c r="B5" s="3047">
        <v>403.56</v>
      </c>
    </row>
    <row r="6" spans="1:9" ht="33.950000000000003" customHeight="1">
      <c r="A6" s="3047" t="s">
        <v>3079</v>
      </c>
      <c r="B6" s="3047">
        <v>526.35</v>
      </c>
    </row>
    <row r="7" spans="1:9" ht="33.950000000000003" customHeight="1">
      <c r="A7" s="3047" t="s">
        <v>3080</v>
      </c>
      <c r="B7" s="3047">
        <v>3770.23</v>
      </c>
    </row>
    <row r="8" spans="1:9" ht="33.950000000000003" customHeight="1">
      <c r="A8" s="3047" t="s">
        <v>3081</v>
      </c>
      <c r="B8" s="3047">
        <v>2167.87</v>
      </c>
    </row>
    <row r="9" spans="1:9" ht="33.950000000000003" customHeight="1">
      <c r="A9" s="3046" t="s">
        <v>37</v>
      </c>
      <c r="B9" s="3046">
        <f>SUM(B3:B8)</f>
        <v>8684.619999999999</v>
      </c>
    </row>
    <row r="13" spans="1:9" ht="15.75">
      <c r="D13" s="3065" t="s">
        <v>3272</v>
      </c>
      <c r="E13" s="3065" t="s">
        <v>3274</v>
      </c>
      <c r="F13" s="3065" t="s">
        <v>3273</v>
      </c>
      <c r="G13" s="3065" t="s">
        <v>3297</v>
      </c>
      <c r="H13" s="3065" t="s">
        <v>3275</v>
      </c>
      <c r="I13" s="3065" t="s">
        <v>3276</v>
      </c>
    </row>
    <row r="14" spans="1:9">
      <c r="D14" s="3065">
        <v>1</v>
      </c>
      <c r="E14" s="3065">
        <v>1002</v>
      </c>
      <c r="F14" s="3065" t="s">
        <v>3278</v>
      </c>
      <c r="G14" s="3065">
        <v>88.66</v>
      </c>
      <c r="H14" s="3065" t="s">
        <v>3279</v>
      </c>
      <c r="I14" s="3065" t="s">
        <v>3279</v>
      </c>
    </row>
    <row r="15" spans="1:9">
      <c r="D15" s="3065">
        <v>2</v>
      </c>
      <c r="E15" s="3065">
        <v>1004</v>
      </c>
      <c r="F15" s="3065" t="s">
        <v>3277</v>
      </c>
      <c r="G15" s="3065">
        <v>101.33</v>
      </c>
      <c r="H15" s="3065" t="s">
        <v>3279</v>
      </c>
      <c r="I15" s="3065" t="s">
        <v>3279</v>
      </c>
    </row>
    <row r="16" spans="1:9">
      <c r="D16" s="3065">
        <v>3</v>
      </c>
      <c r="E16" s="3065">
        <v>1005</v>
      </c>
      <c r="F16" s="3065" t="s">
        <v>3284</v>
      </c>
      <c r="G16" s="3065">
        <v>105.24</v>
      </c>
      <c r="H16" s="3065" t="s">
        <v>3279</v>
      </c>
      <c r="I16" s="3065" t="s">
        <v>3279</v>
      </c>
    </row>
    <row r="17" spans="4:9">
      <c r="D17" s="3065">
        <v>4</v>
      </c>
      <c r="E17" s="3065">
        <v>1006</v>
      </c>
      <c r="F17" s="3065" t="s">
        <v>3284</v>
      </c>
      <c r="G17" s="3065">
        <v>101.18</v>
      </c>
      <c r="H17" s="3065" t="s">
        <v>3279</v>
      </c>
      <c r="I17" s="3065" t="s">
        <v>3279</v>
      </c>
    </row>
    <row r="18" spans="4:9">
      <c r="D18" s="3065">
        <v>5</v>
      </c>
      <c r="E18" s="3065">
        <v>1007</v>
      </c>
      <c r="F18" s="3065" t="s">
        <v>3284</v>
      </c>
      <c r="G18" s="3065">
        <v>74.430000000000007</v>
      </c>
      <c r="H18" s="3065" t="s">
        <v>3279</v>
      </c>
      <c r="I18" s="3065" t="s">
        <v>3279</v>
      </c>
    </row>
    <row r="19" spans="4:9">
      <c r="D19" s="3065">
        <v>6</v>
      </c>
      <c r="E19" s="3065">
        <v>1008</v>
      </c>
      <c r="F19" s="3065" t="s">
        <v>3284</v>
      </c>
      <c r="G19" s="3065">
        <v>64.63</v>
      </c>
      <c r="H19" s="3065" t="s">
        <v>3279</v>
      </c>
      <c r="I19" s="3065" t="s">
        <v>3279</v>
      </c>
    </row>
    <row r="20" spans="4:9">
      <c r="D20" s="3065">
        <v>7</v>
      </c>
      <c r="E20" s="3065">
        <v>1011</v>
      </c>
      <c r="F20" s="3065" t="s">
        <v>3284</v>
      </c>
      <c r="G20" s="3065">
        <v>106.06</v>
      </c>
      <c r="H20" s="3065" t="s">
        <v>3279</v>
      </c>
      <c r="I20" s="3065" t="s">
        <v>3279</v>
      </c>
    </row>
    <row r="21" spans="4:9">
      <c r="D21" s="3065">
        <v>8</v>
      </c>
      <c r="E21" s="3065">
        <v>1012</v>
      </c>
      <c r="F21" s="3065" t="s">
        <v>3284</v>
      </c>
      <c r="G21" s="3065">
        <v>106.06</v>
      </c>
      <c r="H21" s="3065" t="s">
        <v>3279</v>
      </c>
      <c r="I21" s="3065" t="s">
        <v>3279</v>
      </c>
    </row>
    <row r="22" spans="4:9">
      <c r="D22" s="3065">
        <v>9</v>
      </c>
      <c r="E22" s="3065">
        <v>1014</v>
      </c>
      <c r="F22" s="3065" t="s">
        <v>3284</v>
      </c>
      <c r="G22" s="3065">
        <v>66.27</v>
      </c>
      <c r="H22" s="3065" t="s">
        <v>3279</v>
      </c>
      <c r="I22" s="3065" t="s">
        <v>3279</v>
      </c>
    </row>
    <row r="23" spans="4:9">
      <c r="D23" s="3065">
        <v>10</v>
      </c>
      <c r="E23" s="3065">
        <v>1016</v>
      </c>
      <c r="F23" s="3065" t="s">
        <v>3284</v>
      </c>
      <c r="G23" s="3065">
        <v>129.28</v>
      </c>
      <c r="H23" s="3065" t="s">
        <v>3279</v>
      </c>
      <c r="I23" s="3065" t="s">
        <v>3279</v>
      </c>
    </row>
    <row r="24" spans="4:9">
      <c r="D24" s="3065">
        <v>11</v>
      </c>
      <c r="E24" s="3065">
        <v>1017</v>
      </c>
      <c r="F24" s="3065" t="s">
        <v>3284</v>
      </c>
      <c r="G24" s="3065">
        <v>93.94</v>
      </c>
      <c r="H24" s="3065" t="s">
        <v>3279</v>
      </c>
      <c r="I24" s="3065" t="s">
        <v>3279</v>
      </c>
    </row>
    <row r="25" spans="4:9">
      <c r="D25" s="3065">
        <v>12</v>
      </c>
      <c r="E25" s="3065">
        <v>1025</v>
      </c>
      <c r="F25" s="3065" t="s">
        <v>3284</v>
      </c>
      <c r="G25" s="3065">
        <v>89.54</v>
      </c>
      <c r="H25" s="3065" t="s">
        <v>3279</v>
      </c>
      <c r="I25" s="3065" t="s">
        <v>3279</v>
      </c>
    </row>
    <row r="26" spans="4:9">
      <c r="D26" s="3065">
        <v>13</v>
      </c>
      <c r="E26" s="3065">
        <v>1027</v>
      </c>
      <c r="F26" s="3065" t="s">
        <v>3284</v>
      </c>
      <c r="G26" s="3065">
        <v>165.71</v>
      </c>
      <c r="H26" s="3065" t="s">
        <v>3279</v>
      </c>
      <c r="I26" s="3065" t="s">
        <v>3279</v>
      </c>
    </row>
    <row r="27" spans="4:9">
      <c r="D27" s="3065">
        <v>14</v>
      </c>
      <c r="E27" s="3065">
        <v>1028</v>
      </c>
      <c r="F27" s="3065" t="s">
        <v>3284</v>
      </c>
      <c r="G27" s="3065">
        <v>179.4</v>
      </c>
      <c r="H27" s="3065" t="s">
        <v>3279</v>
      </c>
      <c r="I27" s="3065" t="s">
        <v>3279</v>
      </c>
    </row>
    <row r="28" spans="4:9">
      <c r="D28" s="3065">
        <v>15</v>
      </c>
      <c r="E28" s="3065">
        <v>1029</v>
      </c>
      <c r="F28" s="3065" t="s">
        <v>3284</v>
      </c>
      <c r="G28" s="3065">
        <v>154.1</v>
      </c>
      <c r="H28" s="3065" t="s">
        <v>3279</v>
      </c>
      <c r="I28" s="3065" t="s">
        <v>3279</v>
      </c>
    </row>
    <row r="29" spans="4:9">
      <c r="D29" s="3065">
        <v>16</v>
      </c>
      <c r="E29" s="3065">
        <v>1032</v>
      </c>
      <c r="F29" s="3065" t="s">
        <v>3284</v>
      </c>
      <c r="G29" s="3065">
        <v>14.09</v>
      </c>
      <c r="H29" s="3065" t="s">
        <v>3279</v>
      </c>
      <c r="I29" s="3065" t="s">
        <v>3279</v>
      </c>
    </row>
    <row r="30" spans="4:9">
      <c r="D30" s="3065">
        <v>17</v>
      </c>
      <c r="E30" s="3065">
        <v>1033</v>
      </c>
      <c r="F30" s="3065" t="s">
        <v>3284</v>
      </c>
      <c r="G30" s="3065">
        <v>20.81</v>
      </c>
      <c r="H30" s="3065" t="s">
        <v>3279</v>
      </c>
      <c r="I30" s="3065" t="s">
        <v>3279</v>
      </c>
    </row>
    <row r="31" spans="4:9">
      <c r="D31" s="3065" t="s">
        <v>3285</v>
      </c>
      <c r="E31" s="3065" t="s">
        <v>3295</v>
      </c>
      <c r="F31" s="3065"/>
      <c r="G31" s="3066">
        <f>SUM(G14:G30)</f>
        <v>1660.7299999999998</v>
      </c>
      <c r="H31" s="3065" t="s">
        <v>3295</v>
      </c>
      <c r="I31" s="3065" t="s">
        <v>3295</v>
      </c>
    </row>
    <row r="32" spans="4:9">
      <c r="D32" s="3065">
        <v>18</v>
      </c>
      <c r="E32" s="3065">
        <v>2013</v>
      </c>
      <c r="F32" s="3065" t="s">
        <v>3286</v>
      </c>
      <c r="G32" s="3065">
        <v>88.42</v>
      </c>
      <c r="H32" s="3065" t="s">
        <v>3279</v>
      </c>
      <c r="I32" s="3065" t="s">
        <v>3279</v>
      </c>
    </row>
    <row r="33" spans="4:9">
      <c r="D33" s="3065">
        <v>19</v>
      </c>
      <c r="E33" s="3065">
        <v>2021</v>
      </c>
      <c r="F33" s="3065" t="s">
        <v>3286</v>
      </c>
      <c r="G33" s="3065">
        <v>28.71</v>
      </c>
      <c r="H33" s="3065" t="s">
        <v>3279</v>
      </c>
      <c r="I33" s="3065" t="s">
        <v>3279</v>
      </c>
    </row>
    <row r="34" spans="4:9">
      <c r="D34" s="3065">
        <v>20</v>
      </c>
      <c r="E34" s="3065">
        <v>2027</v>
      </c>
      <c r="F34" s="3065" t="s">
        <v>3280</v>
      </c>
      <c r="G34" s="3065">
        <v>28.49</v>
      </c>
      <c r="H34" s="3065" t="s">
        <v>3279</v>
      </c>
      <c r="I34" s="3065" t="s">
        <v>3279</v>
      </c>
    </row>
    <row r="35" spans="4:9">
      <c r="D35" s="3065">
        <v>21</v>
      </c>
      <c r="E35" s="3065">
        <v>2037</v>
      </c>
      <c r="F35" s="3065" t="s">
        <v>3280</v>
      </c>
      <c r="G35" s="3065">
        <v>24.83</v>
      </c>
      <c r="H35" s="3065" t="s">
        <v>3279</v>
      </c>
      <c r="I35" s="3065" t="s">
        <v>3279</v>
      </c>
    </row>
    <row r="36" spans="4:9">
      <c r="D36" s="3065">
        <v>22</v>
      </c>
      <c r="E36" s="3065">
        <v>2057</v>
      </c>
      <c r="F36" s="3065" t="s">
        <v>3280</v>
      </c>
      <c r="G36" s="3065">
        <v>45.95</v>
      </c>
      <c r="H36" s="3065" t="s">
        <v>3279</v>
      </c>
      <c r="I36" s="3065" t="s">
        <v>3279</v>
      </c>
    </row>
    <row r="37" spans="4:9">
      <c r="D37" s="3065">
        <v>23</v>
      </c>
      <c r="E37" s="3065">
        <v>2101</v>
      </c>
      <c r="F37" s="3065" t="s">
        <v>3280</v>
      </c>
      <c r="G37" s="3065">
        <v>187.16</v>
      </c>
      <c r="H37" s="3065" t="s">
        <v>3279</v>
      </c>
      <c r="I37" s="3065" t="s">
        <v>3279</v>
      </c>
    </row>
    <row r="38" spans="4:9">
      <c r="D38" s="3065" t="s">
        <v>3285</v>
      </c>
      <c r="E38" s="3065" t="s">
        <v>3295</v>
      </c>
      <c r="F38" s="3065" t="s">
        <v>3295</v>
      </c>
      <c r="G38" s="3066">
        <f>SUM(G32:G37)</f>
        <v>403.55999999999995</v>
      </c>
      <c r="H38" s="3065" t="s">
        <v>3295</v>
      </c>
      <c r="I38" s="3065" t="s">
        <v>3295</v>
      </c>
    </row>
    <row r="39" spans="4:9">
      <c r="D39" s="3065">
        <v>24</v>
      </c>
      <c r="E39" s="3065">
        <v>3013</v>
      </c>
      <c r="F39" s="3065" t="s">
        <v>3287</v>
      </c>
      <c r="G39" s="3065">
        <v>48.05</v>
      </c>
      <c r="H39" s="3065" t="s">
        <v>3279</v>
      </c>
      <c r="I39" s="3065" t="s">
        <v>3279</v>
      </c>
    </row>
    <row r="40" spans="4:9">
      <c r="D40" s="3065">
        <v>25</v>
      </c>
      <c r="E40" s="3065">
        <v>3016</v>
      </c>
      <c r="F40" s="3065" t="s">
        <v>3287</v>
      </c>
      <c r="G40" s="3065">
        <v>57.52</v>
      </c>
      <c r="H40" s="3065" t="s">
        <v>3279</v>
      </c>
      <c r="I40" s="3065" t="s">
        <v>3279</v>
      </c>
    </row>
    <row r="41" spans="4:9">
      <c r="D41" s="3065">
        <v>26</v>
      </c>
      <c r="E41" s="3065">
        <v>3017</v>
      </c>
      <c r="F41" s="3065" t="s">
        <v>3281</v>
      </c>
      <c r="G41" s="3065">
        <v>61.29</v>
      </c>
      <c r="H41" s="3065" t="s">
        <v>3279</v>
      </c>
      <c r="I41" s="3065" t="s">
        <v>3279</v>
      </c>
    </row>
    <row r="42" spans="4:9">
      <c r="D42" s="3065">
        <v>27</v>
      </c>
      <c r="E42" s="3065">
        <v>3018</v>
      </c>
      <c r="F42" s="3065" t="s">
        <v>3281</v>
      </c>
      <c r="G42" s="3065">
        <v>59.73</v>
      </c>
      <c r="H42" s="3065" t="s">
        <v>3279</v>
      </c>
      <c r="I42" s="3065" t="s">
        <v>3279</v>
      </c>
    </row>
    <row r="43" spans="4:9">
      <c r="D43" s="3065">
        <v>28</v>
      </c>
      <c r="E43" s="3065">
        <v>3054</v>
      </c>
      <c r="F43" s="3065" t="s">
        <v>3281</v>
      </c>
      <c r="G43" s="3065">
        <v>31.25</v>
      </c>
      <c r="H43" s="3065" t="s">
        <v>3279</v>
      </c>
      <c r="I43" s="3065" t="s">
        <v>3279</v>
      </c>
    </row>
    <row r="44" spans="4:9">
      <c r="D44" s="3065">
        <v>29</v>
      </c>
      <c r="E44" s="3065">
        <v>3083</v>
      </c>
      <c r="F44" s="3065" t="s">
        <v>3281</v>
      </c>
      <c r="G44" s="3065">
        <v>21.74</v>
      </c>
      <c r="H44" s="3065" t="s">
        <v>3279</v>
      </c>
      <c r="I44" s="3065" t="s">
        <v>3279</v>
      </c>
    </row>
    <row r="45" spans="4:9">
      <c r="D45" s="3065">
        <v>30</v>
      </c>
      <c r="E45" s="3065">
        <v>3113</v>
      </c>
      <c r="F45" s="3065" t="s">
        <v>3281</v>
      </c>
      <c r="G45" s="3065">
        <v>59.61</v>
      </c>
      <c r="H45" s="3065" t="s">
        <v>3279</v>
      </c>
      <c r="I45" s="3065" t="s">
        <v>3279</v>
      </c>
    </row>
    <row r="46" spans="4:9">
      <c r="D46" s="3065">
        <v>31</v>
      </c>
      <c r="E46" s="3065">
        <v>3114</v>
      </c>
      <c r="F46" s="3065" t="s">
        <v>3281</v>
      </c>
      <c r="G46" s="3065">
        <v>187.16</v>
      </c>
      <c r="H46" s="3065" t="s">
        <v>3279</v>
      </c>
      <c r="I46" s="3065" t="s">
        <v>3279</v>
      </c>
    </row>
    <row r="47" spans="4:9">
      <c r="D47" s="3065" t="s">
        <v>3285</v>
      </c>
      <c r="E47" s="3065" t="s">
        <v>3295</v>
      </c>
      <c r="F47" s="3065" t="s">
        <v>3295</v>
      </c>
      <c r="G47" s="3066">
        <f>SUM(G39:G46)</f>
        <v>526.35</v>
      </c>
      <c r="H47" s="3065" t="s">
        <v>3295</v>
      </c>
      <c r="I47" s="3065" t="s">
        <v>3295</v>
      </c>
    </row>
    <row r="48" spans="4:9">
      <c r="D48" s="3065">
        <v>32</v>
      </c>
      <c r="E48" s="3065">
        <v>4001</v>
      </c>
      <c r="F48" s="3065" t="s">
        <v>3288</v>
      </c>
      <c r="G48" s="3065">
        <v>36.04</v>
      </c>
      <c r="H48" s="3065" t="s">
        <v>3279</v>
      </c>
      <c r="I48" s="3065" t="s">
        <v>3279</v>
      </c>
    </row>
    <row r="49" spans="4:9">
      <c r="D49" s="3065">
        <v>33</v>
      </c>
      <c r="E49" s="3065">
        <v>4002</v>
      </c>
      <c r="F49" s="3065" t="s">
        <v>3288</v>
      </c>
      <c r="G49" s="3065">
        <v>34.83</v>
      </c>
      <c r="H49" s="3065" t="s">
        <v>3279</v>
      </c>
      <c r="I49" s="3065" t="s">
        <v>3279</v>
      </c>
    </row>
    <row r="50" spans="4:9">
      <c r="D50" s="3065">
        <v>34</v>
      </c>
      <c r="E50" s="3065">
        <v>4003</v>
      </c>
      <c r="F50" s="3065" t="s">
        <v>3282</v>
      </c>
      <c r="G50" s="3065">
        <v>35.17</v>
      </c>
      <c r="H50" s="3065" t="s">
        <v>3279</v>
      </c>
      <c r="I50" s="3065" t="s">
        <v>3279</v>
      </c>
    </row>
    <row r="51" spans="4:9">
      <c r="D51" s="3065">
        <v>35</v>
      </c>
      <c r="E51" s="3065">
        <v>4004</v>
      </c>
      <c r="F51" s="3065" t="s">
        <v>3282</v>
      </c>
      <c r="G51" s="3065">
        <v>44.63</v>
      </c>
      <c r="H51" s="3065" t="s">
        <v>3279</v>
      </c>
      <c r="I51" s="3065" t="s">
        <v>3279</v>
      </c>
    </row>
    <row r="52" spans="4:9">
      <c r="D52" s="3065">
        <v>36</v>
      </c>
      <c r="E52" s="3065">
        <v>4005</v>
      </c>
      <c r="F52" s="3065" t="s">
        <v>3282</v>
      </c>
      <c r="G52" s="3065">
        <v>41.79</v>
      </c>
      <c r="H52" s="3065" t="s">
        <v>3279</v>
      </c>
      <c r="I52" s="3065" t="s">
        <v>3279</v>
      </c>
    </row>
    <row r="53" spans="4:9">
      <c r="D53" s="3065">
        <v>37</v>
      </c>
      <c r="E53" s="3065">
        <v>4006</v>
      </c>
      <c r="F53" s="3065" t="s">
        <v>3282</v>
      </c>
      <c r="G53" s="3065">
        <v>25.44</v>
      </c>
      <c r="H53" s="3065" t="s">
        <v>3279</v>
      </c>
      <c r="I53" s="3065" t="s">
        <v>3279</v>
      </c>
    </row>
    <row r="54" spans="4:9">
      <c r="D54" s="3065">
        <v>38</v>
      </c>
      <c r="E54" s="3065">
        <v>4007</v>
      </c>
      <c r="F54" s="3065" t="s">
        <v>3282</v>
      </c>
      <c r="G54" s="3065">
        <v>34.1</v>
      </c>
      <c r="H54" s="3065" t="s">
        <v>3279</v>
      </c>
      <c r="I54" s="3065" t="s">
        <v>3279</v>
      </c>
    </row>
    <row r="55" spans="4:9">
      <c r="D55" s="3065">
        <v>39</v>
      </c>
      <c r="E55" s="3065">
        <v>4008</v>
      </c>
      <c r="F55" s="3065" t="s">
        <v>3282</v>
      </c>
      <c r="G55" s="3065">
        <v>41.79</v>
      </c>
      <c r="H55" s="3065" t="s">
        <v>3279</v>
      </c>
      <c r="I55" s="3065" t="s">
        <v>3279</v>
      </c>
    </row>
    <row r="56" spans="4:9">
      <c r="D56" s="3065">
        <v>40</v>
      </c>
      <c r="E56" s="3065">
        <v>4009</v>
      </c>
      <c r="F56" s="3065" t="s">
        <v>3282</v>
      </c>
      <c r="G56" s="3065">
        <v>43.04</v>
      </c>
      <c r="H56" s="3065" t="s">
        <v>3279</v>
      </c>
      <c r="I56" s="3065" t="s">
        <v>3279</v>
      </c>
    </row>
    <row r="57" spans="4:9">
      <c r="D57" s="3065">
        <v>41</v>
      </c>
      <c r="E57" s="3065">
        <v>4010</v>
      </c>
      <c r="F57" s="3065" t="s">
        <v>3282</v>
      </c>
      <c r="G57" s="3065">
        <v>48.48</v>
      </c>
      <c r="H57" s="3065" t="s">
        <v>3279</v>
      </c>
      <c r="I57" s="3065" t="s">
        <v>3279</v>
      </c>
    </row>
    <row r="58" spans="4:9">
      <c r="D58" s="3065">
        <v>42</v>
      </c>
      <c r="E58" s="3065">
        <v>4011</v>
      </c>
      <c r="F58" s="3065" t="s">
        <v>3282</v>
      </c>
      <c r="G58" s="3065">
        <v>76.81</v>
      </c>
      <c r="H58" s="3065" t="s">
        <v>3279</v>
      </c>
      <c r="I58" s="3065" t="s">
        <v>3279</v>
      </c>
    </row>
    <row r="59" spans="4:9">
      <c r="D59" s="3065">
        <v>43</v>
      </c>
      <c r="E59" s="3065">
        <v>4012</v>
      </c>
      <c r="F59" s="3065" t="s">
        <v>3282</v>
      </c>
      <c r="G59" s="3065">
        <v>69.8</v>
      </c>
      <c r="H59" s="3065" t="s">
        <v>3279</v>
      </c>
      <c r="I59" s="3065" t="s">
        <v>3279</v>
      </c>
    </row>
    <row r="60" spans="4:9">
      <c r="D60" s="3065">
        <v>44</v>
      </c>
      <c r="E60" s="3065">
        <v>4013</v>
      </c>
      <c r="F60" s="3065" t="s">
        <v>3282</v>
      </c>
      <c r="G60" s="3065">
        <v>57.9</v>
      </c>
      <c r="H60" s="3065" t="s">
        <v>3279</v>
      </c>
      <c r="I60" s="3065" t="s">
        <v>3279</v>
      </c>
    </row>
    <row r="61" spans="4:9">
      <c r="D61" s="3065">
        <v>45</v>
      </c>
      <c r="E61" s="3065">
        <v>4014</v>
      </c>
      <c r="F61" s="3065" t="s">
        <v>3282</v>
      </c>
      <c r="G61" s="3065">
        <v>61.66</v>
      </c>
      <c r="H61" s="3065" t="s">
        <v>3279</v>
      </c>
      <c r="I61" s="3065" t="s">
        <v>3279</v>
      </c>
    </row>
    <row r="62" spans="4:9">
      <c r="D62" s="3065">
        <v>46</v>
      </c>
      <c r="E62" s="3065">
        <v>4015</v>
      </c>
      <c r="F62" s="3065" t="s">
        <v>3282</v>
      </c>
      <c r="G62" s="3065">
        <v>59.87</v>
      </c>
      <c r="H62" s="3065" t="s">
        <v>3279</v>
      </c>
      <c r="I62" s="3065" t="s">
        <v>3279</v>
      </c>
    </row>
    <row r="63" spans="4:9">
      <c r="D63" s="3065">
        <v>47</v>
      </c>
      <c r="E63" s="3065">
        <v>4016</v>
      </c>
      <c r="F63" s="3065" t="s">
        <v>3282</v>
      </c>
      <c r="G63" s="3065">
        <v>30.11</v>
      </c>
      <c r="H63" s="3065" t="s">
        <v>3279</v>
      </c>
      <c r="I63" s="3065" t="s">
        <v>3279</v>
      </c>
    </row>
    <row r="64" spans="4:9">
      <c r="D64" s="3065">
        <v>48</v>
      </c>
      <c r="E64" s="3065">
        <v>4017</v>
      </c>
      <c r="F64" s="3065" t="s">
        <v>3282</v>
      </c>
      <c r="G64" s="3065">
        <v>31.45</v>
      </c>
      <c r="H64" s="3065" t="s">
        <v>3279</v>
      </c>
      <c r="I64" s="3065" t="s">
        <v>3279</v>
      </c>
    </row>
    <row r="65" spans="4:9">
      <c r="D65" s="3065">
        <v>49</v>
      </c>
      <c r="E65" s="3065">
        <v>4018</v>
      </c>
      <c r="F65" s="3065" t="s">
        <v>3282</v>
      </c>
      <c r="G65" s="3065">
        <v>32.799999999999997</v>
      </c>
      <c r="H65" s="3065" t="s">
        <v>3279</v>
      </c>
      <c r="I65" s="3065" t="s">
        <v>3279</v>
      </c>
    </row>
    <row r="66" spans="4:9">
      <c r="D66" s="3065">
        <v>50</v>
      </c>
      <c r="E66" s="3065">
        <v>4019</v>
      </c>
      <c r="F66" s="3065" t="s">
        <v>3282</v>
      </c>
      <c r="G66" s="3065">
        <v>34.14</v>
      </c>
      <c r="H66" s="3065" t="s">
        <v>3279</v>
      </c>
      <c r="I66" s="3065" t="s">
        <v>3279</v>
      </c>
    </row>
    <row r="67" spans="4:9">
      <c r="D67" s="3065">
        <v>51</v>
      </c>
      <c r="E67" s="3065">
        <v>4020</v>
      </c>
      <c r="F67" s="3065" t="s">
        <v>3282</v>
      </c>
      <c r="G67" s="3065">
        <v>35.47</v>
      </c>
      <c r="H67" s="3065" t="s">
        <v>3279</v>
      </c>
      <c r="I67" s="3065" t="s">
        <v>3279</v>
      </c>
    </row>
    <row r="68" spans="4:9">
      <c r="D68" s="3065">
        <v>52</v>
      </c>
      <c r="E68" s="3065">
        <v>4021</v>
      </c>
      <c r="F68" s="3065" t="s">
        <v>3282</v>
      </c>
      <c r="G68" s="3065">
        <v>36.81</v>
      </c>
      <c r="H68" s="3065" t="s">
        <v>3279</v>
      </c>
      <c r="I68" s="3065" t="s">
        <v>3279</v>
      </c>
    </row>
    <row r="69" spans="4:9">
      <c r="D69" s="3065">
        <v>53</v>
      </c>
      <c r="E69" s="3065">
        <v>4022</v>
      </c>
      <c r="F69" s="3065" t="s">
        <v>3282</v>
      </c>
      <c r="G69" s="3065">
        <v>38.15</v>
      </c>
      <c r="H69" s="3065" t="s">
        <v>3279</v>
      </c>
      <c r="I69" s="3065" t="s">
        <v>3279</v>
      </c>
    </row>
    <row r="70" spans="4:9">
      <c r="D70" s="3065">
        <v>54</v>
      </c>
      <c r="E70" s="3065">
        <v>4023</v>
      </c>
      <c r="F70" s="3065" t="s">
        <v>3282</v>
      </c>
      <c r="G70" s="3065">
        <v>38.11</v>
      </c>
      <c r="H70" s="3065" t="s">
        <v>3279</v>
      </c>
      <c r="I70" s="3065" t="s">
        <v>3279</v>
      </c>
    </row>
    <row r="71" spans="4:9">
      <c r="D71" s="3065">
        <v>55</v>
      </c>
      <c r="E71" s="3065">
        <v>4024</v>
      </c>
      <c r="F71" s="3065" t="s">
        <v>3282</v>
      </c>
      <c r="G71" s="3065">
        <v>61.48</v>
      </c>
      <c r="H71" s="3065" t="s">
        <v>3279</v>
      </c>
      <c r="I71" s="3065" t="s">
        <v>3279</v>
      </c>
    </row>
    <row r="72" spans="4:9">
      <c r="D72" s="3065">
        <v>56</v>
      </c>
      <c r="E72" s="3065">
        <v>4025</v>
      </c>
      <c r="F72" s="3065" t="s">
        <v>3282</v>
      </c>
      <c r="G72" s="3065">
        <v>61.48</v>
      </c>
      <c r="H72" s="3065" t="s">
        <v>3279</v>
      </c>
      <c r="I72" s="3065" t="s">
        <v>3279</v>
      </c>
    </row>
    <row r="73" spans="4:9">
      <c r="D73" s="3065">
        <v>57</v>
      </c>
      <c r="E73" s="3065">
        <v>4026</v>
      </c>
      <c r="F73" s="3065" t="s">
        <v>3282</v>
      </c>
      <c r="G73" s="3065">
        <v>46.8</v>
      </c>
      <c r="H73" s="3065" t="s">
        <v>3279</v>
      </c>
      <c r="I73" s="3065" t="s">
        <v>3279</v>
      </c>
    </row>
    <row r="74" spans="4:9">
      <c r="D74" s="3065">
        <v>58</v>
      </c>
      <c r="E74" s="3065">
        <v>4027</v>
      </c>
      <c r="F74" s="3065" t="s">
        <v>3282</v>
      </c>
      <c r="G74" s="3065">
        <v>56.16</v>
      </c>
      <c r="H74" s="3065" t="s">
        <v>3279</v>
      </c>
      <c r="I74" s="3065" t="s">
        <v>3279</v>
      </c>
    </row>
    <row r="75" spans="4:9">
      <c r="D75" s="3065">
        <v>59</v>
      </c>
      <c r="E75" s="3065">
        <v>4028</v>
      </c>
      <c r="F75" s="3065" t="s">
        <v>3282</v>
      </c>
      <c r="G75" s="3065">
        <v>54.82</v>
      </c>
      <c r="H75" s="3065" t="s">
        <v>3279</v>
      </c>
      <c r="I75" s="3065" t="s">
        <v>3279</v>
      </c>
    </row>
    <row r="76" spans="4:9">
      <c r="D76" s="3065">
        <v>60</v>
      </c>
      <c r="E76" s="3065">
        <v>4029</v>
      </c>
      <c r="F76" s="3065" t="s">
        <v>3282</v>
      </c>
      <c r="G76" s="3065">
        <v>27.54</v>
      </c>
      <c r="H76" s="3065" t="s">
        <v>3279</v>
      </c>
      <c r="I76" s="3065" t="s">
        <v>3279</v>
      </c>
    </row>
    <row r="77" spans="4:9">
      <c r="D77" s="3065">
        <v>61</v>
      </c>
      <c r="E77" s="3065">
        <v>4030</v>
      </c>
      <c r="F77" s="3065" t="s">
        <v>3282</v>
      </c>
      <c r="G77" s="3065">
        <v>33.119999999999997</v>
      </c>
      <c r="H77" s="3065" t="s">
        <v>3279</v>
      </c>
      <c r="I77" s="3065" t="s">
        <v>3279</v>
      </c>
    </row>
    <row r="78" spans="4:9">
      <c r="D78" s="3065">
        <v>62</v>
      </c>
      <c r="E78" s="3065">
        <v>4031</v>
      </c>
      <c r="F78" s="3065" t="s">
        <v>3282</v>
      </c>
      <c r="G78" s="3065">
        <v>31.94</v>
      </c>
      <c r="H78" s="3065" t="s">
        <v>3279</v>
      </c>
      <c r="I78" s="3065" t="s">
        <v>3279</v>
      </c>
    </row>
    <row r="79" spans="4:9">
      <c r="D79" s="3065">
        <v>63</v>
      </c>
      <c r="E79" s="3065">
        <v>4032</v>
      </c>
      <c r="F79" s="3065" t="s">
        <v>3282</v>
      </c>
      <c r="G79" s="3065">
        <v>25.47</v>
      </c>
      <c r="H79" s="3065" t="s">
        <v>3279</v>
      </c>
      <c r="I79" s="3065" t="s">
        <v>3279</v>
      </c>
    </row>
    <row r="80" spans="4:9">
      <c r="D80" s="3065">
        <v>64</v>
      </c>
      <c r="E80" s="3065">
        <v>4033</v>
      </c>
      <c r="F80" s="3065" t="s">
        <v>3282</v>
      </c>
      <c r="G80" s="3065">
        <v>30.6</v>
      </c>
      <c r="H80" s="3065" t="s">
        <v>3279</v>
      </c>
      <c r="I80" s="3065" t="s">
        <v>3279</v>
      </c>
    </row>
    <row r="81" spans="4:9">
      <c r="D81" s="3065">
        <v>65</v>
      </c>
      <c r="E81" s="3065">
        <v>4034</v>
      </c>
      <c r="F81" s="3065" t="s">
        <v>3282</v>
      </c>
      <c r="G81" s="3065">
        <v>29.67</v>
      </c>
      <c r="H81" s="3065" t="s">
        <v>3279</v>
      </c>
      <c r="I81" s="3065" t="s">
        <v>3279</v>
      </c>
    </row>
    <row r="82" spans="4:9">
      <c r="D82" s="3065">
        <v>66</v>
      </c>
      <c r="E82" s="3065">
        <v>4035</v>
      </c>
      <c r="F82" s="3065" t="s">
        <v>3282</v>
      </c>
      <c r="G82" s="3065">
        <v>25.47</v>
      </c>
      <c r="H82" s="3065" t="s">
        <v>3279</v>
      </c>
      <c r="I82" s="3065" t="s">
        <v>3279</v>
      </c>
    </row>
    <row r="83" spans="4:9">
      <c r="D83" s="3065">
        <v>67</v>
      </c>
      <c r="E83" s="3065">
        <v>4036</v>
      </c>
      <c r="F83" s="3065" t="s">
        <v>3282</v>
      </c>
      <c r="G83" s="3065">
        <v>30.6</v>
      </c>
      <c r="H83" s="3065" t="s">
        <v>3279</v>
      </c>
      <c r="I83" s="3065" t="s">
        <v>3279</v>
      </c>
    </row>
    <row r="84" spans="4:9">
      <c r="D84" s="3065">
        <v>68</v>
      </c>
      <c r="E84" s="3065">
        <v>4037</v>
      </c>
      <c r="F84" s="3065" t="s">
        <v>3282</v>
      </c>
      <c r="G84" s="3065">
        <v>29.67</v>
      </c>
      <c r="H84" s="3065" t="s">
        <v>3279</v>
      </c>
      <c r="I84" s="3065" t="s">
        <v>3279</v>
      </c>
    </row>
    <row r="85" spans="4:9">
      <c r="D85" s="3065">
        <v>69</v>
      </c>
      <c r="E85" s="3065">
        <v>4038</v>
      </c>
      <c r="F85" s="3065" t="s">
        <v>3282</v>
      </c>
      <c r="G85" s="3065">
        <v>23.4</v>
      </c>
      <c r="H85" s="3065" t="s">
        <v>3279</v>
      </c>
      <c r="I85" s="3065" t="s">
        <v>3279</v>
      </c>
    </row>
    <row r="86" spans="4:9">
      <c r="D86" s="3065">
        <v>70</v>
      </c>
      <c r="E86" s="3065">
        <v>4039</v>
      </c>
      <c r="F86" s="3065" t="s">
        <v>3282</v>
      </c>
      <c r="G86" s="3065">
        <v>28.08</v>
      </c>
      <c r="H86" s="3065" t="s">
        <v>3279</v>
      </c>
      <c r="I86" s="3065" t="s">
        <v>3279</v>
      </c>
    </row>
    <row r="87" spans="4:9">
      <c r="D87" s="3065">
        <v>71</v>
      </c>
      <c r="E87" s="3065">
        <v>4040</v>
      </c>
      <c r="F87" s="3065" t="s">
        <v>3282</v>
      </c>
      <c r="G87" s="3065">
        <v>27.41</v>
      </c>
      <c r="H87" s="3065" t="s">
        <v>3279</v>
      </c>
      <c r="I87" s="3065" t="s">
        <v>3279</v>
      </c>
    </row>
    <row r="88" spans="4:9">
      <c r="D88" s="3065">
        <v>72</v>
      </c>
      <c r="E88" s="3065">
        <v>4041</v>
      </c>
      <c r="F88" s="3065" t="s">
        <v>3282</v>
      </c>
      <c r="G88" s="3065">
        <v>19.62</v>
      </c>
      <c r="H88" s="3065" t="s">
        <v>3279</v>
      </c>
      <c r="I88" s="3065" t="s">
        <v>3279</v>
      </c>
    </row>
    <row r="89" spans="4:9">
      <c r="D89" s="3065">
        <v>73</v>
      </c>
      <c r="E89" s="3065">
        <v>4042</v>
      </c>
      <c r="F89" s="3065" t="s">
        <v>3282</v>
      </c>
      <c r="G89" s="3065">
        <v>23.61</v>
      </c>
      <c r="H89" s="3065" t="s">
        <v>3279</v>
      </c>
      <c r="I89" s="3065" t="s">
        <v>3279</v>
      </c>
    </row>
    <row r="90" spans="4:9">
      <c r="D90" s="3065">
        <v>74</v>
      </c>
      <c r="E90" s="3065">
        <v>4043</v>
      </c>
      <c r="F90" s="3065" t="s">
        <v>3282</v>
      </c>
      <c r="G90" s="3065">
        <v>22.66</v>
      </c>
      <c r="H90" s="3065" t="s">
        <v>3279</v>
      </c>
      <c r="I90" s="3065" t="s">
        <v>3279</v>
      </c>
    </row>
    <row r="91" spans="4:9">
      <c r="D91" s="3065">
        <v>75</v>
      </c>
      <c r="E91" s="3065">
        <v>4044</v>
      </c>
      <c r="F91" s="3065" t="s">
        <v>3282</v>
      </c>
      <c r="G91" s="3065">
        <v>31.98</v>
      </c>
      <c r="H91" s="3065" t="s">
        <v>3279</v>
      </c>
      <c r="I91" s="3065" t="s">
        <v>3279</v>
      </c>
    </row>
    <row r="92" spans="4:9">
      <c r="D92" s="3065">
        <v>76</v>
      </c>
      <c r="E92" s="3065">
        <v>4045</v>
      </c>
      <c r="F92" s="3065" t="s">
        <v>3282</v>
      </c>
      <c r="G92" s="3065">
        <v>43.45</v>
      </c>
      <c r="H92" s="3065" t="s">
        <v>3279</v>
      </c>
      <c r="I92" s="3065" t="s">
        <v>3279</v>
      </c>
    </row>
    <row r="93" spans="4:9">
      <c r="D93" s="3065">
        <v>77</v>
      </c>
      <c r="E93" s="3065">
        <v>4046</v>
      </c>
      <c r="F93" s="3065" t="s">
        <v>3282</v>
      </c>
      <c r="G93" s="3065">
        <v>37.31</v>
      </c>
      <c r="H93" s="3065" t="s">
        <v>3279</v>
      </c>
      <c r="I93" s="3065" t="s">
        <v>3279</v>
      </c>
    </row>
    <row r="94" spans="4:9">
      <c r="D94" s="3065">
        <v>78</v>
      </c>
      <c r="E94" s="3065">
        <v>4047</v>
      </c>
      <c r="F94" s="3065" t="s">
        <v>3282</v>
      </c>
      <c r="G94" s="3065">
        <v>50.59</v>
      </c>
      <c r="H94" s="3065" t="s">
        <v>3279</v>
      </c>
      <c r="I94" s="3065" t="s">
        <v>3279</v>
      </c>
    </row>
    <row r="95" spans="4:9">
      <c r="D95" s="3065">
        <v>79</v>
      </c>
      <c r="E95" s="3065">
        <v>4048</v>
      </c>
      <c r="F95" s="3065" t="s">
        <v>3282</v>
      </c>
      <c r="G95" s="3065">
        <v>36.1</v>
      </c>
      <c r="H95" s="3065" t="s">
        <v>3279</v>
      </c>
      <c r="I95" s="3065" t="s">
        <v>3279</v>
      </c>
    </row>
    <row r="96" spans="4:9">
      <c r="D96" s="3065">
        <v>80</v>
      </c>
      <c r="E96" s="3065">
        <v>4049</v>
      </c>
      <c r="F96" s="3065" t="s">
        <v>3282</v>
      </c>
      <c r="G96" s="3065">
        <v>49.49</v>
      </c>
      <c r="H96" s="3065" t="s">
        <v>3279</v>
      </c>
      <c r="I96" s="3065" t="s">
        <v>3279</v>
      </c>
    </row>
    <row r="97" spans="4:9">
      <c r="D97" s="3065">
        <v>81</v>
      </c>
      <c r="E97" s="3065">
        <v>4050</v>
      </c>
      <c r="F97" s="3065" t="s">
        <v>3282</v>
      </c>
      <c r="G97" s="3065">
        <v>47.8</v>
      </c>
      <c r="H97" s="3065" t="s">
        <v>3279</v>
      </c>
      <c r="I97" s="3065" t="s">
        <v>3279</v>
      </c>
    </row>
    <row r="98" spans="4:9">
      <c r="D98" s="3065">
        <v>82</v>
      </c>
      <c r="E98" s="3065">
        <v>4051</v>
      </c>
      <c r="F98" s="3065" t="s">
        <v>3282</v>
      </c>
      <c r="G98" s="3065">
        <v>49.17</v>
      </c>
      <c r="H98" s="3065" t="s">
        <v>3279</v>
      </c>
      <c r="I98" s="3065" t="s">
        <v>3279</v>
      </c>
    </row>
    <row r="99" spans="4:9">
      <c r="D99" s="3065">
        <v>83</v>
      </c>
      <c r="E99" s="3065">
        <v>4052</v>
      </c>
      <c r="F99" s="3065" t="s">
        <v>3282</v>
      </c>
      <c r="G99" s="3065">
        <v>66.8</v>
      </c>
      <c r="H99" s="3065" t="s">
        <v>3279</v>
      </c>
      <c r="I99" s="3065" t="s">
        <v>3279</v>
      </c>
    </row>
    <row r="100" spans="4:9">
      <c r="D100" s="3065">
        <v>84</v>
      </c>
      <c r="E100" s="3065">
        <v>4053</v>
      </c>
      <c r="F100" s="3065" t="s">
        <v>3282</v>
      </c>
      <c r="G100" s="3065">
        <v>43.82</v>
      </c>
      <c r="H100" s="3065" t="s">
        <v>3279</v>
      </c>
      <c r="I100" s="3065" t="s">
        <v>3279</v>
      </c>
    </row>
    <row r="101" spans="4:9">
      <c r="D101" s="3065">
        <v>85</v>
      </c>
      <c r="E101" s="3065">
        <v>4054</v>
      </c>
      <c r="F101" s="3065" t="s">
        <v>3282</v>
      </c>
      <c r="G101" s="3065">
        <v>45.09</v>
      </c>
      <c r="H101" s="3065" t="s">
        <v>3279</v>
      </c>
      <c r="I101" s="3065" t="s">
        <v>3279</v>
      </c>
    </row>
    <row r="102" spans="4:9">
      <c r="D102" s="3065">
        <v>86</v>
      </c>
      <c r="E102" s="3065">
        <v>4055</v>
      </c>
      <c r="F102" s="3065" t="s">
        <v>3282</v>
      </c>
      <c r="G102" s="3065">
        <v>61.27</v>
      </c>
      <c r="H102" s="3065" t="s">
        <v>3279</v>
      </c>
      <c r="I102" s="3065" t="s">
        <v>3279</v>
      </c>
    </row>
    <row r="103" spans="4:9">
      <c r="D103" s="3065">
        <v>87</v>
      </c>
      <c r="E103" s="3065">
        <v>4056</v>
      </c>
      <c r="F103" s="3065" t="s">
        <v>3282</v>
      </c>
      <c r="G103" s="3065">
        <v>48.8</v>
      </c>
      <c r="H103" s="3065" t="s">
        <v>3279</v>
      </c>
      <c r="I103" s="3065" t="s">
        <v>3279</v>
      </c>
    </row>
    <row r="104" spans="4:9">
      <c r="D104" s="3065">
        <v>88</v>
      </c>
      <c r="E104" s="3065">
        <v>4057</v>
      </c>
      <c r="F104" s="3065" t="s">
        <v>3282</v>
      </c>
      <c r="G104" s="3065">
        <v>48.13</v>
      </c>
      <c r="H104" s="3065" t="s">
        <v>3279</v>
      </c>
      <c r="I104" s="3065" t="s">
        <v>3279</v>
      </c>
    </row>
    <row r="105" spans="4:9">
      <c r="D105" s="3065">
        <v>89</v>
      </c>
      <c r="E105" s="3065">
        <v>4058</v>
      </c>
      <c r="F105" s="3065" t="s">
        <v>3282</v>
      </c>
      <c r="G105" s="3065">
        <v>29.13</v>
      </c>
      <c r="H105" s="3065" t="s">
        <v>3279</v>
      </c>
      <c r="I105" s="3065" t="s">
        <v>3279</v>
      </c>
    </row>
    <row r="106" spans="4:9">
      <c r="D106" s="3065">
        <v>90</v>
      </c>
      <c r="E106" s="3065">
        <v>4059</v>
      </c>
      <c r="F106" s="3065" t="s">
        <v>3282</v>
      </c>
      <c r="G106" s="3065">
        <v>27.95</v>
      </c>
      <c r="H106" s="3065" t="s">
        <v>3279</v>
      </c>
      <c r="I106" s="3065" t="s">
        <v>3279</v>
      </c>
    </row>
    <row r="107" spans="4:9">
      <c r="D107" s="3065">
        <v>91</v>
      </c>
      <c r="E107" s="3065">
        <v>4060</v>
      </c>
      <c r="F107" s="3065" t="s">
        <v>3282</v>
      </c>
      <c r="G107" s="3065">
        <v>26.76</v>
      </c>
      <c r="H107" s="3065" t="s">
        <v>3279</v>
      </c>
      <c r="I107" s="3065" t="s">
        <v>3279</v>
      </c>
    </row>
    <row r="108" spans="4:9">
      <c r="D108" s="3065">
        <v>92</v>
      </c>
      <c r="E108" s="3065">
        <v>4061</v>
      </c>
      <c r="F108" s="3065" t="s">
        <v>3282</v>
      </c>
      <c r="G108" s="3065">
        <v>26.01</v>
      </c>
      <c r="H108" s="3065" t="s">
        <v>3279</v>
      </c>
      <c r="I108" s="3065" t="s">
        <v>3279</v>
      </c>
    </row>
    <row r="109" spans="4:9">
      <c r="D109" s="3065">
        <v>93</v>
      </c>
      <c r="E109" s="3065">
        <v>4062</v>
      </c>
      <c r="F109" s="3065" t="s">
        <v>3282</v>
      </c>
      <c r="G109" s="3066">
        <v>34.630000000000003</v>
      </c>
      <c r="H109" s="3065" t="s">
        <v>3279</v>
      </c>
      <c r="I109" s="3065" t="s">
        <v>3279</v>
      </c>
    </row>
    <row r="110" spans="4:9">
      <c r="D110" s="3065">
        <v>94</v>
      </c>
      <c r="E110" s="3065">
        <v>4063</v>
      </c>
      <c r="F110" s="3065" t="s">
        <v>3282</v>
      </c>
      <c r="G110" s="3065">
        <v>33.770000000000003</v>
      </c>
      <c r="H110" s="3065" t="s">
        <v>3279</v>
      </c>
      <c r="I110" s="3065" t="s">
        <v>3279</v>
      </c>
    </row>
    <row r="111" spans="4:9">
      <c r="D111" s="3065">
        <v>95</v>
      </c>
      <c r="E111" s="3065">
        <v>4064</v>
      </c>
      <c r="F111" s="3065" t="s">
        <v>3282</v>
      </c>
      <c r="G111" s="3065">
        <v>32.28</v>
      </c>
      <c r="H111" s="3065" t="s">
        <v>3279</v>
      </c>
      <c r="I111" s="3065" t="s">
        <v>3279</v>
      </c>
    </row>
    <row r="112" spans="4:9">
      <c r="D112" s="3065">
        <v>96</v>
      </c>
      <c r="E112" s="3065">
        <v>4065</v>
      </c>
      <c r="F112" s="3065" t="s">
        <v>3282</v>
      </c>
      <c r="G112" s="3065">
        <v>31.83</v>
      </c>
      <c r="H112" s="3065" t="s">
        <v>3279</v>
      </c>
      <c r="I112" s="3065" t="s">
        <v>3279</v>
      </c>
    </row>
    <row r="113" spans="4:9">
      <c r="D113" s="3065">
        <v>97</v>
      </c>
      <c r="E113" s="3065">
        <v>4066</v>
      </c>
      <c r="F113" s="3065" t="s">
        <v>3282</v>
      </c>
      <c r="G113" s="3065">
        <v>20.86</v>
      </c>
      <c r="H113" s="3065" t="s">
        <v>3279</v>
      </c>
      <c r="I113" s="3065" t="s">
        <v>3279</v>
      </c>
    </row>
    <row r="114" spans="4:9">
      <c r="D114" s="3065">
        <v>98</v>
      </c>
      <c r="E114" s="3065">
        <v>4067</v>
      </c>
      <c r="F114" s="3065" t="s">
        <v>3282</v>
      </c>
      <c r="G114" s="3065">
        <v>19.8</v>
      </c>
      <c r="H114" s="3065" t="s">
        <v>3279</v>
      </c>
      <c r="I114" s="3065" t="s">
        <v>3279</v>
      </c>
    </row>
    <row r="115" spans="4:9">
      <c r="D115" s="3065">
        <v>99</v>
      </c>
      <c r="E115" s="3065">
        <v>4068</v>
      </c>
      <c r="F115" s="3065" t="s">
        <v>3282</v>
      </c>
      <c r="G115" s="3065">
        <v>47.8</v>
      </c>
      <c r="H115" s="3065" t="s">
        <v>3279</v>
      </c>
      <c r="I115" s="3065" t="s">
        <v>3279</v>
      </c>
    </row>
    <row r="116" spans="4:9">
      <c r="D116" s="3065">
        <v>100</v>
      </c>
      <c r="E116" s="3065">
        <v>4069</v>
      </c>
      <c r="F116" s="3065" t="s">
        <v>3282</v>
      </c>
      <c r="G116" s="3065">
        <v>49.17</v>
      </c>
      <c r="H116" s="3065" t="s">
        <v>3279</v>
      </c>
      <c r="I116" s="3065" t="s">
        <v>3279</v>
      </c>
    </row>
    <row r="117" spans="4:9">
      <c r="D117" s="3065">
        <v>101</v>
      </c>
      <c r="E117" s="3065">
        <v>4070</v>
      </c>
      <c r="F117" s="3065" t="s">
        <v>3282</v>
      </c>
      <c r="G117" s="3065">
        <v>30.36</v>
      </c>
      <c r="H117" s="3065" t="s">
        <v>3279</v>
      </c>
      <c r="I117" s="3065" t="s">
        <v>3279</v>
      </c>
    </row>
    <row r="118" spans="4:9">
      <c r="D118" s="3065">
        <v>102</v>
      </c>
      <c r="E118" s="3065">
        <v>4071</v>
      </c>
      <c r="F118" s="3065" t="s">
        <v>3282</v>
      </c>
      <c r="G118" s="3065">
        <v>43.82</v>
      </c>
      <c r="H118" s="3065" t="s">
        <v>3279</v>
      </c>
      <c r="I118" s="3065" t="s">
        <v>3279</v>
      </c>
    </row>
    <row r="119" spans="4:9">
      <c r="D119" s="3065">
        <v>103</v>
      </c>
      <c r="E119" s="3065">
        <v>4072</v>
      </c>
      <c r="F119" s="3065" t="s">
        <v>3282</v>
      </c>
      <c r="G119" s="3065">
        <v>45.09</v>
      </c>
      <c r="H119" s="3065" t="s">
        <v>3279</v>
      </c>
      <c r="I119" s="3065" t="s">
        <v>3279</v>
      </c>
    </row>
    <row r="120" spans="4:9">
      <c r="D120" s="3065">
        <v>104</v>
      </c>
      <c r="E120" s="3065">
        <v>4073</v>
      </c>
      <c r="F120" s="3065" t="s">
        <v>3282</v>
      </c>
      <c r="G120" s="3065">
        <v>27.84</v>
      </c>
      <c r="H120" s="3065" t="s">
        <v>3279</v>
      </c>
      <c r="I120" s="3065" t="s">
        <v>3279</v>
      </c>
    </row>
    <row r="121" spans="4:9">
      <c r="D121" s="3065">
        <v>105</v>
      </c>
      <c r="E121" s="3065">
        <v>4074</v>
      </c>
      <c r="F121" s="3065" t="s">
        <v>3282</v>
      </c>
      <c r="G121" s="3065">
        <v>28.75</v>
      </c>
      <c r="H121" s="3065" t="s">
        <v>3279</v>
      </c>
      <c r="I121" s="3065" t="s">
        <v>3279</v>
      </c>
    </row>
    <row r="122" spans="4:9">
      <c r="D122" s="3065">
        <v>106</v>
      </c>
      <c r="E122" s="3065">
        <v>4075</v>
      </c>
      <c r="F122" s="3065" t="s">
        <v>3282</v>
      </c>
      <c r="G122" s="3065">
        <v>34.76</v>
      </c>
      <c r="H122" s="3065" t="s">
        <v>3279</v>
      </c>
      <c r="I122" s="3065" t="s">
        <v>3279</v>
      </c>
    </row>
    <row r="123" spans="4:9">
      <c r="D123" s="3065">
        <v>107</v>
      </c>
      <c r="E123" s="3065">
        <v>4076</v>
      </c>
      <c r="F123" s="3065" t="s">
        <v>3282</v>
      </c>
      <c r="G123" s="3065">
        <v>29.89</v>
      </c>
      <c r="H123" s="3065" t="s">
        <v>3279</v>
      </c>
      <c r="I123" s="3065" t="s">
        <v>3279</v>
      </c>
    </row>
    <row r="124" spans="4:9">
      <c r="D124" s="3065">
        <v>108</v>
      </c>
      <c r="E124" s="3065">
        <v>4077</v>
      </c>
      <c r="F124" s="3065" t="s">
        <v>3282</v>
      </c>
      <c r="G124" s="3065">
        <v>21.82</v>
      </c>
      <c r="H124" s="3065" t="s">
        <v>3279</v>
      </c>
      <c r="I124" s="3065" t="s">
        <v>3279</v>
      </c>
    </row>
    <row r="125" spans="4:9">
      <c r="D125" s="3065">
        <v>109</v>
      </c>
      <c r="E125" s="3065">
        <v>4078</v>
      </c>
      <c r="F125" s="3065" t="s">
        <v>3282</v>
      </c>
      <c r="G125" s="3065">
        <v>29.89</v>
      </c>
      <c r="H125" s="3065" t="s">
        <v>3279</v>
      </c>
      <c r="I125" s="3065" t="s">
        <v>3279</v>
      </c>
    </row>
    <row r="126" spans="4:9">
      <c r="D126" s="3065">
        <v>110</v>
      </c>
      <c r="E126" s="3065">
        <v>4079</v>
      </c>
      <c r="F126" s="3065" t="s">
        <v>3282</v>
      </c>
      <c r="G126" s="3065">
        <v>21.05</v>
      </c>
      <c r="H126" s="3065" t="s">
        <v>3279</v>
      </c>
      <c r="I126" s="3065" t="s">
        <v>3279</v>
      </c>
    </row>
    <row r="127" spans="4:9">
      <c r="D127" s="3065">
        <v>111</v>
      </c>
      <c r="E127" s="3065">
        <v>4080</v>
      </c>
      <c r="F127" s="3065" t="s">
        <v>3282</v>
      </c>
      <c r="G127" s="3065">
        <v>31.31</v>
      </c>
      <c r="H127" s="3065" t="s">
        <v>3279</v>
      </c>
      <c r="I127" s="3065" t="s">
        <v>3279</v>
      </c>
    </row>
    <row r="128" spans="4:9">
      <c r="D128" s="3065">
        <v>112</v>
      </c>
      <c r="E128" s="3065">
        <v>4081</v>
      </c>
      <c r="F128" s="3065" t="s">
        <v>3282</v>
      </c>
      <c r="G128" s="3065">
        <v>30.92</v>
      </c>
      <c r="H128" s="3065" t="s">
        <v>3279</v>
      </c>
      <c r="I128" s="3065" t="s">
        <v>3279</v>
      </c>
    </row>
    <row r="129" spans="4:9">
      <c r="D129" s="3065">
        <v>113</v>
      </c>
      <c r="E129" s="3065">
        <v>4082</v>
      </c>
      <c r="F129" s="3065" t="s">
        <v>3282</v>
      </c>
      <c r="G129" s="3065">
        <v>43.19</v>
      </c>
      <c r="H129" s="3065" t="s">
        <v>3279</v>
      </c>
      <c r="I129" s="3065" t="s">
        <v>3279</v>
      </c>
    </row>
    <row r="130" spans="4:9">
      <c r="D130" s="3065">
        <v>114</v>
      </c>
      <c r="E130" s="3065">
        <v>4083</v>
      </c>
      <c r="F130" s="3065" t="s">
        <v>3282</v>
      </c>
      <c r="G130" s="3065">
        <v>42.81</v>
      </c>
      <c r="H130" s="3065" t="s">
        <v>3279</v>
      </c>
      <c r="I130" s="3065" t="s">
        <v>3279</v>
      </c>
    </row>
    <row r="131" spans="4:9">
      <c r="D131" s="3065">
        <v>115</v>
      </c>
      <c r="E131" s="3065">
        <v>4084</v>
      </c>
      <c r="F131" s="3065" t="s">
        <v>3282</v>
      </c>
      <c r="G131" s="3065">
        <v>33.880000000000003</v>
      </c>
      <c r="H131" s="3065" t="s">
        <v>3279</v>
      </c>
      <c r="I131" s="3065" t="s">
        <v>3279</v>
      </c>
    </row>
    <row r="132" spans="4:9">
      <c r="D132" s="3065">
        <v>116</v>
      </c>
      <c r="E132" s="3065">
        <v>4085</v>
      </c>
      <c r="F132" s="3065" t="s">
        <v>3282</v>
      </c>
      <c r="G132" s="3065">
        <v>26.31</v>
      </c>
      <c r="H132" s="3065" t="s">
        <v>3279</v>
      </c>
      <c r="I132" s="3065" t="s">
        <v>3279</v>
      </c>
    </row>
    <row r="133" spans="4:9">
      <c r="D133" s="3065">
        <v>117</v>
      </c>
      <c r="E133" s="3065">
        <v>4086</v>
      </c>
      <c r="F133" s="3065" t="s">
        <v>3282</v>
      </c>
      <c r="G133" s="3065">
        <v>35.39</v>
      </c>
      <c r="H133" s="3065" t="s">
        <v>3279</v>
      </c>
      <c r="I133" s="3065" t="s">
        <v>3279</v>
      </c>
    </row>
    <row r="134" spans="4:9">
      <c r="D134" s="3065">
        <v>118</v>
      </c>
      <c r="E134" s="3065">
        <v>4087</v>
      </c>
      <c r="F134" s="3065" t="s">
        <v>3282</v>
      </c>
      <c r="G134" s="3065">
        <v>36.96</v>
      </c>
      <c r="H134" s="3065" t="s">
        <v>3279</v>
      </c>
      <c r="I134" s="3065" t="s">
        <v>3279</v>
      </c>
    </row>
    <row r="135" spans="4:9">
      <c r="D135" s="3065">
        <v>119</v>
      </c>
      <c r="E135" s="3065">
        <v>4088</v>
      </c>
      <c r="F135" s="3065" t="s">
        <v>3282</v>
      </c>
      <c r="G135" s="3065">
        <v>59.61</v>
      </c>
      <c r="H135" s="3065" t="s">
        <v>3279</v>
      </c>
      <c r="I135" s="3065" t="s">
        <v>3279</v>
      </c>
    </row>
    <row r="136" spans="4:9">
      <c r="D136" s="3065">
        <v>120</v>
      </c>
      <c r="E136" s="3065">
        <v>4089</v>
      </c>
      <c r="F136" s="3065" t="s">
        <v>3282</v>
      </c>
      <c r="G136" s="3065">
        <v>187.16</v>
      </c>
      <c r="H136" s="3065" t="s">
        <v>3279</v>
      </c>
      <c r="I136" s="3065" t="s">
        <v>3279</v>
      </c>
    </row>
    <row r="137" spans="4:9">
      <c r="D137" s="3065">
        <v>121</v>
      </c>
      <c r="E137" s="3065">
        <v>4090</v>
      </c>
      <c r="F137" s="3065" t="s">
        <v>3282</v>
      </c>
      <c r="G137" s="3065">
        <v>36.770000000000003</v>
      </c>
      <c r="H137" s="3065" t="s">
        <v>3279</v>
      </c>
      <c r="I137" s="3065" t="s">
        <v>3279</v>
      </c>
    </row>
    <row r="138" spans="4:9">
      <c r="D138" s="3065">
        <v>122</v>
      </c>
      <c r="E138" s="3065">
        <v>4091</v>
      </c>
      <c r="F138" s="3065" t="s">
        <v>3282</v>
      </c>
      <c r="G138" s="3065">
        <v>37.590000000000003</v>
      </c>
      <c r="H138" s="3065" t="s">
        <v>3279</v>
      </c>
      <c r="I138" s="3065" t="s">
        <v>3279</v>
      </c>
    </row>
    <row r="139" spans="4:9">
      <c r="D139" s="3065">
        <v>123</v>
      </c>
      <c r="E139" s="3065">
        <v>4092</v>
      </c>
      <c r="F139" s="3065" t="s">
        <v>3282</v>
      </c>
      <c r="G139" s="3065">
        <v>37.590000000000003</v>
      </c>
      <c r="H139" s="3065" t="s">
        <v>3279</v>
      </c>
      <c r="I139" s="3065" t="s">
        <v>3279</v>
      </c>
    </row>
    <row r="140" spans="4:9">
      <c r="D140" s="3065">
        <v>124</v>
      </c>
      <c r="E140" s="3065">
        <v>4093</v>
      </c>
      <c r="F140" s="3065" t="s">
        <v>3282</v>
      </c>
      <c r="G140" s="3065">
        <v>37.590000000000003</v>
      </c>
      <c r="H140" s="3065" t="s">
        <v>3279</v>
      </c>
      <c r="I140" s="3065" t="s">
        <v>3279</v>
      </c>
    </row>
    <row r="141" spans="4:9">
      <c r="D141" s="3065">
        <v>125</v>
      </c>
      <c r="E141" s="3065">
        <v>4094</v>
      </c>
      <c r="F141" s="3065" t="s">
        <v>3282</v>
      </c>
      <c r="G141" s="3065">
        <v>46.59</v>
      </c>
      <c r="H141" s="3065" t="s">
        <v>3279</v>
      </c>
      <c r="I141" s="3065" t="s">
        <v>3279</v>
      </c>
    </row>
    <row r="142" spans="4:9">
      <c r="D142" s="3065">
        <v>126</v>
      </c>
      <c r="E142" s="3065">
        <v>4095</v>
      </c>
      <c r="F142" s="3065" t="s">
        <v>3282</v>
      </c>
      <c r="G142" s="3065">
        <v>15.51</v>
      </c>
      <c r="H142" s="3065" t="s">
        <v>3279</v>
      </c>
      <c r="I142" s="3065" t="s">
        <v>3279</v>
      </c>
    </row>
    <row r="143" spans="4:9">
      <c r="D143" s="3065" t="s">
        <v>3285</v>
      </c>
      <c r="E143" s="3065" t="s">
        <v>3295</v>
      </c>
      <c r="F143" s="3065" t="s">
        <v>3295</v>
      </c>
      <c r="G143" s="3066">
        <f>SUM(G48:G142)</f>
        <v>3770.2300000000032</v>
      </c>
      <c r="H143" s="3065" t="s">
        <v>3295</v>
      </c>
      <c r="I143" s="3065" t="s">
        <v>3295</v>
      </c>
    </row>
    <row r="144" spans="4:9">
      <c r="D144" s="3065">
        <v>127</v>
      </c>
      <c r="E144" s="3065">
        <v>5001</v>
      </c>
      <c r="F144" s="3065" t="s">
        <v>3289</v>
      </c>
      <c r="G144" s="3065">
        <v>98.68</v>
      </c>
      <c r="H144" s="3065" t="s">
        <v>3290</v>
      </c>
      <c r="I144" s="3065" t="s">
        <v>3290</v>
      </c>
    </row>
    <row r="145" spans="4:9">
      <c r="D145" s="3065">
        <v>128</v>
      </c>
      <c r="E145" s="3065">
        <v>5002</v>
      </c>
      <c r="F145" s="3065" t="s">
        <v>3289</v>
      </c>
      <c r="G145" s="3065">
        <v>116.45</v>
      </c>
      <c r="H145" s="3065" t="s">
        <v>3290</v>
      </c>
      <c r="I145" s="3065" t="s">
        <v>3290</v>
      </c>
    </row>
    <row r="146" spans="4:9">
      <c r="D146" s="3065">
        <v>129</v>
      </c>
      <c r="E146" s="3065">
        <v>5003</v>
      </c>
      <c r="F146" s="3065" t="s">
        <v>3283</v>
      </c>
      <c r="G146" s="3065">
        <v>116.45</v>
      </c>
      <c r="H146" s="3065" t="s">
        <v>3290</v>
      </c>
      <c r="I146" s="3065" t="s">
        <v>3290</v>
      </c>
    </row>
    <row r="147" spans="4:9">
      <c r="D147" s="3065">
        <v>130</v>
      </c>
      <c r="E147" s="3065">
        <v>5004</v>
      </c>
      <c r="F147" s="3065" t="s">
        <v>3283</v>
      </c>
      <c r="G147" s="3065">
        <v>116.45</v>
      </c>
      <c r="H147" s="3065" t="s">
        <v>3290</v>
      </c>
      <c r="I147" s="3065" t="s">
        <v>3290</v>
      </c>
    </row>
    <row r="148" spans="4:9">
      <c r="D148" s="3065">
        <v>131</v>
      </c>
      <c r="E148" s="3065">
        <v>5005</v>
      </c>
      <c r="F148" s="3065" t="s">
        <v>3283</v>
      </c>
      <c r="G148" s="3065">
        <v>120.49</v>
      </c>
      <c r="H148" s="3065" t="s">
        <v>3290</v>
      </c>
      <c r="I148" s="3065" t="s">
        <v>3290</v>
      </c>
    </row>
    <row r="149" spans="4:9">
      <c r="D149" s="3065">
        <v>132</v>
      </c>
      <c r="E149" s="3065">
        <v>5006</v>
      </c>
      <c r="F149" s="3065" t="s">
        <v>3283</v>
      </c>
      <c r="G149" s="3065">
        <v>536.72</v>
      </c>
      <c r="H149" s="3065" t="s">
        <v>3290</v>
      </c>
      <c r="I149" s="3065" t="s">
        <v>3290</v>
      </c>
    </row>
    <row r="150" spans="4:9">
      <c r="D150" s="3065">
        <v>133</v>
      </c>
      <c r="E150" s="3065">
        <v>5007</v>
      </c>
      <c r="F150" s="3065" t="s">
        <v>3283</v>
      </c>
      <c r="G150" s="3065">
        <v>76.319999999999993</v>
      </c>
      <c r="H150" s="3065" t="s">
        <v>3290</v>
      </c>
      <c r="I150" s="3065" t="s">
        <v>3290</v>
      </c>
    </row>
    <row r="151" spans="4:9">
      <c r="D151" s="3065">
        <v>134</v>
      </c>
      <c r="E151" s="3065">
        <v>5008</v>
      </c>
      <c r="F151" s="3065" t="s">
        <v>3283</v>
      </c>
      <c r="G151" s="3065">
        <v>231.29</v>
      </c>
      <c r="H151" s="3065" t="s">
        <v>3290</v>
      </c>
      <c r="I151" s="3065" t="s">
        <v>3290</v>
      </c>
    </row>
    <row r="152" spans="4:9">
      <c r="D152" s="3065">
        <v>135</v>
      </c>
      <c r="E152" s="3065">
        <v>5009</v>
      </c>
      <c r="F152" s="3065" t="s">
        <v>3283</v>
      </c>
      <c r="G152" s="3065">
        <v>117.82</v>
      </c>
      <c r="H152" s="3065" t="s">
        <v>3290</v>
      </c>
      <c r="I152" s="3065" t="s">
        <v>3290</v>
      </c>
    </row>
    <row r="153" spans="4:9">
      <c r="D153" s="3065">
        <v>136</v>
      </c>
      <c r="E153" s="3065">
        <v>5010</v>
      </c>
      <c r="F153" s="3065" t="s">
        <v>3283</v>
      </c>
      <c r="G153" s="3065">
        <v>39.340000000000003</v>
      </c>
      <c r="H153" s="3065" t="s">
        <v>3290</v>
      </c>
      <c r="I153" s="3065" t="s">
        <v>3290</v>
      </c>
    </row>
    <row r="154" spans="4:9">
      <c r="D154" s="3065">
        <v>137</v>
      </c>
      <c r="E154" s="3065">
        <v>5011</v>
      </c>
      <c r="F154" s="3065" t="s">
        <v>3283</v>
      </c>
      <c r="G154" s="3065">
        <v>39.340000000000003</v>
      </c>
      <c r="H154" s="3065" t="s">
        <v>3290</v>
      </c>
      <c r="I154" s="3065" t="s">
        <v>3290</v>
      </c>
    </row>
    <row r="155" spans="4:9">
      <c r="D155" s="3065">
        <v>138</v>
      </c>
      <c r="E155" s="3065">
        <v>5012</v>
      </c>
      <c r="F155" s="3065" t="s">
        <v>3283</v>
      </c>
      <c r="G155" s="3065">
        <v>39.340000000000003</v>
      </c>
      <c r="H155" s="3065" t="s">
        <v>3290</v>
      </c>
      <c r="I155" s="3065" t="s">
        <v>3290</v>
      </c>
    </row>
    <row r="156" spans="4:9">
      <c r="D156" s="3065">
        <v>139</v>
      </c>
      <c r="E156" s="3065">
        <v>5013</v>
      </c>
      <c r="F156" s="3065" t="s">
        <v>3283</v>
      </c>
      <c r="G156" s="3065">
        <v>39.340000000000003</v>
      </c>
      <c r="H156" s="3065" t="s">
        <v>3290</v>
      </c>
      <c r="I156" s="3065" t="s">
        <v>3290</v>
      </c>
    </row>
    <row r="157" spans="4:9">
      <c r="D157" s="3065">
        <v>140</v>
      </c>
      <c r="E157" s="3065">
        <v>5014</v>
      </c>
      <c r="F157" s="3065" t="s">
        <v>3283</v>
      </c>
      <c r="G157" s="3065">
        <v>39.340000000000003</v>
      </c>
      <c r="H157" s="3065" t="s">
        <v>3290</v>
      </c>
      <c r="I157" s="3065" t="s">
        <v>3290</v>
      </c>
    </row>
    <row r="158" spans="4:9">
      <c r="D158" s="3065">
        <v>141</v>
      </c>
      <c r="E158" s="3065">
        <v>5015</v>
      </c>
      <c r="F158" s="3065" t="s">
        <v>3283</v>
      </c>
      <c r="G158" s="3065">
        <v>39.340000000000003</v>
      </c>
      <c r="H158" s="3065" t="s">
        <v>3290</v>
      </c>
      <c r="I158" s="3065" t="s">
        <v>3290</v>
      </c>
    </row>
    <row r="159" spans="4:9">
      <c r="D159" s="3065">
        <v>142</v>
      </c>
      <c r="E159" s="3065">
        <v>5016</v>
      </c>
      <c r="F159" s="3065" t="s">
        <v>3283</v>
      </c>
      <c r="G159" s="3065">
        <v>52.13</v>
      </c>
      <c r="H159" s="3065" t="s">
        <v>3290</v>
      </c>
      <c r="I159" s="3065" t="s">
        <v>3290</v>
      </c>
    </row>
    <row r="160" spans="4:9">
      <c r="D160" s="3065">
        <v>143</v>
      </c>
      <c r="E160" s="3065">
        <v>5017</v>
      </c>
      <c r="F160" s="3065" t="s">
        <v>3283</v>
      </c>
      <c r="G160" s="3065">
        <v>77.55</v>
      </c>
      <c r="H160" s="3065" t="s">
        <v>3290</v>
      </c>
      <c r="I160" s="3065" t="s">
        <v>3290</v>
      </c>
    </row>
    <row r="161" spans="4:9">
      <c r="D161" s="3065">
        <v>144</v>
      </c>
      <c r="E161" s="3065">
        <v>5018</v>
      </c>
      <c r="F161" s="3065" t="s">
        <v>3283</v>
      </c>
      <c r="G161" s="3065">
        <v>128.19999999999999</v>
      </c>
      <c r="H161" s="3065" t="s">
        <v>3290</v>
      </c>
      <c r="I161" s="3065" t="s">
        <v>3290</v>
      </c>
    </row>
    <row r="162" spans="4:9">
      <c r="D162" s="3065">
        <v>145</v>
      </c>
      <c r="E162" s="3065">
        <v>5019</v>
      </c>
      <c r="F162" s="3065" t="s">
        <v>3283</v>
      </c>
      <c r="G162" s="3065">
        <v>106.47</v>
      </c>
      <c r="H162" s="3065" t="s">
        <v>3290</v>
      </c>
      <c r="I162" s="3065" t="s">
        <v>3290</v>
      </c>
    </row>
    <row r="163" spans="4:9">
      <c r="D163" s="3065">
        <v>146</v>
      </c>
      <c r="E163" s="3065">
        <v>5020</v>
      </c>
      <c r="F163" s="3065" t="s">
        <v>3283</v>
      </c>
      <c r="G163" s="3065">
        <v>36.81</v>
      </c>
      <c r="H163" s="3065" t="s">
        <v>3290</v>
      </c>
      <c r="I163" s="3065" t="s">
        <v>3290</v>
      </c>
    </row>
    <row r="164" spans="4:9">
      <c r="D164" s="3065" t="s">
        <v>3285</v>
      </c>
      <c r="E164" s="3065" t="s">
        <v>3296</v>
      </c>
      <c r="F164" s="3065" t="s">
        <v>3295</v>
      </c>
      <c r="G164" s="3066">
        <f>SUM(G144:G163)</f>
        <v>2167.8699999999994</v>
      </c>
      <c r="H164" s="3065" t="s">
        <v>3295</v>
      </c>
      <c r="I164" s="3065" t="s">
        <v>3295</v>
      </c>
    </row>
    <row r="165" spans="4:9">
      <c r="D165" s="3065">
        <v>147</v>
      </c>
      <c r="E165" s="3065">
        <v>-1001</v>
      </c>
      <c r="F165" s="3065" t="s">
        <v>3291</v>
      </c>
      <c r="G165" s="3065">
        <v>155.88</v>
      </c>
      <c r="H165" s="3065" t="s">
        <v>3292</v>
      </c>
      <c r="I165" s="3065" t="s">
        <v>3293</v>
      </c>
    </row>
    <row r="166" spans="4:9">
      <c r="D166" s="3065" t="s">
        <v>3294</v>
      </c>
      <c r="E166" s="3065" t="s">
        <v>3295</v>
      </c>
      <c r="F166" s="3065" t="s">
        <v>3295</v>
      </c>
      <c r="G166" s="3065">
        <f>G31+G38+G47+G143+G164+G165</f>
        <v>8684.6200000000008</v>
      </c>
      <c r="H166" s="3065" t="s">
        <v>3295</v>
      </c>
      <c r="I166" s="3065" t="s">
        <v>3295</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52" t="s">
        <v>1817</v>
      </c>
      <c r="B2" s="3152"/>
      <c r="C2" s="3152"/>
      <c r="D2" s="901" t="s">
        <v>1793</v>
      </c>
      <c r="E2" s="1823" t="s">
        <v>1794</v>
      </c>
      <c r="F2" s="2885"/>
      <c r="G2" s="2876"/>
      <c r="H2" s="2877"/>
      <c r="I2" s="2547" t="s">
        <v>1818</v>
      </c>
      <c r="J2" s="2885"/>
      <c r="K2" s="2885"/>
      <c r="L2" s="2885"/>
      <c r="M2" s="2885"/>
      <c r="N2" s="2887"/>
      <c r="O2" s="2885"/>
      <c r="P2" s="2885"/>
    </row>
    <row r="3" spans="1:16" ht="15.75" thickBot="1">
      <c r="A3" s="3153" t="s">
        <v>1791</v>
      </c>
      <c r="B3" s="3153"/>
      <c r="C3" s="3153"/>
      <c r="D3" s="45">
        <f>'数据-基础表'!AY6</f>
        <v>0</v>
      </c>
      <c r="E3" s="45">
        <f>'数据-基础表'!AZ5</f>
        <v>8684.6199999999972</v>
      </c>
      <c r="F3" s="2885"/>
      <c r="G3" s="1304"/>
      <c r="H3" s="1154" t="s">
        <v>1792</v>
      </c>
      <c r="I3" s="961" t="e">
        <f>ROUND('数据-基础表'!B3/'数据-基础表'!A3,2)</f>
        <v>#DIV/0!</v>
      </c>
      <c r="J3" s="2885"/>
      <c r="K3" s="2885"/>
      <c r="L3" s="2885"/>
      <c r="M3" s="2885"/>
      <c r="N3" s="2887"/>
      <c r="O3" s="2885"/>
      <c r="P3" s="2885"/>
    </row>
    <row r="4" spans="1:16" ht="15">
      <c r="A4" s="3154"/>
      <c r="B4" s="3155"/>
      <c r="C4" s="3156"/>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57" t="s">
        <v>1796</v>
      </c>
      <c r="C5" s="3157"/>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57" t="s">
        <v>1797</v>
      </c>
      <c r="C6" s="3157"/>
      <c r="D6" s="47">
        <f>ROUND($D$3*E6/$E$3,2)</f>
        <v>0</v>
      </c>
      <c r="E6" s="48">
        <f>E3-E5</f>
        <v>8684.6199999999972</v>
      </c>
      <c r="F6" s="2885"/>
      <c r="G6" s="2879" t="s">
        <v>1798</v>
      </c>
      <c r="H6" s="1305" t="s">
        <v>1799</v>
      </c>
      <c r="I6" s="2880" t="e">
        <f>ROUND(F31/D31,2)</f>
        <v>#DIV/0!</v>
      </c>
      <c r="J6" s="2885"/>
      <c r="K6" s="2885"/>
      <c r="L6" s="2885"/>
      <c r="M6" s="2885"/>
      <c r="N6" s="2885"/>
      <c r="O6" s="2885"/>
      <c r="P6" s="2885"/>
    </row>
    <row r="7" spans="1:16" ht="15.75" thickBot="1">
      <c r="A7" s="3149"/>
      <c r="B7" s="3150"/>
      <c r="C7" s="3151"/>
      <c r="D7" s="1825" t="s">
        <v>1793</v>
      </c>
      <c r="E7" s="1829" t="s">
        <v>1800</v>
      </c>
      <c r="F7" s="2885"/>
      <c r="G7" s="2881" t="s">
        <v>1801</v>
      </c>
      <c r="H7" s="2882"/>
      <c r="I7" s="2883"/>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8528.739999999998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155.88</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8684.6199999999972</v>
      </c>
      <c r="F16" s="2885"/>
      <c r="G16" s="2886"/>
      <c r="H16" s="1832" t="s">
        <v>1821</v>
      </c>
      <c r="I16" s="1833"/>
      <c r="J16" s="1298"/>
      <c r="K16" s="3146" t="s">
        <v>1821</v>
      </c>
      <c r="L16" s="3147"/>
      <c r="M16" s="3147"/>
      <c r="N16" s="3147"/>
      <c r="O16" s="3147"/>
      <c r="P16" s="3148"/>
    </row>
    <row r="17" spans="1:19" ht="15">
      <c r="A17" s="1834" t="s">
        <v>1822</v>
      </c>
      <c r="B17" s="1835" t="s">
        <v>1823</v>
      </c>
      <c r="C17" s="1836" t="s">
        <v>1824</v>
      </c>
      <c r="D17" s="1837" t="s">
        <v>1812</v>
      </c>
      <c r="E17" s="1838" t="s">
        <v>1813</v>
      </c>
      <c r="F17" s="1839"/>
      <c r="G17" s="1840"/>
      <c r="H17" s="1841" t="s">
        <v>1825</v>
      </c>
      <c r="I17" s="1842" t="s">
        <v>1810</v>
      </c>
      <c r="J17" s="1298"/>
      <c r="K17" s="3143" t="s">
        <v>1826</v>
      </c>
      <c r="L17" s="3144"/>
      <c r="M17" s="3145"/>
      <c r="N17" s="3143" t="s">
        <v>1827</v>
      </c>
      <c r="O17" s="3144"/>
      <c r="P17" s="3145"/>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3085</v>
      </c>
      <c r="D19" s="47">
        <f>ROUND($D$3*E19/$E$3,2)</f>
        <v>0</v>
      </c>
      <c r="E19" s="55">
        <f t="shared" ref="E19:E26" si="1">SUM(F19:G19)</f>
        <v>8684.6199999999972</v>
      </c>
      <c r="F19" s="3025">
        <f>'数据-基础表'!I13+'数据-基础表'!K13</f>
        <v>8528.739999999998</v>
      </c>
      <c r="G19" s="3026">
        <f>'数据-基础表'!M13</f>
        <v>155.88</v>
      </c>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8684.6199999999972</v>
      </c>
    </row>
    <row r="20" spans="1:19">
      <c r="A20" s="1855"/>
      <c r="B20" s="49" t="s">
        <v>1839</v>
      </c>
      <c r="C20" s="3048"/>
      <c r="D20" s="47">
        <f t="shared" ref="D20:D26" si="6">ROUND($D$3*E20/$E$3,2)</f>
        <v>0</v>
      </c>
      <c r="E20" s="55">
        <f t="shared" si="1"/>
        <v>0</v>
      </c>
      <c r="F20" s="3025"/>
      <c r="G20" s="3026"/>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8684.6199999999972</v>
      </c>
      <c r="F27" s="1299">
        <f>IF(SUM(F19:F26)=E8,SUM(F19:F26),"地上面积有误")</f>
        <v>8528.739999999998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8684.6199999999972</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8684.6199999999972</v>
      </c>
      <c r="F31" s="683">
        <f>F27+F30</f>
        <v>8528.739999999998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8684.6199999999972</v>
      </c>
      <c r="L6" s="739">
        <v>4500</v>
      </c>
      <c r="M6" s="70">
        <f t="shared" ref="M6:M14" si="0">ROUND(K6*L6/10000,0)</f>
        <v>3908</v>
      </c>
      <c r="N6" s="737">
        <f>N21</f>
        <v>0.77</v>
      </c>
      <c r="O6" s="70" t="str">
        <f>IF($N$5="成新度","——",ROUND(M6*N6,0))</f>
        <v>——</v>
      </c>
      <c r="P6" s="71" t="str">
        <f>IF($N$5="成新度","——",M6-O6)</f>
        <v>——</v>
      </c>
      <c r="Q6" s="740">
        <v>0.2</v>
      </c>
      <c r="R6" s="72">
        <f ca="1">SUMIF('数据-汇总表'!C$19:C$33,A6,'数据-汇总表'!R$19:R$27)</f>
        <v>0</v>
      </c>
      <c r="S6" s="53">
        <f>IF('数据-汇总表'!$I$17="按面积比例",SUMIF('数据-汇总表'!C$19:C$33,A6,'数据-汇总表'!K$19:K$33),SUMIF('数据-汇总表'!C$19:C$33,A6,'数据-汇总表'!N$19:N$33))</f>
        <v>0</v>
      </c>
      <c r="T6" s="1331">
        <f>ROUND($L$14*S6/10000,0)</f>
        <v>0</v>
      </c>
      <c r="U6" s="73">
        <v>3.9</v>
      </c>
      <c r="V6" s="74">
        <v>0.03</v>
      </c>
      <c r="W6" s="74">
        <v>0.1</v>
      </c>
      <c r="X6" s="1168"/>
      <c r="Y6" s="75">
        <f>N6</f>
        <v>0.77</v>
      </c>
      <c r="Z6" s="76"/>
      <c r="AA6" s="69"/>
      <c r="AB6" s="69"/>
      <c r="AC6" s="1168"/>
      <c r="AD6" s="77"/>
      <c r="AE6" s="1169">
        <f ca="1">IF(AN6="",0,SUMIF(INDIRECT("'"&amp;AN6&amp;"'"&amp;"!E:E"),$AE$5,INDIRECT("'"&amp;AN6&amp;"'"&amp;"!F:F")))</f>
        <v>23.85</v>
      </c>
      <c r="AF6" s="1531"/>
      <c r="AG6" s="140">
        <f>IF(AF6="",0,AE6-AF6)</f>
        <v>0</v>
      </c>
      <c r="AH6" s="3064">
        <f>X24</f>
        <v>8528.74</v>
      </c>
      <c r="AI6" s="80">
        <v>365</v>
      </c>
      <c r="AJ6" s="81"/>
      <c r="AK6" s="82">
        <v>1.4999999999999999E-2</v>
      </c>
      <c r="AL6" s="83">
        <v>1.5E-3</v>
      </c>
      <c r="AM6" s="84">
        <v>1.4999999999999999E-2</v>
      </c>
      <c r="AN6" s="1900" t="s">
        <v>3087</v>
      </c>
      <c r="AO6" s="54">
        <f ca="1">SUMIF(INDIRECT("'"&amp;AN6&amp;"'"&amp;"!A:A"),"总价",INDIRECT("'"&amp;AN6&amp;"'"&amp;"!B:B"))</f>
        <v>13221</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058">
        <f>'数据-汇总表'!C20</f>
        <v>0</v>
      </c>
      <c r="B7" s="1898" t="str">
        <f t="shared" ref="B7:B13" si="1">IF(A7=0,"","经营性")</f>
        <v/>
      </c>
      <c r="C7" s="1899"/>
      <c r="D7" s="964">
        <f>SUMIF(项目基本情况!D$12:I$12,C7,项目基本情况!D$14:I$14)</f>
        <v>0</v>
      </c>
      <c r="E7" s="963"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8"/>
      <c r="I7" s="738"/>
      <c r="J7" s="69"/>
      <c r="K7" s="1158">
        <f>SUMIF('数据-汇总表'!C$19:C$33,A7,'数据-汇总表'!E$19:E$33)</f>
        <v>0</v>
      </c>
      <c r="L7" s="739"/>
      <c r="M7" s="70">
        <f t="shared" si="0"/>
        <v>0</v>
      </c>
      <c r="N7" s="737"/>
      <c r="O7" s="70" t="str">
        <f t="shared" ref="O7:O14" si="3">IF($N$5="成新度","——",ROUND(M7*N7,0))</f>
        <v>——</v>
      </c>
      <c r="P7" s="71" t="str">
        <f t="shared" ref="P7:P14" si="4">IF($N$5="成新度","——",M7-O7)</f>
        <v>——</v>
      </c>
      <c r="Q7" s="740"/>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0">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0.81699999999999995</v>
      </c>
      <c r="H16" s="94">
        <f>ROUND(SUMPRODUCT(H6:H13,K6:K13)/SUMPRODUCT((H6:H13&gt;0)*(K6:K13)),3)</f>
        <v>5.5E-2</v>
      </c>
      <c r="I16" s="95"/>
      <c r="J16" s="95"/>
      <c r="K16" s="96">
        <f>SUM(K6:K15)</f>
        <v>8684.6199999999972</v>
      </c>
      <c r="L16" s="97">
        <f>ROUND(M16*10000/SUM(K6:K14),0)</f>
        <v>4500</v>
      </c>
      <c r="M16" s="97">
        <f>SUM(M6:M14)</f>
        <v>3908</v>
      </c>
      <c r="N16" s="98">
        <f>ROUND(SUMPRODUCT(M6:M14,N6:N14)/M16,3)</f>
        <v>0.77</v>
      </c>
      <c r="O16" s="97">
        <f>SUM(O6:O14)</f>
        <v>0</v>
      </c>
      <c r="P16" s="97">
        <f>SUM(P6:P14)</f>
        <v>0</v>
      </c>
      <c r="Q16" s="99">
        <f>ROUND(SUMPRODUCT(Q6:Q13,K6:K13)/SUMPRODUCT((Q6:Q13&gt;0)*(K6:K13)),2)</f>
        <v>0.2</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2004</v>
      </c>
      <c r="O18" s="2899"/>
      <c r="P18" s="2899"/>
      <c r="Q18" s="2899"/>
      <c r="R18" s="2899"/>
      <c r="S18" s="2899"/>
      <c r="T18" s="2899"/>
      <c r="U18" s="2899">
        <v>-1</v>
      </c>
      <c r="V18" s="3063">
        <v>0</v>
      </c>
      <c r="W18" s="2899">
        <v>0.1</v>
      </c>
      <c r="X18" s="3063">
        <v>0</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0.73</v>
      </c>
      <c r="O19" s="2899"/>
      <c r="P19" s="2899"/>
      <c r="Q19" s="2899"/>
      <c r="R19" s="2899"/>
      <c r="S19" s="2899"/>
      <c r="T19" s="2899"/>
      <c r="U19" s="2899">
        <v>1</v>
      </c>
      <c r="V19" s="2899">
        <v>6.5</v>
      </c>
      <c r="W19" s="2899">
        <v>1</v>
      </c>
      <c r="X19" s="2899">
        <f>自有铺位面积!B4</f>
        <v>1660.73</v>
      </c>
      <c r="Y19" s="2899">
        <v>25000</v>
      </c>
      <c r="Z19" s="2899">
        <f>Y19*X19/10000</f>
        <v>4151.8249999999998</v>
      </c>
      <c r="AA19" s="2899">
        <f ca="1">Y19*$AA$24/$Z$24</f>
        <v>24157.71975189506</v>
      </c>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4.55</v>
      </c>
      <c r="W20" s="2899">
        <v>0.7</v>
      </c>
      <c r="X20" s="2899">
        <f>自有铺位面积!B5</f>
        <v>403.56</v>
      </c>
      <c r="Y20" s="2899">
        <f>Y19*AB20</f>
        <v>17500</v>
      </c>
      <c r="Z20" s="2899">
        <f t="shared" ref="Z20:Z23" si="12">Y20*X20/10000</f>
        <v>706.23</v>
      </c>
      <c r="AA20" s="2899">
        <f t="shared" ref="AA20:AA23" ca="1" si="13">Y20*$AA$24/$Z$24</f>
        <v>16910.403826326543</v>
      </c>
      <c r="AB20" s="2899">
        <v>0.7</v>
      </c>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0.77</v>
      </c>
      <c r="O21" s="2899"/>
      <c r="P21" s="2899"/>
      <c r="Q21" s="2899"/>
      <c r="R21" s="2899"/>
      <c r="S21" s="2899"/>
      <c r="T21" s="2899"/>
      <c r="U21" s="2899">
        <v>3</v>
      </c>
      <c r="V21" s="2899">
        <f t="shared" ref="V21:V23" si="14">$V$19*W21</f>
        <v>3.9</v>
      </c>
      <c r="W21" s="2899">
        <v>0.6</v>
      </c>
      <c r="X21" s="2899">
        <f>自有铺位面积!B6</f>
        <v>526.35</v>
      </c>
      <c r="Y21" s="2899">
        <f>Y19*AB21</f>
        <v>15000</v>
      </c>
      <c r="Z21" s="2899">
        <f t="shared" si="12"/>
        <v>789.52499999999998</v>
      </c>
      <c r="AA21" s="2899">
        <f t="shared" ca="1" si="13"/>
        <v>14494.631851137035</v>
      </c>
      <c r="AB21" s="2899">
        <v>0.6</v>
      </c>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4"/>
        <v>3.25</v>
      </c>
      <c r="W22" s="2899">
        <v>0.5</v>
      </c>
      <c r="X22" s="2899">
        <f>自有铺位面积!B7</f>
        <v>3770.23</v>
      </c>
      <c r="Y22" s="2899">
        <f>Y19*AB22</f>
        <v>12500</v>
      </c>
      <c r="Z22" s="2899">
        <f t="shared" si="12"/>
        <v>4712.7875000000004</v>
      </c>
      <c r="AA22" s="2899">
        <f t="shared" ca="1" si="13"/>
        <v>12078.85987594753</v>
      </c>
      <c r="AB22" s="2899">
        <v>0.5</v>
      </c>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4"/>
        <v>2.9250000000000003</v>
      </c>
      <c r="W23" s="2899">
        <v>0.45</v>
      </c>
      <c r="X23" s="2899">
        <f>自有铺位面积!B8</f>
        <v>2167.87</v>
      </c>
      <c r="Y23" s="2899">
        <f>Y19*AB23</f>
        <v>11250</v>
      </c>
      <c r="Z23" s="2899">
        <f t="shared" si="12"/>
        <v>2438.8537500000002</v>
      </c>
      <c r="AA23" s="2899">
        <f t="shared" ca="1" si="13"/>
        <v>10870.973888352777</v>
      </c>
      <c r="AB23" s="2899">
        <v>0.45</v>
      </c>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(V19*X19+V20*X20+V21*X21+V22*X22+V23*X23+V18*X18)/X24</f>
        <v>3.9018630243154329</v>
      </c>
      <c r="X24" s="2899">
        <f>X19+X20+X21+X22+X23+X18</f>
        <v>8528.74</v>
      </c>
      <c r="Y24" s="2899"/>
      <c r="Z24" s="2899">
        <f>SUM(Z19:Z23)</f>
        <v>12799.221250000001</v>
      </c>
      <c r="AA24" s="2899">
        <f ca="1">系统读取表!D14</f>
        <v>12368</v>
      </c>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3071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3072</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059">
        <f ca="1">成本法!C10</f>
        <v>94</v>
      </c>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58" t="s">
        <v>3034</v>
      </c>
      <c r="B1" s="3159"/>
      <c r="C1" s="3159"/>
      <c r="D1" s="3159"/>
      <c r="E1" s="3159"/>
      <c r="F1" s="3159"/>
      <c r="G1" s="315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4" sqref="E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8684.6199999999972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12368</v>
      </c>
      <c r="C5" s="2737">
        <f ca="1">ROUND(B5*10000/$B$1,0)</f>
        <v>14241</v>
      </c>
      <c r="D5" s="2737" t="e">
        <f ca="1">ROUND(B5*10000/$B$2,0)</f>
        <v>#DIV/0!</v>
      </c>
      <c r="E5" s="2914"/>
      <c r="F5" s="2915"/>
      <c r="G5" s="2915"/>
      <c r="H5" s="2916"/>
      <c r="I5" s="2916"/>
      <c r="J5" s="2916"/>
      <c r="K5" s="2916"/>
    </row>
    <row r="6" spans="1:11" ht="16.5">
      <c r="A6" s="2737" t="s">
        <v>1322</v>
      </c>
      <c r="B6" s="2737">
        <f ca="1">SUM(G14:G23)</f>
        <v>12368</v>
      </c>
      <c r="C6" s="2737">
        <f ca="1">ROUND(B6*10000/$B$1,0)</f>
        <v>14241</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8684.6199999999972</v>
      </c>
      <c r="C14" s="2743">
        <f>结果表!C118</f>
        <v>0</v>
      </c>
      <c r="D14" s="2743">
        <f ca="1">结果表!H118</f>
        <v>12368</v>
      </c>
      <c r="E14" s="2743">
        <f ca="1">ROUND(D14*10000/B14,0)</f>
        <v>14241</v>
      </c>
      <c r="F14" s="2743" t="e">
        <f ca="1">ROUND(D14*10000/C14,0)</f>
        <v>#DIV/0!</v>
      </c>
      <c r="G14" s="2743">
        <f ca="1">结果表!D122</f>
        <v>12368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194" t="str">
        <f>项目基本情况!S2</f>
        <v>房地产</v>
      </c>
      <c r="B2" s="3195"/>
      <c r="C2" s="3195"/>
      <c r="D2" s="3195"/>
      <c r="E2" s="3195"/>
      <c r="F2" s="3195"/>
      <c r="G2" s="3195"/>
      <c r="H2" s="3195"/>
      <c r="I2" s="3196"/>
    </row>
    <row r="3" spans="1:12" ht="12.75">
      <c r="A3" s="3198" t="s">
        <v>1951</v>
      </c>
      <c r="B3" s="3199"/>
      <c r="C3" s="3199"/>
      <c r="D3" s="3199"/>
      <c r="E3" s="3199"/>
      <c r="F3" s="3199"/>
      <c r="G3" s="3199"/>
      <c r="H3" s="3199"/>
      <c r="I3" s="3199"/>
    </row>
    <row r="4" spans="1:12" ht="14.25">
      <c r="A4" s="1939" t="s">
        <v>1952</v>
      </c>
      <c r="B4" s="1940" t="s">
        <v>1953</v>
      </c>
      <c r="C4" s="1941" t="s">
        <v>3265</v>
      </c>
      <c r="D4" s="1941" t="s">
        <v>3087</v>
      </c>
      <c r="E4" s="3203" t="s">
        <v>1954</v>
      </c>
      <c r="F4" s="3204"/>
      <c r="G4" s="3204"/>
      <c r="H4" s="3204"/>
      <c r="I4" s="3205"/>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4" t="s">
        <v>1955</v>
      </c>
      <c r="B5" s="3161">
        <v>25</v>
      </c>
      <c r="C5" s="3200"/>
      <c r="D5" s="3197"/>
      <c r="E5" s="133" t="s">
        <v>1956</v>
      </c>
      <c r="F5" s="1942"/>
      <c r="G5" s="1942"/>
      <c r="H5" s="1942"/>
      <c r="I5" s="1556"/>
    </row>
    <row r="6" spans="1:12" ht="12.75">
      <c r="A6" s="3174"/>
      <c r="B6" s="3161"/>
      <c r="C6" s="3202"/>
      <c r="D6" s="3197"/>
      <c r="E6" s="133" t="s">
        <v>1957</v>
      </c>
      <c r="F6" s="1942"/>
      <c r="G6" s="1942"/>
      <c r="H6" s="1942"/>
      <c r="I6" s="1556"/>
    </row>
    <row r="7" spans="1:12" ht="12.75">
      <c r="A7" s="3174"/>
      <c r="B7" s="3161"/>
      <c r="C7" s="3201"/>
      <c r="D7" s="3197"/>
      <c r="E7" s="133" t="s">
        <v>1958</v>
      </c>
      <c r="F7" s="1942"/>
      <c r="G7" s="1942"/>
      <c r="H7" s="1942"/>
      <c r="I7" s="1556"/>
    </row>
    <row r="8" spans="1:12" ht="12.75">
      <c r="A8" s="3174" t="s">
        <v>1959</v>
      </c>
      <c r="B8" s="3161">
        <v>15</v>
      </c>
      <c r="C8" s="3200"/>
      <c r="D8" s="3197"/>
      <c r="E8" s="133" t="s">
        <v>1960</v>
      </c>
      <c r="F8" s="1942"/>
      <c r="G8" s="1942"/>
      <c r="H8" s="1942"/>
      <c r="I8" s="1556"/>
    </row>
    <row r="9" spans="1:12" ht="12.75">
      <c r="A9" s="3174"/>
      <c r="B9" s="3161"/>
      <c r="C9" s="3201"/>
      <c r="D9" s="3197"/>
      <c r="E9" s="133" t="s">
        <v>1961</v>
      </c>
      <c r="F9" s="1942"/>
      <c r="G9" s="1942"/>
      <c r="H9" s="1942"/>
      <c r="I9" s="1556"/>
    </row>
    <row r="10" spans="1:12" ht="12.75">
      <c r="A10" s="3174" t="s">
        <v>1962</v>
      </c>
      <c r="B10" s="3161">
        <v>15</v>
      </c>
      <c r="C10" s="3200"/>
      <c r="D10" s="3197"/>
      <c r="E10" s="133" t="s">
        <v>1963</v>
      </c>
      <c r="F10" s="1942"/>
      <c r="G10" s="1942"/>
      <c r="H10" s="1942"/>
      <c r="I10" s="1556"/>
    </row>
    <row r="11" spans="1:12" ht="12.75">
      <c r="A11" s="3174"/>
      <c r="B11" s="3161"/>
      <c r="C11" s="3201"/>
      <c r="D11" s="3197"/>
      <c r="E11" s="133" t="s">
        <v>1964</v>
      </c>
      <c r="F11" s="1942"/>
      <c r="G11" s="1942"/>
      <c r="H11" s="1942"/>
      <c r="I11" s="1556"/>
    </row>
    <row r="12" spans="1:12" ht="12.75">
      <c r="A12" s="3174" t="s">
        <v>1965</v>
      </c>
      <c r="B12" s="3161">
        <v>15</v>
      </c>
      <c r="C12" s="3200"/>
      <c r="D12" s="3197"/>
      <c r="E12" s="133" t="s">
        <v>1966</v>
      </c>
      <c r="F12" s="1942"/>
      <c r="G12" s="1942"/>
      <c r="H12" s="1942"/>
      <c r="I12" s="1556"/>
    </row>
    <row r="13" spans="1:12" ht="12.75">
      <c r="A13" s="3174"/>
      <c r="B13" s="3161"/>
      <c r="C13" s="3201"/>
      <c r="D13" s="3197"/>
      <c r="E13" s="133" t="s">
        <v>1967</v>
      </c>
      <c r="F13" s="1942"/>
      <c r="G13" s="1942"/>
      <c r="H13" s="1942"/>
      <c r="I13" s="1556"/>
    </row>
    <row r="14" spans="1:12" ht="12.75">
      <c r="A14" s="3174" t="s">
        <v>1968</v>
      </c>
      <c r="B14" s="3161">
        <v>30</v>
      </c>
      <c r="C14" s="3177">
        <v>3</v>
      </c>
      <c r="D14" s="3227">
        <v>7</v>
      </c>
      <c r="E14" s="133" t="s">
        <v>1969</v>
      </c>
      <c r="F14" s="1942"/>
      <c r="G14" s="1942"/>
      <c r="H14" s="1942"/>
      <c r="I14" s="1556"/>
    </row>
    <row r="15" spans="1:12" ht="12.75">
      <c r="A15" s="3174"/>
      <c r="B15" s="3161"/>
      <c r="C15" s="3178"/>
      <c r="D15" s="3227"/>
      <c r="E15" s="133" t="s">
        <v>1970</v>
      </c>
      <c r="F15" s="1942"/>
      <c r="G15" s="1942"/>
      <c r="H15" s="1942"/>
      <c r="I15" s="1556"/>
    </row>
    <row r="16" spans="1:12" ht="12.75">
      <c r="A16" s="3174"/>
      <c r="B16" s="3161"/>
      <c r="C16" s="3179"/>
      <c r="D16" s="3227"/>
      <c r="E16" s="133" t="s">
        <v>1971</v>
      </c>
      <c r="F16" s="1942"/>
      <c r="G16" s="1942"/>
      <c r="H16" s="1942"/>
      <c r="I16" s="1556"/>
    </row>
    <row r="17" spans="1:36" ht="15">
      <c r="A17" s="1943" t="s">
        <v>1972</v>
      </c>
      <c r="B17" s="59"/>
      <c r="C17" s="134">
        <f>SUM(C5:C16)</f>
        <v>3</v>
      </c>
      <c r="D17" s="134">
        <f>SUM(D5:D16)</f>
        <v>7</v>
      </c>
      <c r="E17" s="131"/>
      <c r="F17" s="131"/>
      <c r="G17" s="131"/>
      <c r="H17" s="131"/>
      <c r="I17" s="131"/>
      <c r="K17" s="305"/>
      <c r="L17" s="305" t="s">
        <v>1973</v>
      </c>
      <c r="M17" s="305" t="s">
        <v>1974</v>
      </c>
    </row>
    <row r="18" spans="1:36" ht="31.9" customHeight="1" thickBot="1">
      <c r="A18" s="1944" t="s">
        <v>1975</v>
      </c>
      <c r="B18" s="1945"/>
      <c r="C18" s="135">
        <f>ROUND(C17/SUM(C17:D17),2)</f>
        <v>0.3</v>
      </c>
      <c r="D18" s="135">
        <f>1-C18</f>
        <v>0.7</v>
      </c>
      <c r="E18" s="3184" t="s">
        <v>2875</v>
      </c>
      <c r="F18" s="3185"/>
      <c r="G18" s="3185"/>
      <c r="H18" s="3185"/>
      <c r="I18" s="3185"/>
      <c r="K18" s="305" t="s">
        <v>1976</v>
      </c>
      <c r="L18" s="305">
        <f>IF(C1="",'数据-汇总表'!E3,SUMIF(项目类型,C1,'数据-汇总表'!E17:E26)+SUMIF(项目类型,C1,'数据-汇总表'!I17:I26))</f>
        <v>8684.6199999999972</v>
      </c>
      <c r="M18" s="305">
        <f>IF(C1="",'数据-汇总表'!E3,SUMIF(项目类型,C1,'数据-汇总表'!E17:E26))</f>
        <v>8684.6199999999972</v>
      </c>
    </row>
    <row r="19" spans="1:36" ht="15">
      <c r="A19" s="1946" t="s">
        <v>1977</v>
      </c>
      <c r="B19" s="1947" t="s">
        <v>1978</v>
      </c>
      <c r="C19" s="136">
        <f ca="1">SUMIF(INDIRECT("'"&amp;C4&amp;"'"&amp;"!A:A"),结果表!B19,INDIRECT("'"&amp;C4&amp;"'"&amp;"!B:B"))</f>
        <v>10377</v>
      </c>
      <c r="D19" s="137">
        <f ca="1">SUMIF(INDIRECT("'"&amp;D4&amp;"'"&amp;"!A:A"),结果表!B19,INDIRECT("'"&amp;D4&amp;"'"&amp;"!B:B"))</f>
        <v>13221</v>
      </c>
      <c r="E19" s="1946" t="s">
        <v>1979</v>
      </c>
      <c r="F19" s="1947" t="s">
        <v>1978</v>
      </c>
      <c r="G19" s="138">
        <f ca="1">ROUND(C19*$C$18+D19*$D$18,0)</f>
        <v>12368</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11949</v>
      </c>
      <c r="D20" s="140">
        <f ca="1">SUMIF(INDIRECT("'"&amp;D4&amp;"'"&amp;"!A:A"),结果表!B20,INDIRECT("'"&amp;D4&amp;"'"&amp;"!B:B"))</f>
        <v>15223</v>
      </c>
      <c r="E20" s="1949"/>
      <c r="F20" s="1154" t="s">
        <v>1982</v>
      </c>
      <c r="G20" s="141">
        <f ca="1">ROUND(C20*$C$18+D20*$D$18,0)</f>
        <v>14241</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0.27406764960971386</v>
      </c>
      <c r="E22" s="131"/>
      <c r="F22" s="131"/>
      <c r="G22" s="131"/>
      <c r="H22" s="131"/>
      <c r="I22" s="131"/>
    </row>
    <row r="23" spans="1:36" ht="13.5" thickBot="1">
      <c r="A23" s="1932"/>
      <c r="B23" s="1932"/>
      <c r="C23" s="1932"/>
      <c r="D23" s="1932"/>
      <c r="E23" s="131"/>
      <c r="F23" s="131"/>
      <c r="G23" s="131"/>
      <c r="H23" s="131"/>
      <c r="I23" s="131"/>
    </row>
    <row r="24" spans="1:36" ht="14.25">
      <c r="A24" s="3168" t="s">
        <v>1986</v>
      </c>
      <c r="B24" s="1947" t="s">
        <v>1978</v>
      </c>
      <c r="C24" s="138">
        <f>IF(B30=0,0,D30)</f>
        <v>0</v>
      </c>
      <c r="D24" s="1954"/>
      <c r="E24" s="131"/>
      <c r="F24" s="131"/>
      <c r="G24" s="131"/>
      <c r="H24" s="131"/>
      <c r="I24" s="131"/>
    </row>
    <row r="25" spans="1:36" ht="14.25">
      <c r="A25" s="3169"/>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12368</v>
      </c>
      <c r="D32" s="1960" t="s">
        <v>3267</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188" t="s">
        <v>1999</v>
      </c>
      <c r="B36" s="1972" t="s">
        <v>2000</v>
      </c>
      <c r="C36" s="147"/>
      <c r="D36" s="1973"/>
      <c r="E36" s="1974"/>
      <c r="F36" s="1975"/>
      <c r="G36" s="131"/>
      <c r="H36" s="131"/>
      <c r="I36" s="131"/>
    </row>
    <row r="37" spans="1:15" ht="15.75" thickBot="1">
      <c r="A37" s="3189"/>
      <c r="B37" s="1859" t="s">
        <v>2001</v>
      </c>
      <c r="C37" s="149"/>
      <c r="D37" s="1298"/>
      <c r="E37" s="1298"/>
      <c r="F37" s="1975"/>
      <c r="G37" s="131"/>
      <c r="H37" s="131"/>
      <c r="I37" s="131"/>
    </row>
    <row r="38" spans="1:15" ht="15.75" thickBot="1">
      <c r="A38" s="3190"/>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65" t="s">
        <v>2013</v>
      </c>
      <c r="B45" s="3166"/>
      <c r="C45" s="3167"/>
      <c r="D45" s="157">
        <f ca="1">ROUND(H101*F45,0)</f>
        <v>12368</v>
      </c>
      <c r="E45" s="158" t="s">
        <v>2014</v>
      </c>
      <c r="F45" s="159">
        <v>1</v>
      </c>
      <c r="G45" s="160" t="s">
        <v>2015</v>
      </c>
      <c r="H45" s="131"/>
      <c r="I45" s="131"/>
      <c r="J45" s="3250" t="s">
        <v>2016</v>
      </c>
      <c r="K45" s="3250"/>
      <c r="L45" s="3250"/>
      <c r="M45" s="3250"/>
      <c r="N45" s="3250"/>
      <c r="O45" s="3250"/>
    </row>
    <row r="46" spans="1:15" ht="14.25" customHeight="1">
      <c r="A46" s="3162" t="s">
        <v>2017</v>
      </c>
      <c r="B46" s="3163"/>
      <c r="C46" s="3163"/>
      <c r="D46" s="3163"/>
      <c r="E46" s="3163"/>
      <c r="F46" s="3163"/>
      <c r="G46" s="3164"/>
      <c r="H46" s="1991"/>
      <c r="I46" s="161"/>
      <c r="J46" s="2748">
        <v>1</v>
      </c>
      <c r="K46" s="3231" t="s">
        <v>2018</v>
      </c>
      <c r="L46" s="3231"/>
      <c r="M46" s="3251"/>
      <c r="N46" s="3251"/>
      <c r="O46" s="3251"/>
    </row>
    <row r="47" spans="1:15" ht="12" customHeight="1">
      <c r="A47" s="162" t="s">
        <v>2019</v>
      </c>
      <c r="B47" s="163"/>
      <c r="C47" s="164"/>
      <c r="D47" s="1244" t="s">
        <v>2020</v>
      </c>
      <c r="E47" s="305" t="s">
        <v>2021</v>
      </c>
      <c r="F47" s="165" t="s">
        <v>2022</v>
      </c>
      <c r="G47" s="2771" t="s">
        <v>2023</v>
      </c>
      <c r="H47" s="2772"/>
      <c r="I47" s="161"/>
      <c r="J47" s="2748">
        <v>2</v>
      </c>
      <c r="K47" s="3231" t="s">
        <v>2024</v>
      </c>
      <c r="L47" s="3231"/>
      <c r="M47" s="3252">
        <f>'数据-取费表'!B2</f>
        <v>44131</v>
      </c>
      <c r="N47" s="3252"/>
      <c r="O47" s="3252"/>
    </row>
    <row r="48" spans="1:15" ht="25.5">
      <c r="A48" s="3193" t="s">
        <v>2025</v>
      </c>
      <c r="B48" s="3176"/>
      <c r="C48" s="3176"/>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31" t="s">
        <v>2027</v>
      </c>
      <c r="L48" s="3231"/>
      <c r="M48" s="3253">
        <f ca="1">H101</f>
        <v>12368</v>
      </c>
      <c r="N48" s="3253"/>
      <c r="O48" s="3253"/>
    </row>
    <row r="49" spans="1:35" ht="25.5" customHeight="1">
      <c r="A49" s="2555" t="s">
        <v>2028</v>
      </c>
      <c r="B49" s="3160" t="s">
        <v>2029</v>
      </c>
      <c r="C49" s="3160"/>
      <c r="D49" s="1774">
        <v>0</v>
      </c>
      <c r="E49" s="327" t="s">
        <v>2030</v>
      </c>
      <c r="F49" s="2649" t="s">
        <v>34</v>
      </c>
      <c r="G49" s="3237"/>
      <c r="H49" s="2527" t="s">
        <v>2878</v>
      </c>
      <c r="I49" s="2528"/>
      <c r="J49" s="2748">
        <v>4</v>
      </c>
      <c r="K49" s="3231" t="str">
        <f>IF(项目基本情况!E8="房地产抵押价值","房地产抵押价值","抵押担保权已注销时的房地产抵押价值")</f>
        <v>房地产抵押价值</v>
      </c>
      <c r="L49" s="3231"/>
      <c r="M49" s="3253">
        <f ca="1">IF(项目基本情况!E8="房地产抵押价值",H107,H109)</f>
        <v>12368</v>
      </c>
      <c r="N49" s="3253"/>
      <c r="O49" s="3253"/>
    </row>
    <row r="50" spans="1:35" ht="25.5" customHeight="1">
      <c r="A50" s="2776"/>
      <c r="B50" s="3160" t="s">
        <v>2031</v>
      </c>
      <c r="C50" s="3160"/>
      <c r="D50" s="2777"/>
      <c r="E50" s="335"/>
      <c r="F50" s="2649"/>
      <c r="G50" s="3238"/>
      <c r="H50" s="2529" t="s">
        <v>2879</v>
      </c>
      <c r="I50" s="2528"/>
      <c r="J50" s="3250" t="s">
        <v>2032</v>
      </c>
      <c r="K50" s="3250"/>
      <c r="L50" s="3250"/>
      <c r="M50" s="3250"/>
      <c r="N50" s="3250"/>
      <c r="O50" s="3250"/>
    </row>
    <row r="51" spans="1:35" ht="20.45" customHeight="1">
      <c r="A51" s="2778"/>
      <c r="B51" s="3160" t="s">
        <v>2033</v>
      </c>
      <c r="C51" s="3160"/>
      <c r="D51" s="1244"/>
      <c r="E51" s="330"/>
      <c r="F51" s="2649"/>
      <c r="G51" s="3239"/>
      <c r="H51" s="2529" t="s">
        <v>2880</v>
      </c>
      <c r="I51" s="2528"/>
      <c r="J51" s="2749" t="s">
        <v>2034</v>
      </c>
      <c r="K51" s="3231" t="s">
        <v>2035</v>
      </c>
      <c r="L51" s="3231"/>
      <c r="M51" s="2749" t="s">
        <v>2036</v>
      </c>
      <c r="N51" s="2749" t="s">
        <v>2037</v>
      </c>
      <c r="O51" s="2749" t="s">
        <v>2038</v>
      </c>
    </row>
    <row r="52" spans="1:35" ht="24" customHeight="1">
      <c r="A52" s="2557" t="s">
        <v>2039</v>
      </c>
      <c r="B52" s="3160" t="s">
        <v>2040</v>
      </c>
      <c r="C52" s="3160"/>
      <c r="D52" s="1244">
        <f ca="1">ROUND(D45*'数据-取费表'!B41/(1+'数据-取费表'!C42),0)</f>
        <v>660</v>
      </c>
      <c r="E52" s="2556" t="s">
        <v>2041</v>
      </c>
      <c r="F52" s="2779">
        <f>'数据-取费表'!B41</f>
        <v>5.6000000000000001E-2</v>
      </c>
      <c r="G52" s="2780"/>
      <c r="H52" s="2769"/>
      <c r="I52" s="1992"/>
      <c r="J52" s="2748">
        <v>1</v>
      </c>
      <c r="K52" s="3232" t="s">
        <v>2042</v>
      </c>
      <c r="L52" s="3232"/>
      <c r="M52" s="2750" t="b">
        <f>D48</f>
        <v>0</v>
      </c>
      <c r="N52" s="2748" t="str">
        <f>E48</f>
        <v>销售额×税（费）率</v>
      </c>
      <c r="O52" s="2751">
        <f>F48</f>
        <v>5.6000000000000001E-2</v>
      </c>
    </row>
    <row r="53" spans="1:35" ht="12" customHeight="1">
      <c r="A53" s="2557" t="s">
        <v>2043</v>
      </c>
      <c r="B53" s="3186" t="s">
        <v>3039</v>
      </c>
      <c r="C53" s="3187"/>
      <c r="D53" s="1244">
        <f ca="1">ROUND(D45*'数据-取费表'!B41/(1+'数据-取费表'!C42),0)</f>
        <v>660</v>
      </c>
      <c r="E53" s="2556" t="s">
        <v>2041</v>
      </c>
      <c r="F53" s="2779">
        <f>'数据-取费表'!B41</f>
        <v>5.6000000000000001E-2</v>
      </c>
      <c r="G53" s="2780"/>
      <c r="H53" s="2769"/>
      <c r="I53" s="1992"/>
      <c r="J53" s="2748">
        <v>2</v>
      </c>
      <c r="K53" s="3232" t="s">
        <v>2044</v>
      </c>
      <c r="L53" s="3232"/>
      <c r="M53" s="2750">
        <f t="shared" ref="M53:O54" ca="1" si="0">D55</f>
        <v>6</v>
      </c>
      <c r="N53" s="2748" t="str">
        <f t="shared" si="0"/>
        <v>销售额×税（费）率</v>
      </c>
      <c r="O53" s="2751" t="str">
        <f t="shared" si="0"/>
        <v>免征</v>
      </c>
    </row>
    <row r="54" spans="1:35" ht="12" customHeight="1">
      <c r="A54" s="2557" t="s">
        <v>2045</v>
      </c>
      <c r="B54" s="3186" t="s">
        <v>3040</v>
      </c>
      <c r="C54" s="3187"/>
      <c r="D54" s="1244">
        <f ca="1">C68</f>
        <v>660</v>
      </c>
      <c r="E54" s="330" t="s">
        <v>2046</v>
      </c>
      <c r="F54" s="2779">
        <f>'数据-取费表'!B41</f>
        <v>5.6000000000000001E-2</v>
      </c>
      <c r="G54" s="2780"/>
      <c r="H54" s="2781"/>
      <c r="I54" s="1992"/>
      <c r="J54" s="2748">
        <v>3</v>
      </c>
      <c r="K54" s="3232" t="s">
        <v>2047</v>
      </c>
      <c r="L54" s="3232"/>
      <c r="M54" s="2750">
        <f t="shared" ca="1" si="0"/>
        <v>7000</v>
      </c>
      <c r="N54" s="2748" t="str">
        <f t="shared" si="0"/>
        <v>增值额×税（费）率</v>
      </c>
      <c r="O54" s="2752" t="str">
        <f t="shared" si="0"/>
        <v>免征</v>
      </c>
    </row>
    <row r="55" spans="1:35" ht="24" customHeight="1">
      <c r="A55" s="3175" t="s">
        <v>2048</v>
      </c>
      <c r="B55" s="3176"/>
      <c r="C55" s="3176"/>
      <c r="D55" s="2546">
        <f ca="1">IF(H55="个人住宅",0,ROUND(D45*I55,0))</f>
        <v>6</v>
      </c>
      <c r="E55" s="2556" t="s">
        <v>2049</v>
      </c>
      <c r="F55" s="2779" t="str">
        <f>IF(H55="正常",I55,"免征")</f>
        <v>免征</v>
      </c>
      <c r="G55" s="2780"/>
      <c r="H55" s="2775"/>
      <c r="I55" s="167">
        <f>'数据-取费表'!B49</f>
        <v>5.0000000000000001E-4</v>
      </c>
      <c r="J55" s="2748">
        <f>IF(H59="非个人房产","",4)</f>
        <v>4</v>
      </c>
      <c r="K55" s="3232" t="str">
        <f>IF(H59="非个人房产","——","个人所得税")</f>
        <v>个人所得税</v>
      </c>
      <c r="L55" s="3232"/>
      <c r="M55" s="2753">
        <f ca="1">D59</f>
        <v>118</v>
      </c>
      <c r="N55" s="2227" t="str">
        <f>E59</f>
        <v>差额计税</v>
      </c>
      <c r="O55" s="2754">
        <f>F59</f>
        <v>0.01</v>
      </c>
    </row>
    <row r="56" spans="1:35" ht="24.75">
      <c r="A56" s="3175" t="s">
        <v>2050</v>
      </c>
      <c r="B56" s="3176"/>
      <c r="C56" s="3176"/>
      <c r="D56" s="2546">
        <f ca="1">IF(H56="个人住宅",D57,D58)</f>
        <v>7000</v>
      </c>
      <c r="E56" s="2556" t="s">
        <v>2051</v>
      </c>
      <c r="F56" s="2779" t="str">
        <f>IF(H56="正常",F58,"免征")</f>
        <v>免征</v>
      </c>
      <c r="G56" s="2782" t="s">
        <v>2052</v>
      </c>
      <c r="H56" s="2783"/>
      <c r="I56" s="1993"/>
      <c r="J56" s="2748" t="str">
        <f>IF(项目基本情况!K6="上海银行",IF(J55="",4,J55+1),"")</f>
        <v/>
      </c>
      <c r="K56" s="3255" t="str">
        <f>IF(项目基本情况!K6="上海银行","其他处置费用","")</f>
        <v/>
      </c>
      <c r="L56" s="3256"/>
      <c r="M56" s="2750" t="str">
        <f>IF(项目基本情况!K6="上海银行",M69,"")</f>
        <v/>
      </c>
      <c r="N56" s="3255" t="str">
        <f>IF(项目基本情况!K6="上海银行","包含处置中涉及的律师、诉讼、拍卖、评估等费用","")</f>
        <v/>
      </c>
      <c r="O56" s="3258"/>
    </row>
    <row r="57" spans="1:35" ht="12.75">
      <c r="A57" s="2557" t="s">
        <v>2028</v>
      </c>
      <c r="B57" s="3186" t="s">
        <v>2053</v>
      </c>
      <c r="C57" s="3187"/>
      <c r="D57" s="1774">
        <v>0</v>
      </c>
      <c r="E57" s="327" t="s">
        <v>2030</v>
      </c>
      <c r="F57" s="305"/>
      <c r="G57" s="2780"/>
      <c r="H57" s="2784"/>
      <c r="I57" s="1993"/>
      <c r="J57" s="3232">
        <f>IF(AND(J55="",J56=""),4,IF(项目基本情况!K6="上海银行",结果表!J56+1,结果表!J55+1))</f>
        <v>5</v>
      </c>
      <c r="K57" s="3232" t="s">
        <v>2054</v>
      </c>
      <c r="L57" s="2755" t="s">
        <v>2055</v>
      </c>
      <c r="M57" s="2756"/>
      <c r="N57" s="2757">
        <f ca="1">SUMIF(M52:M56,"&lt;9e307")</f>
        <v>7124</v>
      </c>
      <c r="O57" s="2758"/>
      <c r="P57" s="2918">
        <f ca="1">N57/M49</f>
        <v>0.57600258732212162</v>
      </c>
    </row>
    <row r="58" spans="1:35" ht="24.75">
      <c r="A58" s="2557" t="s">
        <v>2039</v>
      </c>
      <c r="B58" s="3186" t="s">
        <v>2056</v>
      </c>
      <c r="C58" s="3160"/>
      <c r="D58" s="2546">
        <f ca="1">IF(H58="转让取得",C81,C97)</f>
        <v>7000</v>
      </c>
      <c r="E58" s="2556" t="s">
        <v>2051</v>
      </c>
      <c r="F58" s="305" t="s">
        <v>34</v>
      </c>
      <c r="G58" s="2780"/>
      <c r="H58" s="2783"/>
      <c r="I58" s="1993"/>
      <c r="J58" s="3232"/>
      <c r="K58" s="3232"/>
      <c r="L58" s="2755" t="s">
        <v>2057</v>
      </c>
      <c r="M58" s="2759"/>
      <c r="N58" s="2760" t="str">
        <f ca="1">NUMBERSTRING(INT(N57*10000),2)&amp;"元整"</f>
        <v>柒仟壹佰贰拾肆万元整</v>
      </c>
      <c r="O58" s="2761"/>
    </row>
    <row r="59" spans="1:35" ht="24.75" thickBot="1">
      <c r="A59" s="3235" t="s">
        <v>2058</v>
      </c>
      <c r="B59" s="3236"/>
      <c r="C59" s="3236"/>
      <c r="D59" s="2785">
        <f ca="1">IF(H59="非个人房产","——",IF(H59="个人住宅（满五唯一有凭证）",0,IF(H59="个人其他（无凭证）",ROUND(D45*F59,0),ROUND(C67*F59,0))))</f>
        <v>118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233">
        <f>J57+1</f>
        <v>6</v>
      </c>
      <c r="K59" s="3232" t="s">
        <v>2059</v>
      </c>
      <c r="L59" s="2748" t="s">
        <v>2055</v>
      </c>
      <c r="M59" s="2762"/>
      <c r="N59" s="2763">
        <f ca="1">M49-N57</f>
        <v>5244</v>
      </c>
      <c r="O59" s="2764"/>
    </row>
    <row r="60" spans="1:35" ht="12" customHeight="1">
      <c r="A60" s="1994"/>
      <c r="B60" s="1932"/>
      <c r="C60" s="1932"/>
      <c r="D60" s="1932"/>
      <c r="E60" s="1762"/>
      <c r="F60" s="1993"/>
      <c r="G60" s="1993"/>
      <c r="H60" s="1995"/>
      <c r="I60" s="131"/>
      <c r="J60" s="3234"/>
      <c r="K60" s="3232"/>
      <c r="L60" s="2755" t="s">
        <v>2057</v>
      </c>
      <c r="M60" s="2759"/>
      <c r="N60" s="2760" t="str">
        <f ca="1">NUMBERSTRING(INT(N59*10000),2)&amp;"元整"</f>
        <v>伍仟贰佰肆拾肆万元整</v>
      </c>
      <c r="O60" s="2761"/>
    </row>
    <row r="61" spans="1:35" ht="13.5" thickBot="1">
      <c r="A61" s="3173" t="s">
        <v>2060</v>
      </c>
      <c r="B61" s="3173"/>
      <c r="C61" s="3173"/>
      <c r="D61" s="3173"/>
      <c r="E61" s="3173"/>
      <c r="F61" s="1993"/>
      <c r="G61" s="1993"/>
      <c r="H61" s="1995"/>
      <c r="I61" s="131"/>
      <c r="J61" s="2748">
        <f>J59+1</f>
        <v>7</v>
      </c>
      <c r="K61" s="3232" t="s">
        <v>2061</v>
      </c>
      <c r="L61" s="3232"/>
      <c r="M61" s="2765"/>
      <c r="N61" s="2766">
        <f ca="1">ROUND(N59*10000/'数据-汇总表'!E3,0)</f>
        <v>6038</v>
      </c>
      <c r="O61" s="2767"/>
    </row>
    <row r="62" spans="1:35" ht="12.75">
      <c r="A62" s="3191" t="s">
        <v>2062</v>
      </c>
      <c r="B62" s="3192"/>
      <c r="C62" s="2208"/>
      <c r="D62" s="2208" t="s">
        <v>2063</v>
      </c>
      <c r="E62" s="168" t="s">
        <v>2064</v>
      </c>
      <c r="F62" s="1993"/>
      <c r="G62" s="1993"/>
      <c r="H62" s="1995"/>
      <c r="I62" s="131"/>
    </row>
    <row r="63" spans="1:35" ht="12.75">
      <c r="A63" s="175" t="s">
        <v>775</v>
      </c>
      <c r="B63" s="169" t="s">
        <v>2065</v>
      </c>
      <c r="C63" s="2789">
        <f ca="1">ROUND((C64+C65)/(1+'数据-取费表'!C42),0)</f>
        <v>11779</v>
      </c>
      <c r="D63" s="169"/>
      <c r="E63" s="170"/>
      <c r="F63" s="1993"/>
      <c r="G63" s="1993"/>
      <c r="H63" s="1995"/>
      <c r="I63" s="131"/>
      <c r="J63" s="3257" t="s">
        <v>2066</v>
      </c>
      <c r="K63" s="1500" t="s">
        <v>2067</v>
      </c>
      <c r="L63" s="1500">
        <f ca="1">IF(M49&gt;10000,M49*0.5%,IF(AND(M49&gt;1000,M49&lt;=10000),M49*1%,IF(AND(M49&gt;100,M49&lt;=1000),M49*3%,IF(AND(M49&gt;10,M49&lt;=100),M49*5%,M49*8%))))</f>
        <v>61.84</v>
      </c>
      <c r="M63" s="305">
        <f ca="1">ROUND(L63,1)</f>
        <v>61.8</v>
      </c>
      <c r="N63" s="2768"/>
      <c r="Z63" s="1937"/>
      <c r="AI63" s="1938"/>
    </row>
    <row r="64" spans="1:35" ht="14.25" customHeight="1">
      <c r="A64" s="171" t="s">
        <v>770</v>
      </c>
      <c r="B64" s="172" t="s">
        <v>2068</v>
      </c>
      <c r="C64" s="2790">
        <f ca="1">D45</f>
        <v>12368</v>
      </c>
      <c r="D64" s="172" t="s">
        <v>32</v>
      </c>
      <c r="E64" s="174"/>
      <c r="F64" s="1993"/>
      <c r="G64" s="1993"/>
      <c r="H64" s="1995"/>
      <c r="I64" s="131"/>
      <c r="J64" s="3257"/>
      <c r="K64" s="1500" t="s">
        <v>2069</v>
      </c>
      <c r="L64" s="1500">
        <f ca="1">IF(M49&gt;2000,M49*0.5%,IF(AND(M49&gt;1000,M49&lt;=2000),M49*0.6%,IF(AND(M49&gt;500,M49&lt;=1000),M49*0.7%,IF(AND(M49&gt;200,M49&lt;=500),M49*0.8%,IF(AND(M49&gt;100,M49&lt;=200),M49*0.9%,IF(AND(M49&gt;50,M49&lt;=100),M49*1%,IF(AND(M49&gt;20,M49&lt;=50),M49*1.5%,IF(AND(M49&gt;10,M49&lt;=20),M49*2%,IF(AND(M49&gt;1,M49&lt;=10),M49*2.5%)))))))))</f>
        <v>61.84</v>
      </c>
      <c r="M64" s="305">
        <f t="shared" ref="M64:M65" ca="1" si="1">ROUND(L64,1)</f>
        <v>61.8</v>
      </c>
      <c r="N64" s="2769" t="s">
        <v>2070</v>
      </c>
      <c r="Z64" s="1937"/>
      <c r="AI64" s="1938"/>
    </row>
    <row r="65" spans="1:35" ht="14.25" customHeight="1">
      <c r="A65" s="171" t="s">
        <v>771</v>
      </c>
      <c r="B65" s="172" t="s">
        <v>2071</v>
      </c>
      <c r="C65" s="2791"/>
      <c r="D65" s="172"/>
      <c r="E65" s="174"/>
      <c r="F65" s="1993"/>
      <c r="G65" s="1993"/>
      <c r="H65" s="1995"/>
      <c r="I65" s="131"/>
      <c r="J65" s="3257"/>
      <c r="K65" s="1500" t="s">
        <v>2072</v>
      </c>
      <c r="L65" s="1500">
        <f ca="1">IF(M49&gt;1000,M49*0.1%,IF(AND(M49&gt;500,M49&lt;=1000),M49*0.5%,IF(AND(M49&gt;50,M49&lt;=500),M49*1%,IF(AND(M49&gt;1,M49&lt;=50),M49*1.5%))))</f>
        <v>12.368</v>
      </c>
      <c r="M65" s="305">
        <f t="shared" ca="1" si="1"/>
        <v>12.4</v>
      </c>
      <c r="N65" s="2769" t="s">
        <v>2070</v>
      </c>
      <c r="Z65" s="1937"/>
      <c r="AI65" s="1938"/>
    </row>
    <row r="66" spans="1:35" ht="14.25" customHeight="1">
      <c r="A66" s="175" t="s">
        <v>772</v>
      </c>
      <c r="B66" s="176" t="s">
        <v>2073</v>
      </c>
      <c r="C66" s="2792"/>
      <c r="D66" s="176" t="s">
        <v>32</v>
      </c>
      <c r="E66" s="1508" t="s">
        <v>1337</v>
      </c>
      <c r="F66" s="1993"/>
      <c r="G66" s="1993"/>
      <c r="H66" s="1995"/>
      <c r="I66" s="131"/>
      <c r="J66" s="3257"/>
      <c r="K66" s="1500" t="s">
        <v>2074</v>
      </c>
      <c r="L66" s="1500">
        <f ca="1">M49*0.5%</f>
        <v>61.84</v>
      </c>
      <c r="M66" s="305">
        <f ca="1">IF(L66&gt;0.5,0.5,ROUND(L66,0))</f>
        <v>0.5</v>
      </c>
      <c r="N66" s="2769" t="s">
        <v>2075</v>
      </c>
      <c r="Z66" s="1937"/>
      <c r="AI66" s="1938"/>
    </row>
    <row r="67" spans="1:35" ht="14.25" customHeight="1">
      <c r="A67" s="175" t="s">
        <v>773</v>
      </c>
      <c r="B67" s="176" t="s">
        <v>2076</v>
      </c>
      <c r="C67" s="2793">
        <f ca="1">C63-C66</f>
        <v>11779</v>
      </c>
      <c r="D67" s="172" t="s">
        <v>32</v>
      </c>
      <c r="E67" s="174"/>
      <c r="F67" s="1993"/>
      <c r="G67" s="1993"/>
      <c r="H67" s="1995"/>
      <c r="I67" s="131"/>
      <c r="J67" s="3257"/>
      <c r="K67" s="1500" t="s">
        <v>2077</v>
      </c>
      <c r="L67" s="1500">
        <f ca="1">IF(M49&gt;=10000,(8.25+(M49-10000)*0.01%),IF(AND(M49&gt;=8000,M49&lt;10000),(7.85+(M49-8000)*0.02%),IF(AND(M49&gt;=5000,M49&lt;8000),(6.65+(M49-5000)*0.04%),IF(AND(M49&gt;=2000,M49&lt;5000),(4.25+(PM49-2000)*0.08%),IF(AND(M49&gt;=1000,M49&lt;2000),(2.75+(M49-1000)*0.15%),IF(AND(M49&gt;=100,M49&lt;1000),(0.5+(M49-100)*0.25%),IF(AND(M49&gt;0,M49&lt;100),M49*0.5%)))))))</f>
        <v>8.4868000000000006</v>
      </c>
      <c r="M67" s="305">
        <f ca="1">ROUND(L67*0.9,1)</f>
        <v>7.6</v>
      </c>
      <c r="N67" s="2768"/>
      <c r="Z67" s="1937"/>
      <c r="AI67" s="1938"/>
    </row>
    <row r="68" spans="1:35" ht="14.25" customHeight="1" thickBot="1">
      <c r="A68" s="178" t="s">
        <v>774</v>
      </c>
      <c r="B68" s="179" t="s">
        <v>2078</v>
      </c>
      <c r="C68" s="2794">
        <f ca="1">IF(C67&lt;=0,0,ROUND(C67*D68,0))</f>
        <v>660</v>
      </c>
      <c r="D68" s="2795">
        <f>'数据-取费表'!B41</f>
        <v>5.6000000000000001E-2</v>
      </c>
      <c r="E68" s="181"/>
      <c r="F68" s="1993"/>
      <c r="G68" s="1993"/>
      <c r="H68" s="1995"/>
      <c r="I68" s="131"/>
      <c r="J68" s="3257"/>
      <c r="K68" s="1500" t="s">
        <v>2079</v>
      </c>
      <c r="L68" s="1500">
        <f ca="1">IF(M49&gt;10000,M49*0.5%,IF(AND(M49&gt;5000,M49&lt;=10000),M49*1%,IF(AND(M49&gt;1000,M49&lt;=5000),M49*2%,IF(AND(M49&gt;200,M49&lt;=1000),M49*3%,M49*5%))))</f>
        <v>61.84</v>
      </c>
      <c r="M68" s="305">
        <f ca="1">ROUND(L68,1)</f>
        <v>61.8</v>
      </c>
      <c r="N68" s="2768"/>
      <c r="Z68" s="1937"/>
      <c r="AI68" s="1938"/>
    </row>
    <row r="69" spans="1:35" s="1957" customFormat="1" ht="16.5" customHeight="1">
      <c r="A69" s="1996"/>
      <c r="B69" s="1997"/>
      <c r="C69" s="1998"/>
      <c r="D69" s="1999"/>
      <c r="E69" s="2000"/>
      <c r="F69" s="1762"/>
      <c r="G69" s="1762"/>
      <c r="H69" s="1761"/>
      <c r="I69" s="1932"/>
      <c r="J69" s="3257"/>
      <c r="K69" s="1500" t="s">
        <v>2080</v>
      </c>
      <c r="L69" s="1500"/>
      <c r="M69" s="305">
        <f ca="1">ROUND(SUM(M63:M68),0)</f>
        <v>206</v>
      </c>
      <c r="N69" s="2770">
        <f ca="1">M69/M49</f>
        <v>1.6655886157826649E-2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15" t="s">
        <v>2081</v>
      </c>
      <c r="B70" s="3216"/>
      <c r="C70" s="3216"/>
      <c r="D70" s="3216"/>
      <c r="E70" s="3216"/>
      <c r="F70" s="3216"/>
      <c r="G70" s="3216"/>
      <c r="H70" s="3216"/>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1" t="s">
        <v>2062</v>
      </c>
      <c r="B71" s="3192"/>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11779</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71</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186" t="s">
        <v>2089</v>
      </c>
      <c r="F76" s="3160"/>
      <c r="G76" s="3160"/>
      <c r="H76" s="321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71</v>
      </c>
      <c r="D78" s="2802">
        <f>'数据-取费表'!B43</f>
        <v>6.000000000000001E-3</v>
      </c>
      <c r="E78" s="3170" t="s">
        <v>2093</v>
      </c>
      <c r="F78" s="3171"/>
      <c r="G78" s="3171"/>
      <c r="H78" s="318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11708</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164.90140845070422</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7000</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5" t="s">
        <v>2097</v>
      </c>
      <c r="B83" s="3216"/>
      <c r="C83" s="3216"/>
      <c r="D83" s="3216"/>
      <c r="E83" s="3216"/>
      <c r="F83" s="3216"/>
      <c r="G83" s="3216"/>
      <c r="H83" s="321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1" t="s">
        <v>2062</v>
      </c>
      <c r="B84" s="3192"/>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11779</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71</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259" t="s">
        <v>2873</v>
      </c>
      <c r="H90" s="3260"/>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170" t="s">
        <v>2106</v>
      </c>
      <c r="F91" s="3171"/>
      <c r="G91" s="317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170" t="s">
        <v>2109</v>
      </c>
      <c r="F92" s="3171"/>
      <c r="G92" s="3171"/>
      <c r="H92" s="3180"/>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71</v>
      </c>
      <c r="D93" s="2802">
        <f>'数据-取费表'!B43</f>
        <v>6.000000000000001E-3</v>
      </c>
      <c r="E93" s="3170" t="s">
        <v>2093</v>
      </c>
      <c r="F93" s="3171"/>
      <c r="G93" s="3171"/>
      <c r="H93" s="318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181" t="s">
        <v>2113</v>
      </c>
      <c r="F94" s="3182"/>
      <c r="G94" s="3182"/>
      <c r="H94" s="318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11708</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164.90140845070422</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7000</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54" t="s">
        <v>2115</v>
      </c>
      <c r="B100" s="3155"/>
      <c r="C100" s="3155"/>
      <c r="D100" s="3172"/>
      <c r="E100" s="3155" t="s">
        <v>2116</v>
      </c>
      <c r="F100" s="3155"/>
      <c r="G100" s="3155"/>
      <c r="H100" s="3172"/>
      <c r="I100" s="131"/>
    </row>
    <row r="101" spans="1:35" ht="18.75" customHeight="1">
      <c r="A101" s="3240" t="s">
        <v>2117</v>
      </c>
      <c r="B101" s="3241"/>
      <c r="C101" s="2810" t="str">
        <f>C4</f>
        <v>成本法</v>
      </c>
      <c r="D101" s="2811" t="str">
        <f>D4</f>
        <v>收益法</v>
      </c>
      <c r="E101" s="3254" t="s">
        <v>2118</v>
      </c>
      <c r="F101" s="3207"/>
      <c r="G101" s="2012" t="s">
        <v>2119</v>
      </c>
      <c r="H101" s="2820">
        <f ca="1">H118</f>
        <v>12368</v>
      </c>
      <c r="I101" s="131"/>
    </row>
    <row r="102" spans="1:35" ht="18.75" customHeight="1">
      <c r="A102" s="3209" t="s">
        <v>2120</v>
      </c>
      <c r="B102" s="2809" t="s">
        <v>2119</v>
      </c>
      <c r="C102" s="2810">
        <f ca="1">C19</f>
        <v>10377</v>
      </c>
      <c r="D102" s="2811">
        <f ca="1">D19</f>
        <v>13221</v>
      </c>
      <c r="E102" s="3254"/>
      <c r="F102" s="3207"/>
      <c r="G102" s="2012" t="s">
        <v>2121</v>
      </c>
      <c r="H102" s="2780">
        <f ca="1">I118</f>
        <v>14241</v>
      </c>
      <c r="I102" s="131"/>
    </row>
    <row r="103" spans="1:35" ht="42.75" customHeight="1">
      <c r="A103" s="3209"/>
      <c r="B103" s="2809" t="s">
        <v>2121</v>
      </c>
      <c r="C103" s="2812">
        <f ca="1">C20</f>
        <v>11949</v>
      </c>
      <c r="D103" s="2813">
        <f ca="1">D20</f>
        <v>15223</v>
      </c>
      <c r="E103" s="3248" t="s">
        <v>2122</v>
      </c>
      <c r="F103" s="3249"/>
      <c r="G103" s="2013" t="s">
        <v>2123</v>
      </c>
      <c r="H103" s="2820">
        <f>IF(D36="正常操作",H104+H105+H106,H105+H106)</f>
        <v>0</v>
      </c>
      <c r="I103" s="131"/>
    </row>
    <row r="104" spans="1:35" ht="18.75" customHeight="1">
      <c r="A104" s="3209" t="s">
        <v>2124</v>
      </c>
      <c r="B104" s="2814" t="s">
        <v>2119</v>
      </c>
      <c r="C104" s="2815">
        <f ca="1">H118</f>
        <v>12368</v>
      </c>
      <c r="D104" s="2816"/>
      <c r="E104" s="1859" t="s">
        <v>2125</v>
      </c>
      <c r="F104" s="1850"/>
      <c r="G104" s="2013" t="s">
        <v>2123</v>
      </c>
      <c r="H104" s="2821">
        <f>IF(D36="同一抵押权人同一抵押物续贷",C36&amp;"（续贷，未扣减，详见特别提示）",C36)</f>
        <v>0</v>
      </c>
      <c r="I104" s="131"/>
    </row>
    <row r="105" spans="1:35" ht="18.75" customHeight="1" thickBot="1">
      <c r="A105" s="3210"/>
      <c r="B105" s="2817" t="s">
        <v>2121</v>
      </c>
      <c r="C105" s="2818">
        <f ca="1">I118</f>
        <v>14241</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206" t="str">
        <f>IF(项目基本情况!E8="已注销","——","3.房地产抵押价值")</f>
        <v>3.房地产抵押价值</v>
      </c>
      <c r="F107" s="3207"/>
      <c r="G107" s="2012" t="s">
        <v>2119</v>
      </c>
      <c r="H107" s="2820">
        <f ca="1">IF(E107="——","——",H101-H103)</f>
        <v>12368</v>
      </c>
      <c r="I107" s="131"/>
    </row>
    <row r="108" spans="1:35" ht="18.75" customHeight="1">
      <c r="A108" s="131"/>
      <c r="B108" s="131"/>
      <c r="C108" s="131"/>
      <c r="D108" s="131"/>
      <c r="E108" s="3206"/>
      <c r="F108" s="3207"/>
      <c r="G108" s="2012" t="s">
        <v>2121</v>
      </c>
      <c r="H108" s="2780">
        <f ca="1">ROUND(H107*10000/'数据-汇总表'!E3,0)</f>
        <v>14241</v>
      </c>
      <c r="I108" s="131"/>
    </row>
    <row r="109" spans="1:35" ht="18.75" customHeight="1">
      <c r="A109" s="131"/>
      <c r="B109" s="131"/>
      <c r="C109" s="131"/>
      <c r="D109" s="131"/>
      <c r="E109" s="3206" t="str">
        <f>IF(项目基本情况!E8="已注销及未注销","4.抵押担保权已注销时的房地产抵押价值",IF(项目基本情况!E8="已注销","3.抵押担保权已注销时的房地产抵押价值","——"))</f>
        <v>——</v>
      </c>
      <c r="F109" s="3207"/>
      <c r="G109" s="2012" t="s">
        <v>2119</v>
      </c>
      <c r="H109" s="2823" t="str">
        <f>IF(E109="——","——",H101-H105-H106)</f>
        <v>——</v>
      </c>
      <c r="I109" s="131"/>
    </row>
    <row r="110" spans="1:35" ht="18.75" customHeight="1">
      <c r="A110" s="131"/>
      <c r="B110" s="131"/>
      <c r="C110" s="131"/>
      <c r="D110" s="131"/>
      <c r="E110" s="3206"/>
      <c r="F110" s="3207"/>
      <c r="G110" s="2012" t="s">
        <v>2121</v>
      </c>
      <c r="H110" s="2780" t="str">
        <f>IF(H109="——","——",ROUND(H109*10000/'数据-汇总表'!E3,0))</f>
        <v>——</v>
      </c>
      <c r="I110" s="131"/>
    </row>
    <row r="111" spans="1:35" ht="18.75" customHeight="1">
      <c r="A111" s="131"/>
      <c r="B111" s="131"/>
      <c r="C111" s="131"/>
      <c r="D111" s="131"/>
      <c r="E111" s="3242" t="str">
        <f>IF(项目基本情况!E9="抵押净值",IF(OR(项目基本情况!E8="已注销",项目基本情况!E8="房地产抵押价值"),"4.抵押净值","5.抵押净值"),"——")</f>
        <v>——</v>
      </c>
      <c r="F111" s="3208"/>
      <c r="G111" s="2012" t="s">
        <v>2119</v>
      </c>
      <c r="H111" s="2820" t="str">
        <f>IF(E111="——","——",N59)</f>
        <v>——</v>
      </c>
      <c r="I111" s="131"/>
    </row>
    <row r="112" spans="1:35" ht="18.75" customHeight="1" thickBot="1">
      <c r="A112" s="131"/>
      <c r="B112" s="131"/>
      <c r="C112" s="131"/>
      <c r="D112" s="131"/>
      <c r="E112" s="3243"/>
      <c r="F112" s="3244"/>
      <c r="G112" s="2015" t="s">
        <v>2121</v>
      </c>
      <c r="H112" s="2824" t="str">
        <f>IF(E111="——","——",N61)</f>
        <v>——</v>
      </c>
      <c r="I112" s="131"/>
    </row>
    <row r="113" spans="1:27" ht="18.75" customHeight="1">
      <c r="A113" s="131"/>
      <c r="B113" s="131"/>
      <c r="C113" s="131"/>
      <c r="D113" s="131"/>
      <c r="E113" s="3211" t="s">
        <v>2127</v>
      </c>
      <c r="F113" s="3211"/>
      <c r="G113" s="3211"/>
      <c r="H113" s="3211"/>
      <c r="I113" s="131"/>
    </row>
    <row r="114" spans="1:27" ht="3.75" customHeight="1">
      <c r="A114" s="1932"/>
      <c r="B114" s="1932"/>
      <c r="C114" s="1932"/>
      <c r="D114" s="1932"/>
      <c r="E114" s="1994"/>
      <c r="F114" s="1994"/>
      <c r="G114" s="1994"/>
      <c r="H114" s="1994"/>
      <c r="I114" s="1932"/>
    </row>
    <row r="115" spans="1:27" ht="18.75" customHeight="1">
      <c r="A115" s="3224" t="s">
        <v>2129</v>
      </c>
      <c r="B115" s="3225"/>
      <c r="C115" s="3225"/>
      <c r="D115" s="3225"/>
      <c r="E115" s="3225"/>
      <c r="F115" s="3225"/>
      <c r="G115" s="3225"/>
      <c r="H115" s="3225"/>
      <c r="I115" s="3226"/>
    </row>
    <row r="116" spans="1:27" ht="27" customHeight="1">
      <c r="A116" s="3174" t="s">
        <v>2130</v>
      </c>
      <c r="B116" s="3212" t="s">
        <v>2131</v>
      </c>
      <c r="C116" s="3212" t="s">
        <v>2132</v>
      </c>
      <c r="D116" s="3229" t="s">
        <v>2133</v>
      </c>
      <c r="E116" s="3230"/>
      <c r="F116" s="3220" t="s">
        <v>2134</v>
      </c>
      <c r="G116" s="3220"/>
      <c r="H116" s="3174" t="s">
        <v>2135</v>
      </c>
      <c r="I116" s="3174"/>
    </row>
    <row r="117" spans="1:27" ht="18.75" customHeight="1">
      <c r="A117" s="3174"/>
      <c r="B117" s="3213"/>
      <c r="C117" s="3213"/>
      <c r="D117" s="2551" t="s">
        <v>2136</v>
      </c>
      <c r="E117" s="2551" t="s">
        <v>2137</v>
      </c>
      <c r="F117" s="2551" t="s">
        <v>2136</v>
      </c>
      <c r="G117" s="2551" t="s">
        <v>2138</v>
      </c>
      <c r="H117" s="2551" t="s">
        <v>2136</v>
      </c>
      <c r="I117" s="2551" t="s">
        <v>2138</v>
      </c>
    </row>
    <row r="118" spans="1:27" ht="24.75" customHeight="1">
      <c r="A118" s="2825" t="str">
        <f>项目基本情况!S2</f>
        <v>房地产</v>
      </c>
      <c r="B118" s="2551">
        <f>M18</f>
        <v>8684.6199999999972</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12368</v>
      </c>
      <c r="I118" s="2551">
        <f ca="1">ROUND(IF(D32="楼面单价",C32,H118*10000/B118),0)</f>
        <v>14241</v>
      </c>
    </row>
    <row r="119" spans="1:27" ht="18.75" customHeight="1">
      <c r="A119" s="3174" t="s">
        <v>2139</v>
      </c>
      <c r="B119" s="3174"/>
      <c r="C119" s="3174"/>
      <c r="D119" s="3217" t="e">
        <f ca="1">NUMBERSTRING(INT(D118*10000),2)&amp;"元整"</f>
        <v>#REF!</v>
      </c>
      <c r="E119" s="3219"/>
      <c r="F119" s="3217" t="e">
        <f ca="1">NUMBERSTRING(INT(F118*10000),2)&amp;"元整"</f>
        <v>#REF!</v>
      </c>
      <c r="G119" s="3219"/>
      <c r="H119" s="3217" t="str">
        <f ca="1">NUMBERSTRING(INT(H118*10000),2)&amp;"元整"</f>
        <v>壹亿贰仟叁佰陆拾捌万元整</v>
      </c>
      <c r="I119" s="3219"/>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1" t="s">
        <v>2139</v>
      </c>
      <c r="B121" s="3222"/>
      <c r="C121" s="3223"/>
      <c r="D121" s="3217" t="str">
        <f>IF(D120=0,"零元整",NUMBERSTRING(INT(D120*10000),2)&amp;"元整")</f>
        <v>零元整</v>
      </c>
      <c r="E121" s="3218"/>
      <c r="F121" s="3218"/>
      <c r="G121" s="3218"/>
      <c r="H121" s="3218"/>
      <c r="I121" s="3219"/>
      <c r="AA121" s="731"/>
    </row>
    <row r="122" spans="1:27" ht="18.75" customHeight="1">
      <c r="A122" s="3208" t="str">
        <f>IF(项目基本情况!B9="房地产市场价值","",MID(E107,3,LEN(E107)-2))</f>
        <v>房地产抵押价值</v>
      </c>
      <c r="B122" s="3208"/>
      <c r="C122" s="3208"/>
      <c r="D122" s="3245">
        <f ca="1">H107</f>
        <v>12368</v>
      </c>
      <c r="E122" s="3246"/>
      <c r="F122" s="3246"/>
      <c r="G122" s="3246"/>
      <c r="H122" s="3246"/>
      <c r="I122" s="3247"/>
      <c r="AA122" s="731"/>
    </row>
    <row r="123" spans="1:27" ht="18.75" customHeight="1">
      <c r="A123" s="3174" t="s">
        <v>2139</v>
      </c>
      <c r="B123" s="3174"/>
      <c r="C123" s="3174"/>
      <c r="D123" s="3217" t="str">
        <f ca="1">NUMBERSTRING(INT(D122*10000),2)&amp;"元整"</f>
        <v>壹亿贰仟叁佰陆拾捌万元整</v>
      </c>
      <c r="E123" s="3218"/>
      <c r="F123" s="3218"/>
      <c r="G123" s="3218"/>
      <c r="H123" s="3218"/>
      <c r="I123" s="3219"/>
      <c r="AA123" s="731"/>
    </row>
    <row r="124" spans="1:27" ht="18.75" customHeight="1">
      <c r="A124" s="3208" t="str">
        <f>IF(项目基本情况!B9="房地产市场价值","",MID(E109,3,LEN(E109)-2))</f>
        <v/>
      </c>
      <c r="B124" s="3208"/>
      <c r="C124" s="3208"/>
      <c r="D124" s="3245" t="str">
        <f>H109</f>
        <v>——</v>
      </c>
      <c r="E124" s="3246"/>
      <c r="F124" s="3246"/>
      <c r="G124" s="3246"/>
      <c r="H124" s="3246"/>
      <c r="I124" s="3247"/>
      <c r="AA124" s="731"/>
    </row>
    <row r="125" spans="1:27" ht="18.75" customHeight="1">
      <c r="A125" s="3174" t="s">
        <v>2139</v>
      </c>
      <c r="B125" s="3174"/>
      <c r="C125" s="3174"/>
      <c r="D125" s="3217" t="e">
        <f>NUMBERSTRING(INT(D124*10000),2)&amp;"元整"</f>
        <v>#VALUE!</v>
      </c>
      <c r="E125" s="3218"/>
      <c r="F125" s="3218"/>
      <c r="G125" s="3218"/>
      <c r="H125" s="3218"/>
      <c r="I125" s="3219"/>
      <c r="AA125" s="731"/>
    </row>
    <row r="126" spans="1:27" ht="18.75" customHeight="1">
      <c r="A126" s="3208" t="str">
        <f>IF(项目基本情况!B9="房地产市场价值","",MID(E111,3,LEN(E111)-2))</f>
        <v/>
      </c>
      <c r="B126" s="3208"/>
      <c r="C126" s="3208"/>
      <c r="D126" s="3245" t="str">
        <f>H111</f>
        <v>——</v>
      </c>
      <c r="E126" s="3246"/>
      <c r="F126" s="3246"/>
      <c r="G126" s="3246"/>
      <c r="H126" s="3246"/>
      <c r="I126" s="3247"/>
      <c r="AA126" s="731"/>
    </row>
    <row r="127" spans="1:27" ht="18.75" customHeight="1">
      <c r="A127" s="3174" t="s">
        <v>2139</v>
      </c>
      <c r="B127" s="3174"/>
      <c r="C127" s="3174"/>
      <c r="D127" s="3217" t="e">
        <f>NUMBERSTRING(INT(D126*10000),2)&amp;"元整"</f>
        <v>#VALUE!</v>
      </c>
      <c r="E127" s="3218"/>
      <c r="F127" s="3218"/>
      <c r="G127" s="3218"/>
      <c r="H127" s="3218"/>
      <c r="I127" s="3219"/>
      <c r="AA127" s="731"/>
    </row>
    <row r="128" spans="1:27" ht="21.75" customHeight="1">
      <c r="A128" s="3228" t="s">
        <v>2140</v>
      </c>
      <c r="B128" s="3228"/>
      <c r="C128" s="3228"/>
      <c r="D128" s="3228"/>
      <c r="E128" s="3228"/>
      <c r="F128" s="3228"/>
      <c r="G128" s="3228"/>
      <c r="H128" s="3228"/>
      <c r="I128" s="3228"/>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7" t="str">
        <f>项目基本情况!B1</f>
        <v>房地产抵押价值预评估</v>
      </c>
      <c r="C37" s="3067"/>
      <c r="D37" s="3067"/>
      <c r="E37" s="3067"/>
      <c r="F37" s="3067"/>
      <c r="G37" s="3067"/>
      <c r="H37" s="3067"/>
      <c r="I37" s="3067"/>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36" sqref="K3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7</v>
      </c>
    </row>
    <row r="2" spans="1:9" s="203" customFormat="1" ht="18" customHeight="1">
      <c r="A2" s="204" t="s">
        <v>2149</v>
      </c>
      <c r="B2" s="205">
        <f ca="1">IF(D2="——",C52,C52-E2)</f>
        <v>10377</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11949</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4091</v>
      </c>
      <c r="D5" s="214" t="s">
        <v>2156</v>
      </c>
      <c r="E5" s="215" t="s">
        <v>2157</v>
      </c>
      <c r="F5" s="215" t="s">
        <v>2158</v>
      </c>
      <c r="G5" s="216"/>
    </row>
    <row r="6" spans="1:9" s="217" customFormat="1" ht="13.5" customHeight="1">
      <c r="A6" s="883" t="s">
        <v>2159</v>
      </c>
      <c r="B6" s="218" t="s">
        <v>2160</v>
      </c>
      <c r="C6" s="219">
        <f>'土地比较法-住宅、综合'!B2</f>
        <v>3841</v>
      </c>
      <c r="D6" s="220"/>
      <c r="E6" s="221"/>
      <c r="F6" s="221"/>
      <c r="G6" s="222"/>
    </row>
    <row r="7" spans="1:9" s="217" customFormat="1" ht="13.5" customHeight="1">
      <c r="A7" s="883" t="s">
        <v>2161</v>
      </c>
      <c r="B7" s="218" t="s">
        <v>2162</v>
      </c>
      <c r="C7" s="223">
        <f>ROUND(C6*F7,0)</f>
        <v>156</v>
      </c>
      <c r="D7" s="223"/>
      <c r="E7" s="221"/>
      <c r="F7" s="224">
        <f>IF(项目基本情况!B8="出让",0,'数据-取费表'!B48+'数据-取费表'!B49)</f>
        <v>4.0500000000000001E-2</v>
      </c>
      <c r="G7" s="222"/>
    </row>
    <row r="8" spans="1:9" s="226" customFormat="1">
      <c r="A8" s="883" t="s">
        <v>2163</v>
      </c>
      <c r="B8" s="218" t="s">
        <v>2164</v>
      </c>
      <c r="C8" s="223">
        <f ca="1">IF(G8="已包含在土地购买价格中","0",IF(B1="",'数据-取费表'!B29,IF(G9="全部缴纳",C9+C10,H9)))</f>
        <v>94</v>
      </c>
      <c r="D8" s="225"/>
      <c r="E8" s="223"/>
      <c r="F8" s="224"/>
      <c r="G8" s="2041" t="s">
        <v>3262</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3263</v>
      </c>
      <c r="H9" s="1296"/>
      <c r="I9" s="2043" t="s">
        <v>2166</v>
      </c>
    </row>
    <row r="10" spans="1:9" s="217" customFormat="1" ht="13.5" customHeight="1">
      <c r="A10" s="884" t="s">
        <v>801</v>
      </c>
      <c r="B10" s="227" t="s">
        <v>2167</v>
      </c>
      <c r="C10" s="228">
        <f ca="1">ROUND(D10*E10/10000,0)</f>
        <v>94</v>
      </c>
      <c r="D10" s="951">
        <f ca="1">IF(B1="",'数据-汇总表'!E6,IF(INDIRECT("'数据-取费表'!c"&amp;$G$1)="住宅",INDIRECT("'数据-取费表'!s"&amp;$G$1),INDIRECT("'数据-取费表'!k"&amp;$G$1)+INDIRECT("'数据-取费表'!s"&amp;$G$1)))</f>
        <v>8684.6199999999972</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8684.6199999999972</v>
      </c>
      <c r="E19" s="214">
        <f>'数据-取费表'!B31</f>
        <v>180</v>
      </c>
      <c r="F19" s="234"/>
      <c r="G19" s="2041" t="s">
        <v>3264</v>
      </c>
    </row>
    <row r="20" spans="1:7" s="217" customFormat="1" ht="13.5" customHeight="1">
      <c r="A20" s="258" t="s">
        <v>2180</v>
      </c>
      <c r="B20" s="213" t="s">
        <v>2181</v>
      </c>
      <c r="C20" s="235">
        <f ca="1">ROUND((C5+C19)*F20,0)</f>
        <v>82</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402</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398</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835</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ROUND((C5+C19+C20)*F27*'数据-取费表'!B21/'数据-取费表'!B20,0)</f>
        <v>835</v>
      </c>
      <c r="D28" s="238"/>
      <c r="E28" s="239"/>
      <c r="F28" s="249"/>
      <c r="G28" s="250"/>
    </row>
    <row r="29" spans="1:7" s="217" customFormat="1" ht="13.5" customHeight="1">
      <c r="A29" s="885" t="s">
        <v>792</v>
      </c>
      <c r="B29" s="251" t="s">
        <v>2204</v>
      </c>
      <c r="C29" s="241">
        <f ca="1">ROUND(C21*F27*'数据-取费表'!B21/'数据-取费表'!B20,4)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5870</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4240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3908</v>
      </c>
      <c r="D34" s="220"/>
      <c r="E34" s="223"/>
      <c r="F34" s="260">
        <f ca="1">IF('数据-取费表'!B24=0,1,IF(B1="",'数据-取费表'!N16,INDIRECT("'数据-取费表'!n"&amp;$G$1)))</f>
        <v>1</v>
      </c>
      <c r="G34" s="222" t="s">
        <v>2213</v>
      </c>
    </row>
    <row r="35" spans="1:7" ht="13.5" customHeight="1">
      <c r="A35" s="885" t="s">
        <v>796</v>
      </c>
      <c r="B35" s="218" t="s">
        <v>2214</v>
      </c>
      <c r="C35" s="223">
        <f ca="1">ROUND(C34*F35,0)</f>
        <v>117</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156</v>
      </c>
      <c r="D37" s="220">
        <f ca="1">D19</f>
        <v>8684.6199999999972</v>
      </c>
      <c r="E37" s="252">
        <f>'数据-取费表'!B35</f>
        <v>180</v>
      </c>
      <c r="F37" s="262"/>
      <c r="G37" s="264" t="s">
        <v>2219</v>
      </c>
    </row>
    <row r="38" spans="1:7" ht="13.5" customHeight="1">
      <c r="A38" s="885" t="s">
        <v>799</v>
      </c>
      <c r="B38" s="218" t="s">
        <v>2220</v>
      </c>
      <c r="C38" s="223">
        <f ca="1">ROUND(C34*F38,0)</f>
        <v>59</v>
      </c>
      <c r="D38" s="223"/>
      <c r="E38" s="223"/>
      <c r="F38" s="262">
        <f>'数据-取费表'!B36</f>
        <v>1.4999999999999999E-2</v>
      </c>
      <c r="G38" s="222" t="s">
        <v>2215</v>
      </c>
    </row>
    <row r="39" spans="1:7" s="217" customFormat="1" ht="13.5" customHeight="1">
      <c r="A39" s="258" t="s">
        <v>2221</v>
      </c>
      <c r="B39" s="213" t="s">
        <v>2222</v>
      </c>
      <c r="C39" s="235">
        <f ca="1">ROUND(C33*F20,0)</f>
        <v>85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201</v>
      </c>
      <c r="D42" s="241"/>
      <c r="E42" s="241"/>
      <c r="F42" s="242"/>
      <c r="G42" s="3261" t="s">
        <v>2231</v>
      </c>
    </row>
    <row r="43" spans="1:7" ht="13.5" customHeight="1">
      <c r="A43" s="885" t="s">
        <v>792</v>
      </c>
      <c r="B43" s="218" t="s">
        <v>2232</v>
      </c>
      <c r="C43" s="241">
        <f ca="1">ROUND(IF('数据-取费表'!B22&lt;=1,C39*F22*'数据-取费表'!B21/2,C39*(POWER((1+F22),'数据-取费表'!B21/2)-1)),0)</f>
        <v>4</v>
      </c>
      <c r="D43" s="241"/>
      <c r="E43" s="241"/>
      <c r="F43" s="242"/>
      <c r="G43" s="3262"/>
    </row>
    <row r="44" spans="1:7" ht="13.5" customHeight="1">
      <c r="A44" s="885" t="s">
        <v>793</v>
      </c>
      <c r="B44" s="218" t="s">
        <v>2233</v>
      </c>
      <c r="C44" s="241">
        <f ca="1">ROUND(IF('数据-取费表'!B22&lt;=1,C40*F22*'数据-取费表'!B21/2,C40*(POWER((1+F22),'数据-取费表'!B21/2)-1)),4)</f>
        <v>1E-3</v>
      </c>
      <c r="D44" s="241"/>
      <c r="E44" s="241"/>
      <c r="F44" s="242"/>
      <c r="G44" s="3263"/>
    </row>
    <row r="45" spans="1:7" s="217" customFormat="1" ht="13.5" customHeight="1">
      <c r="A45" s="258" t="s">
        <v>2234</v>
      </c>
      <c r="B45" s="247" t="s">
        <v>2200</v>
      </c>
      <c r="C45" s="248">
        <f ca="1">C46</f>
        <v>865</v>
      </c>
      <c r="D45" s="238">
        <f ca="1">C47</f>
        <v>4.0000000000000001E-3</v>
      </c>
      <c r="E45" s="239" t="s">
        <v>2226</v>
      </c>
      <c r="F45" s="2536">
        <f ca="1">F27</f>
        <v>0.2</v>
      </c>
      <c r="G45" s="250" t="s">
        <v>2235</v>
      </c>
    </row>
    <row r="46" spans="1:7" s="217" customFormat="1" ht="13.5" customHeight="1">
      <c r="A46" s="885" t="s">
        <v>791</v>
      </c>
      <c r="B46" s="251" t="s">
        <v>2236</v>
      </c>
      <c r="C46" s="252">
        <f ca="1">ROUND((C33+C39)*F27,0)</f>
        <v>865</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5853</v>
      </c>
      <c r="D49" s="235"/>
      <c r="E49" s="235"/>
      <c r="F49" s="267"/>
      <c r="G49" s="237" t="s">
        <v>2241</v>
      </c>
    </row>
    <row r="50" spans="1:7" s="261" customFormat="1" ht="24">
      <c r="A50" s="258" t="s">
        <v>2242</v>
      </c>
      <c r="B50" s="213" t="s">
        <v>2243</v>
      </c>
      <c r="C50" s="235"/>
      <c r="D50" s="235"/>
      <c r="E50" s="235"/>
      <c r="F50" s="267">
        <f>IF('数据-取费表'!B24=0,'数据-取费表'!N16,1)</f>
        <v>0.77</v>
      </c>
      <c r="G50" s="250" t="s">
        <v>2244</v>
      </c>
    </row>
    <row r="51" spans="1:7" ht="16.5" customHeight="1">
      <c r="A51" s="258" t="s">
        <v>2245</v>
      </c>
      <c r="B51" s="213" t="s">
        <v>2246</v>
      </c>
      <c r="C51" s="235">
        <f ca="1">ROUND(C49*F50,0)</f>
        <v>4507</v>
      </c>
      <c r="D51" s="235"/>
      <c r="E51" s="235"/>
      <c r="F51" s="267"/>
      <c r="G51" s="237" t="s">
        <v>2247</v>
      </c>
    </row>
    <row r="52" spans="1:7" s="211" customFormat="1" ht="16.5" thickBot="1">
      <c r="A52" s="268" t="s">
        <v>2248</v>
      </c>
      <c r="B52" s="269"/>
      <c r="C52" s="270">
        <f ca="1">C31+C51</f>
        <v>10377</v>
      </c>
      <c r="D52" s="269"/>
      <c r="E52" s="269"/>
      <c r="F52" s="269"/>
      <c r="G52" s="271"/>
    </row>
    <row r="55" spans="1:7" ht="15">
      <c r="B55" s="273" t="s">
        <v>2249</v>
      </c>
      <c r="C55" s="274"/>
    </row>
    <row r="56" spans="1:7">
      <c r="B56" s="276" t="s">
        <v>1478</v>
      </c>
      <c r="C56" s="278">
        <f ca="1">1-C57</f>
        <v>0.56600000000000006</v>
      </c>
    </row>
    <row r="57" spans="1:7">
      <c r="B57" s="276" t="s">
        <v>1479</v>
      </c>
      <c r="C57" s="277">
        <f ca="1">ROUND(C51/C52,3)</f>
        <v>0.434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4866</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5603</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937939</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937939</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937939</v>
      </c>
      <c r="D10" s="951">
        <f ca="1">IF(B1="",'数据-汇总表'!E6,IF(INDIRECT("'数据-取费表'!c"&amp;$G$1)="住宅",INDIRECT("'数据-取费表'!s"&amp;$G$1),INDIRECT("'数据-取费表'!k"&amp;$G$1)+INDIRECT("'数据-取费表'!s"&amp;$G$1)))</f>
        <v>8684.6199999999972</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1563232</v>
      </c>
      <c r="D19" s="955">
        <f ca="1">D9+D10</f>
        <v>8684.6199999999972</v>
      </c>
      <c r="E19" s="214">
        <f>'数据-取费表'!B31</f>
        <v>180</v>
      </c>
      <c r="F19" s="234"/>
      <c r="G19" s="2041"/>
    </row>
    <row r="20" spans="1:7" s="217" customFormat="1" ht="13.5" customHeight="1">
      <c r="A20" s="258" t="s">
        <v>2261</v>
      </c>
      <c r="B20" s="213" t="s">
        <v>2262</v>
      </c>
      <c r="C20" s="235">
        <f ca="1">ROUND((C5+C19)*F20,0)</f>
        <v>50023</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245630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91220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152034</v>
      </c>
      <c r="D24" s="241"/>
      <c r="E24" s="241"/>
      <c r="F24" s="242"/>
      <c r="G24" s="243" t="s">
        <v>2273</v>
      </c>
    </row>
    <row r="25" spans="1:7" s="217" customFormat="1" ht="24">
      <c r="A25" s="885" t="s">
        <v>2163</v>
      </c>
      <c r="B25" s="218" t="s">
        <v>2274</v>
      </c>
      <c r="C25" s="1287">
        <f ca="1">ROUND(IF('数据-取费表'!B22&lt;=1,C20*F22*'数据-取费表'!B22/2,C20*(POWER((1+F22),'数据-取费表'!B22/2)-1)),0)</f>
        <v>2376</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510239</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ROUND((C5+C19+C20)*F27,0)</f>
        <v>510239</v>
      </c>
      <c r="D28" s="238"/>
      <c r="E28" s="239"/>
      <c r="F28" s="249"/>
      <c r="G28" s="250"/>
    </row>
    <row r="29" spans="1:7" s="217" customFormat="1" ht="13.5" customHeight="1">
      <c r="A29" s="885" t="s">
        <v>792</v>
      </c>
      <c r="B29" s="251" t="s">
        <v>2204</v>
      </c>
      <c r="C29" s="241">
        <f ca="1">ROUND(C21*F27,4)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3588004</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42402658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39080790</v>
      </c>
      <c r="D34" s="220"/>
      <c r="E34" s="223"/>
      <c r="F34" s="260"/>
      <c r="G34" s="222"/>
    </row>
    <row r="35" spans="1:7" ht="13.5" customHeight="1">
      <c r="A35" s="885" t="s">
        <v>796</v>
      </c>
      <c r="B35" s="218" t="s">
        <v>2214</v>
      </c>
      <c r="C35" s="223">
        <f ca="1">ROUND(C34*F35,0)</f>
        <v>1172424</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1563232</v>
      </c>
      <c r="D37" s="220">
        <f ca="1">D19</f>
        <v>8684.6199999999972</v>
      </c>
      <c r="E37" s="252">
        <f>'数据-取费表'!B35</f>
        <v>180</v>
      </c>
      <c r="F37" s="262"/>
      <c r="G37" s="264"/>
    </row>
    <row r="38" spans="1:7" ht="13.5" customHeight="1">
      <c r="A38" s="885" t="s">
        <v>799</v>
      </c>
      <c r="B38" s="218" t="s">
        <v>2220</v>
      </c>
      <c r="C38" s="223">
        <f ca="1">ROUND(C34*F38,0)</f>
        <v>586212</v>
      </c>
      <c r="D38" s="223"/>
      <c r="E38" s="223"/>
      <c r="F38" s="262">
        <f>'数据-取费表'!B36</f>
        <v>1.4999999999999999E-2</v>
      </c>
      <c r="G38" s="222" t="s">
        <v>2215</v>
      </c>
    </row>
    <row r="39" spans="1:7" s="217" customFormat="1" ht="13.5" customHeight="1">
      <c r="A39" s="258" t="s">
        <v>2221</v>
      </c>
      <c r="B39" s="213" t="s">
        <v>2222</v>
      </c>
      <c r="C39" s="235">
        <f ca="1">ROUND(C33*F20,0)</f>
        <v>848053</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2054409</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2014126</v>
      </c>
      <c r="D42" s="241"/>
      <c r="E42" s="241"/>
      <c r="F42" s="242"/>
      <c r="G42" s="3261" t="s">
        <v>2278</v>
      </c>
    </row>
    <row r="43" spans="1:7" ht="13.5" customHeight="1">
      <c r="A43" s="885" t="s">
        <v>792</v>
      </c>
      <c r="B43" s="218" t="s">
        <v>2232</v>
      </c>
      <c r="C43" s="241">
        <f ca="1">ROUND(IF('数据-取费表'!B22&lt;=1,C39*F22*'数据-取费表'!B20/2,C39*(POWER((1+F22),'数据-取费表'!B20/2)-1)),0)</f>
        <v>40283</v>
      </c>
      <c r="D43" s="241"/>
      <c r="E43" s="241"/>
      <c r="F43" s="242"/>
      <c r="G43" s="3262"/>
    </row>
    <row r="44" spans="1:7" ht="13.5" customHeight="1">
      <c r="A44" s="885" t="s">
        <v>793</v>
      </c>
      <c r="B44" s="218" t="s">
        <v>2233</v>
      </c>
      <c r="C44" s="241">
        <f ca="1">ROUND(IF('数据-取费表'!B22&lt;=1,C40*F22*'数据-取费表'!B20/2,C40*(POWER((1+F22),'数据-取费表'!B20/2)-1)),4)</f>
        <v>1E-3</v>
      </c>
      <c r="D44" s="241"/>
      <c r="E44" s="241"/>
      <c r="F44" s="242"/>
      <c r="G44" s="3263"/>
    </row>
    <row r="45" spans="1:7" s="217" customFormat="1" ht="13.5" customHeight="1">
      <c r="A45" s="258" t="s">
        <v>2234</v>
      </c>
      <c r="B45" s="247" t="s">
        <v>2200</v>
      </c>
      <c r="C45" s="248">
        <f ca="1">C46</f>
        <v>8650142</v>
      </c>
      <c r="D45" s="238">
        <f ca="1">C47</f>
        <v>4.0000000000000001E-3</v>
      </c>
      <c r="E45" s="239" t="s">
        <v>2226</v>
      </c>
      <c r="F45" s="2536">
        <f ca="1">F27</f>
        <v>0.2</v>
      </c>
      <c r="G45" s="250" t="s">
        <v>2235</v>
      </c>
    </row>
    <row r="46" spans="1:7" s="217" customFormat="1" ht="13.5" customHeight="1">
      <c r="A46" s="885" t="s">
        <v>791</v>
      </c>
      <c r="B46" s="251" t="s">
        <v>2236</v>
      </c>
      <c r="C46" s="252">
        <f ca="1">ROUND((C33+C39)*F27,0)</f>
        <v>8650142</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58538854</v>
      </c>
      <c r="D49" s="235"/>
      <c r="E49" s="235"/>
      <c r="F49" s="267"/>
      <c r="G49" s="237" t="s">
        <v>2241</v>
      </c>
    </row>
    <row r="50" spans="1:7" s="261" customFormat="1">
      <c r="A50" s="258" t="s">
        <v>2242</v>
      </c>
      <c r="B50" s="213" t="s">
        <v>2243</v>
      </c>
      <c r="C50" s="235"/>
      <c r="D50" s="235"/>
      <c r="E50" s="235"/>
      <c r="F50" s="267">
        <f>IF('数据-取费表'!B24=0,'数据-取费表'!N16,1)</f>
        <v>0.77</v>
      </c>
      <c r="G50" s="250"/>
    </row>
    <row r="51" spans="1:7" ht="16.5" customHeight="1">
      <c r="A51" s="258" t="s">
        <v>2245</v>
      </c>
      <c r="B51" s="213" t="s">
        <v>2280</v>
      </c>
      <c r="C51" s="235">
        <f ca="1">ROUND(C49*F50,0)</f>
        <v>45074918</v>
      </c>
      <c r="D51" s="235"/>
      <c r="E51" s="235"/>
      <c r="F51" s="267"/>
      <c r="G51" s="237" t="s">
        <v>2247</v>
      </c>
    </row>
    <row r="52" spans="1:7" s="211" customFormat="1" ht="16.5" thickBot="1">
      <c r="A52" s="268" t="s">
        <v>2248</v>
      </c>
      <c r="B52" s="269"/>
      <c r="C52" s="270">
        <f ca="1">C31+C51</f>
        <v>48662922</v>
      </c>
      <c r="D52" s="269"/>
      <c r="E52" s="269"/>
      <c r="F52" s="269"/>
      <c r="G52" s="271"/>
    </row>
    <row r="55" spans="1:7" ht="15">
      <c r="B55" s="273" t="s">
        <v>2249</v>
      </c>
      <c r="C55" s="274"/>
    </row>
    <row r="56" spans="1:7">
      <c r="B56" s="276" t="s">
        <v>1478</v>
      </c>
      <c r="C56" s="278">
        <f ca="1">1-C57</f>
        <v>7.3999999999999955E-2</v>
      </c>
    </row>
    <row r="57" spans="1:7">
      <c r="B57" s="276" t="s">
        <v>1479</v>
      </c>
      <c r="C57" s="277">
        <f ca="1">ROUND(C51/C52,3)</f>
        <v>0.92600000000000005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7</v>
      </c>
    </row>
    <row r="2" spans="1:33" ht="18" customHeight="1">
      <c r="A2" s="204" t="s">
        <v>2149</v>
      </c>
      <c r="B2" s="207">
        <f ca="1">C32</f>
        <v>0</v>
      </c>
      <c r="C2" s="279" t="s">
        <v>2282</v>
      </c>
      <c r="D2" s="279"/>
      <c r="E2" s="3036"/>
      <c r="F2" s="3036"/>
      <c r="G2" s="3036"/>
      <c r="H2" s="3036"/>
      <c r="I2" s="3036"/>
      <c r="J2" s="3036"/>
      <c r="K2" s="3036"/>
    </row>
    <row r="3" spans="1:33" ht="18" customHeight="1" thickBot="1">
      <c r="A3" s="206" t="s">
        <v>2151</v>
      </c>
      <c r="B3" s="207">
        <f ca="1">ROUND(B2*10000/IF(C1="",'数据-汇总表'!E3,INDIRECT("'数据-取费表'!K"&amp;$K$1)),0)</f>
        <v>0</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8684.6199999999972</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8684.6199999999972</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0</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94</v>
      </c>
      <c r="D20" s="952">
        <f ca="1">IF(C1="",'数据-汇总表'!E6,IF(INDIRECT("'数据-取费表'!c"&amp;$K$1)="住宅",INDIRECT("'数据-取费表'!s"&amp;$K$1),INDIRECT("'数据-取费表'!k"&amp;$K$1)+INDIRECT("'数据-取费表'!s"&amp;$K$1)))</f>
        <v>8684.6199999999972</v>
      </c>
      <c r="E20" s="23">
        <f>'数据-取费表'!B28</f>
        <v>108</v>
      </c>
      <c r="F20" s="910"/>
      <c r="G20" s="14"/>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80" zoomScaleNormal="60" zoomScaleSheetLayoutView="80" workbookViewId="0">
      <selection activeCell="K42" sqref="K42"/>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3841</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4423</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68" t="s">
        <v>2468</v>
      </c>
      <c r="D4" s="3281"/>
      <c r="E4" s="3282" t="s">
        <v>2469</v>
      </c>
      <c r="F4" s="3283"/>
      <c r="G4" s="3268" t="s">
        <v>2470</v>
      </c>
      <c r="H4" s="3281"/>
      <c r="I4" s="3268" t="s">
        <v>2471</v>
      </c>
      <c r="J4" s="3281"/>
      <c r="K4" s="564" t="s">
        <v>2472</v>
      </c>
      <c r="L4" s="2943"/>
      <c r="M4" s="2944"/>
      <c r="N4" s="2944"/>
      <c r="O4" s="2944"/>
      <c r="P4" s="3284" t="s">
        <v>2473</v>
      </c>
      <c r="Q4" s="3285"/>
      <c r="R4" s="3290" t="s">
        <v>2469</v>
      </c>
      <c r="S4" s="3291"/>
      <c r="T4" s="3290" t="s">
        <v>2470</v>
      </c>
      <c r="U4" s="3291"/>
      <c r="V4" s="3277" t="s">
        <v>2471</v>
      </c>
      <c r="W4" s="3277"/>
      <c r="X4" s="1538"/>
      <c r="Y4" s="3290" t="s">
        <v>2473</v>
      </c>
      <c r="Z4" s="3291"/>
      <c r="AA4" s="3278" t="s">
        <v>2469</v>
      </c>
      <c r="AB4" s="3279" t="s">
        <v>2470</v>
      </c>
      <c r="AC4" s="3278" t="s">
        <v>2471</v>
      </c>
    </row>
    <row r="5" spans="1:30" ht="15">
      <c r="A5" s="361"/>
      <c r="B5" s="362"/>
      <c r="C5" s="3298" t="s">
        <v>2364</v>
      </c>
      <c r="D5" s="3299"/>
      <c r="E5" s="3305" t="s">
        <v>2365</v>
      </c>
      <c r="F5" s="3306"/>
      <c r="G5" s="3298" t="s">
        <v>2366</v>
      </c>
      <c r="H5" s="3299"/>
      <c r="I5" s="3298" t="s">
        <v>2367</v>
      </c>
      <c r="J5" s="3299"/>
      <c r="K5" s="564"/>
      <c r="L5" s="2943"/>
      <c r="M5" s="2944"/>
      <c r="N5" s="2944"/>
      <c r="O5" s="2944"/>
      <c r="P5" s="3286"/>
      <c r="Q5" s="3287"/>
      <c r="R5" s="3292"/>
      <c r="S5" s="3293"/>
      <c r="T5" s="3292"/>
      <c r="U5" s="3293"/>
      <c r="V5" s="3277"/>
      <c r="W5" s="3277"/>
      <c r="X5" s="1538"/>
      <c r="Y5" s="3292"/>
      <c r="Z5" s="3293"/>
      <c r="AA5" s="3279"/>
      <c r="AB5" s="3279"/>
      <c r="AC5" s="3279"/>
    </row>
    <row r="6" spans="1:30" ht="34.5" customHeight="1" thickBot="1">
      <c r="A6" s="363"/>
      <c r="B6" s="364"/>
      <c r="C6" s="3296" t="s">
        <v>2368</v>
      </c>
      <c r="D6" s="3297"/>
      <c r="E6" s="3303" t="str">
        <f>土地案例!A15</f>
        <v>东华路以东、北人字街以南、平安大街以西、民生路以北</v>
      </c>
      <c r="F6" s="3304"/>
      <c r="G6" s="3296" t="str">
        <f>土地案例!A16</f>
        <v>解放西街以东、和平路以南、解放大街以西、星光路以北</v>
      </c>
      <c r="H6" s="3297"/>
      <c r="I6" s="3296" t="str">
        <f>土地案例!A20</f>
        <v>塔南路南、新胜利大街西、京广东街东</v>
      </c>
      <c r="J6" s="3297"/>
      <c r="K6" s="564" t="s">
        <v>2369</v>
      </c>
      <c r="L6" s="2943"/>
      <c r="M6" s="2944"/>
      <c r="N6" s="2944"/>
      <c r="O6" s="2944"/>
      <c r="P6" s="3288"/>
      <c r="Q6" s="3289"/>
      <c r="R6" s="3292"/>
      <c r="S6" s="3293"/>
      <c r="T6" s="3294"/>
      <c r="U6" s="3295"/>
      <c r="V6" s="3277"/>
      <c r="W6" s="3277"/>
      <c r="X6" s="1538"/>
      <c r="Y6" s="3294"/>
      <c r="Z6" s="3295"/>
      <c r="AA6" s="3280"/>
      <c r="AB6" s="3280"/>
      <c r="AC6" s="3280"/>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300" t="s">
        <v>2371</v>
      </c>
      <c r="Q7" s="3302"/>
      <c r="R7" s="707" t="s">
        <v>17</v>
      </c>
      <c r="S7" s="708">
        <f t="shared" ref="S7:S15" si="0">F7</f>
        <v>96</v>
      </c>
      <c r="T7" s="707" t="s">
        <v>17</v>
      </c>
      <c r="U7" s="708">
        <f t="shared" ref="U7:U15" si="1">H7</f>
        <v>96</v>
      </c>
      <c r="V7" s="707" t="s">
        <v>17</v>
      </c>
      <c r="W7" s="708">
        <f t="shared" ref="W7:W15" si="2">J7</f>
        <v>94</v>
      </c>
      <c r="X7" s="709"/>
      <c r="Y7" s="3300" t="s">
        <v>2371</v>
      </c>
      <c r="Z7" s="3301"/>
      <c r="AA7" s="710">
        <f>D7/F7</f>
        <v>1.0416666666666667</v>
      </c>
      <c r="AB7" s="710">
        <f>D7/H7</f>
        <v>1.0416666666666667</v>
      </c>
      <c r="AC7" s="710">
        <f>D7/J7</f>
        <v>1.0638297872340425</v>
      </c>
    </row>
    <row r="8" spans="1:30" s="112" customFormat="1" ht="15.75" thickBot="1">
      <c r="A8" s="365" t="s">
        <v>2372</v>
      </c>
      <c r="B8" s="366"/>
      <c r="C8" s="371" t="s">
        <v>2373</v>
      </c>
      <c r="D8" s="368">
        <v>100</v>
      </c>
      <c r="E8" s="371" t="s">
        <v>3246</v>
      </c>
      <c r="F8" s="370">
        <f>SUMIF(73:73,E8,74:74)-SUMIF(73:73,C8,74:74)+100</f>
        <v>100</v>
      </c>
      <c r="G8" s="371" t="s">
        <v>3246</v>
      </c>
      <c r="H8" s="368">
        <f>SUMIF(73:73,G8,74:74)-SUMIF(73:73,C8,74:74)+100</f>
        <v>100</v>
      </c>
      <c r="I8" s="371" t="s">
        <v>3246</v>
      </c>
      <c r="J8" s="368">
        <f>SUMIF(73:73,I8,74:74)-SUMIF(73:73,C8,74:74)+100</f>
        <v>100</v>
      </c>
      <c r="K8" s="565"/>
      <c r="L8" s="2945"/>
      <c r="M8" s="2946"/>
      <c r="N8" s="2946"/>
      <c r="O8" s="2946"/>
      <c r="P8" s="3300" t="s">
        <v>2374</v>
      </c>
      <c r="Q8" s="3301"/>
      <c r="R8" s="707" t="s">
        <v>17</v>
      </c>
      <c r="S8" s="708">
        <f t="shared" si="0"/>
        <v>100</v>
      </c>
      <c r="T8" s="707" t="s">
        <v>17</v>
      </c>
      <c r="U8" s="708">
        <f t="shared" si="1"/>
        <v>100</v>
      </c>
      <c r="V8" s="707" t="s">
        <v>17</v>
      </c>
      <c r="W8" s="708">
        <f t="shared" si="2"/>
        <v>100</v>
      </c>
      <c r="X8" s="709"/>
      <c r="Y8" s="3300" t="s">
        <v>2374</v>
      </c>
      <c r="Z8" s="3301"/>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71"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122</v>
      </c>
      <c r="G10" s="419"/>
      <c r="H10" s="129">
        <f>ROUND(100/'数据-取费表'!G16,0)</f>
        <v>122</v>
      </c>
      <c r="I10" s="419"/>
      <c r="J10" s="129">
        <f>ROUND(100/'数据-取费表'!G16,0)</f>
        <v>122</v>
      </c>
      <c r="K10" s="625"/>
      <c r="L10" s="2947"/>
      <c r="M10" s="2948"/>
      <c r="N10" s="2948"/>
      <c r="O10" s="3001"/>
      <c r="P10" s="3271"/>
      <c r="Q10" s="1526" t="str">
        <f t="shared" si="6"/>
        <v>土地使用年限（年）</v>
      </c>
      <c r="R10" s="707" t="s">
        <v>17</v>
      </c>
      <c r="S10" s="708">
        <f t="shared" si="0"/>
        <v>122</v>
      </c>
      <c r="T10" s="707" t="s">
        <v>17</v>
      </c>
      <c r="U10" s="708">
        <f t="shared" si="1"/>
        <v>122</v>
      </c>
      <c r="V10" s="707" t="s">
        <v>17</v>
      </c>
      <c r="W10" s="708">
        <f t="shared" si="2"/>
        <v>122</v>
      </c>
      <c r="X10" s="709"/>
      <c r="Y10" s="3161"/>
      <c r="Z10" s="54" t="str">
        <f t="shared" si="7"/>
        <v>土地使用年限（年）</v>
      </c>
      <c r="AA10" s="710">
        <f t="shared" si="3"/>
        <v>0.81967213114754101</v>
      </c>
      <c r="AB10" s="710">
        <f t="shared" si="4"/>
        <v>0.81967213114754101</v>
      </c>
      <c r="AC10" s="710">
        <f t="shared" si="5"/>
        <v>0.81967213114754101</v>
      </c>
    </row>
    <row r="11" spans="1:30" ht="15">
      <c r="A11" s="384"/>
      <c r="B11" s="378" t="s">
        <v>2380</v>
      </c>
      <c r="C11" s="385"/>
      <c r="D11" s="129">
        <v>100</v>
      </c>
      <c r="E11" s="385"/>
      <c r="F11" s="129">
        <f>LOOKUP(E11,80:80,81:81)-LOOKUP(C11,80:80,81:81)+100</f>
        <v>100</v>
      </c>
      <c r="G11" s="386"/>
      <c r="H11" s="129">
        <f>LOOKUP(G11,80:80,81:81)-LOOKUP(C11,80:80,81:81)+100</f>
        <v>100</v>
      </c>
      <c r="I11" s="385"/>
      <c r="J11" s="129">
        <f>LOOKUP(I11,80:80,81:81)-LOOKUP(C11,80:80,81:81)+100</f>
        <v>100</v>
      </c>
      <c r="K11" s="626"/>
      <c r="L11" s="2949"/>
      <c r="M11" s="2944"/>
      <c r="N11" s="2944"/>
      <c r="O11" s="3002"/>
      <c r="P11" s="3271"/>
      <c r="Q11" s="1526" t="str">
        <f t="shared" si="6"/>
        <v>容积率</v>
      </c>
      <c r="R11" s="707" t="s">
        <v>17</v>
      </c>
      <c r="S11" s="708">
        <f t="shared" si="0"/>
        <v>100</v>
      </c>
      <c r="T11" s="707" t="s">
        <v>17</v>
      </c>
      <c r="U11" s="708">
        <f t="shared" si="1"/>
        <v>100</v>
      </c>
      <c r="V11" s="707" t="s">
        <v>17</v>
      </c>
      <c r="W11" s="708">
        <f t="shared" si="2"/>
        <v>100</v>
      </c>
      <c r="X11" s="709"/>
      <c r="Y11" s="3161"/>
      <c r="Z11" s="54" t="str">
        <f t="shared" si="7"/>
        <v>容积率</v>
      </c>
      <c r="AA11" s="710">
        <f t="shared" si="3"/>
        <v>1</v>
      </c>
      <c r="AB11" s="710">
        <f t="shared" si="4"/>
        <v>1</v>
      </c>
      <c r="AC11" s="710">
        <f t="shared" si="5"/>
        <v>1</v>
      </c>
    </row>
    <row r="12" spans="1:30" s="112" customFormat="1" ht="15">
      <c r="A12" s="387"/>
      <c r="B12" s="2078" t="s">
        <v>2569</v>
      </c>
      <c r="C12" s="3054" t="s">
        <v>3259</v>
      </c>
      <c r="D12" s="389">
        <v>100</v>
      </c>
      <c r="E12" s="3055" t="s">
        <v>3260</v>
      </c>
      <c r="F12" s="129">
        <f>SUMIF(82:82,E12,83:83)-SUMIF(82:82,C12,83:83)+100</f>
        <v>90</v>
      </c>
      <c r="G12" s="3056" t="s">
        <v>3259</v>
      </c>
      <c r="H12" s="129">
        <f>SUMIF(82:82,G12,83:83)-SUMIF(82:82,C12,83:83)+100</f>
        <v>100</v>
      </c>
      <c r="I12" s="3055" t="s">
        <v>3259</v>
      </c>
      <c r="J12" s="129">
        <f>SUMIF(82:82,I12,83:83)-SUMIF(82:82,C12,83:83)+100</f>
        <v>100</v>
      </c>
      <c r="K12" s="625"/>
      <c r="L12" s="2945"/>
      <c r="M12" s="2946"/>
      <c r="N12" s="2946"/>
      <c r="O12" s="3000"/>
      <c r="P12" s="3271"/>
      <c r="Q12" s="1526" t="str">
        <f t="shared" si="6"/>
        <v>配建</v>
      </c>
      <c r="R12" s="707" t="s">
        <v>17</v>
      </c>
      <c r="S12" s="708">
        <f t="shared" si="0"/>
        <v>90</v>
      </c>
      <c r="T12" s="707" t="s">
        <v>17</v>
      </c>
      <c r="U12" s="708">
        <f t="shared" si="1"/>
        <v>100</v>
      </c>
      <c r="V12" s="707" t="s">
        <v>17</v>
      </c>
      <c r="W12" s="708">
        <f t="shared" si="2"/>
        <v>100</v>
      </c>
      <c r="X12" s="709"/>
      <c r="Y12" s="3161"/>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71"/>
      <c r="Q13" s="1526">
        <f t="shared" si="6"/>
        <v>111</v>
      </c>
      <c r="R13" s="707" t="s">
        <v>17</v>
      </c>
      <c r="S13" s="708">
        <f t="shared" si="0"/>
        <v>100</v>
      </c>
      <c r="T13" s="707" t="s">
        <v>17</v>
      </c>
      <c r="U13" s="708">
        <f t="shared" si="1"/>
        <v>100</v>
      </c>
      <c r="V13" s="707" t="s">
        <v>17</v>
      </c>
      <c r="W13" s="708">
        <f t="shared" si="2"/>
        <v>100</v>
      </c>
      <c r="X13" s="709"/>
      <c r="Y13" s="3161"/>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71"/>
      <c r="Q14" s="1526">
        <f t="shared" si="6"/>
        <v>111</v>
      </c>
      <c r="R14" s="707" t="s">
        <v>17</v>
      </c>
      <c r="S14" s="708">
        <f t="shared" si="0"/>
        <v>100</v>
      </c>
      <c r="T14" s="707" t="s">
        <v>17</v>
      </c>
      <c r="U14" s="708">
        <f t="shared" si="1"/>
        <v>100</v>
      </c>
      <c r="V14" s="707" t="s">
        <v>17</v>
      </c>
      <c r="W14" s="708">
        <f t="shared" si="2"/>
        <v>100</v>
      </c>
      <c r="X14" s="709"/>
      <c r="Y14" s="3161"/>
      <c r="Z14" s="54">
        <f t="shared" si="7"/>
        <v>111</v>
      </c>
      <c r="AA14" s="710">
        <f>D14/F14</f>
        <v>1</v>
      </c>
      <c r="AB14" s="710">
        <f>D14/H14</f>
        <v>1</v>
      </c>
      <c r="AC14" s="710">
        <f>D14/J14</f>
        <v>1</v>
      </c>
    </row>
    <row r="15" spans="1:30" ht="85.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73" t="s">
        <v>2382</v>
      </c>
      <c r="Q15" s="1535" t="str">
        <f t="shared" si="6"/>
        <v>居住社区成熟度</v>
      </c>
      <c r="R15" s="711" t="s">
        <v>17</v>
      </c>
      <c r="S15" s="712">
        <f t="shared" si="0"/>
        <v>100</v>
      </c>
      <c r="T15" s="711" t="s">
        <v>17</v>
      </c>
      <c r="U15" s="712">
        <f t="shared" si="1"/>
        <v>100</v>
      </c>
      <c r="V15" s="711" t="s">
        <v>17</v>
      </c>
      <c r="W15" s="712">
        <f t="shared" si="2"/>
        <v>100</v>
      </c>
      <c r="X15" s="1538"/>
      <c r="Y15" s="3273"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74"/>
      <c r="Q16" s="1535"/>
      <c r="R16" s="711"/>
      <c r="S16" s="712"/>
      <c r="T16" s="711"/>
      <c r="U16" s="712"/>
      <c r="V16" s="711"/>
      <c r="W16" s="712"/>
      <c r="X16" s="1538"/>
      <c r="Y16" s="3274"/>
      <c r="Z16" s="1539"/>
      <c r="AA16" s="1536">
        <v>1</v>
      </c>
      <c r="AB16" s="1536">
        <v>1</v>
      </c>
      <c r="AC16" s="1536">
        <v>1</v>
      </c>
    </row>
    <row r="17" spans="1:29" ht="57">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74"/>
      <c r="Q17" s="1535" t="str">
        <f>B17</f>
        <v>商业繁华度</v>
      </c>
      <c r="R17" s="711" t="s">
        <v>17</v>
      </c>
      <c r="S17" s="712">
        <f>F17</f>
        <v>98</v>
      </c>
      <c r="T17" s="711" t="s">
        <v>17</v>
      </c>
      <c r="U17" s="712">
        <f>H17</f>
        <v>98</v>
      </c>
      <c r="V17" s="711" t="s">
        <v>17</v>
      </c>
      <c r="W17" s="712">
        <f>J17</f>
        <v>96</v>
      </c>
      <c r="X17" s="1538"/>
      <c r="Y17" s="3274"/>
      <c r="Z17" s="1539" t="str">
        <f>Q17</f>
        <v>商业繁华度</v>
      </c>
      <c r="AA17" s="1536">
        <f t="shared" si="3"/>
        <v>1.0204081632653061</v>
      </c>
      <c r="AB17" s="1536">
        <f t="shared" si="4"/>
        <v>1.0204081632653061</v>
      </c>
      <c r="AC17" s="1536">
        <f t="shared" si="5"/>
        <v>1.0416666666666667</v>
      </c>
    </row>
    <row r="18" spans="1:29" ht="15">
      <c r="A18" s="384"/>
      <c r="B18" s="412"/>
      <c r="C18" s="2086" t="s">
        <v>3248</v>
      </c>
      <c r="D18" s="406"/>
      <c r="E18" s="2088" t="s">
        <v>3249</v>
      </c>
      <c r="F18" s="406"/>
      <c r="G18" s="2088" t="s">
        <v>3249</v>
      </c>
      <c r="H18" s="404"/>
      <c r="I18" s="2087" t="s">
        <v>3250</v>
      </c>
      <c r="J18" s="404"/>
      <c r="K18" s="625"/>
      <c r="L18" s="2950"/>
      <c r="M18" s="2944"/>
      <c r="N18" s="2944"/>
      <c r="O18" s="3002"/>
      <c r="P18" s="3274"/>
      <c r="Q18" s="1535"/>
      <c r="R18" s="711"/>
      <c r="S18" s="712"/>
      <c r="T18" s="711"/>
      <c r="U18" s="712"/>
      <c r="V18" s="711"/>
      <c r="W18" s="712"/>
      <c r="X18" s="1538"/>
      <c r="Y18" s="3274"/>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74"/>
      <c r="Q19" s="1535" t="str">
        <f>B19</f>
        <v>办公集聚程度</v>
      </c>
      <c r="R19" s="711" t="s">
        <v>17</v>
      </c>
      <c r="S19" s="712">
        <f>F19</f>
        <v>100</v>
      </c>
      <c r="T19" s="711" t="s">
        <v>17</v>
      </c>
      <c r="U19" s="712">
        <f>H19</f>
        <v>100</v>
      </c>
      <c r="V19" s="711" t="s">
        <v>17</v>
      </c>
      <c r="W19" s="712">
        <f>J19</f>
        <v>100</v>
      </c>
      <c r="X19" s="1538"/>
      <c r="Y19" s="3274"/>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74"/>
      <c r="Q20" s="1535"/>
      <c r="R20" s="711"/>
      <c r="S20" s="712"/>
      <c r="T20" s="711"/>
      <c r="U20" s="712"/>
      <c r="V20" s="711"/>
      <c r="W20" s="712"/>
      <c r="X20" s="1538"/>
      <c r="Y20" s="3274"/>
      <c r="Z20" s="1539"/>
      <c r="AA20" s="1536">
        <v>1</v>
      </c>
      <c r="AB20" s="1536">
        <v>1</v>
      </c>
      <c r="AC20" s="1536">
        <v>1</v>
      </c>
    </row>
    <row r="21" spans="1:29" ht="71.2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74"/>
      <c r="Q21" s="1535" t="str">
        <f>B21</f>
        <v>交通便捷度</v>
      </c>
      <c r="R21" s="711" t="s">
        <v>17</v>
      </c>
      <c r="S21" s="712">
        <f>F21</f>
        <v>100</v>
      </c>
      <c r="T21" s="711" t="s">
        <v>17</v>
      </c>
      <c r="U21" s="712">
        <f>H21</f>
        <v>98</v>
      </c>
      <c r="V21" s="711" t="s">
        <v>17</v>
      </c>
      <c r="W21" s="712">
        <f>J21</f>
        <v>100</v>
      </c>
      <c r="X21" s="1538"/>
      <c r="Y21" s="3274"/>
      <c r="Z21" s="1539" t="str">
        <f>Q21</f>
        <v>交通便捷度</v>
      </c>
      <c r="AA21" s="1536">
        <f t="shared" si="3"/>
        <v>1</v>
      </c>
      <c r="AB21" s="1536">
        <f t="shared" si="4"/>
        <v>1.0204081632653061</v>
      </c>
      <c r="AC21" s="1536">
        <f t="shared" si="5"/>
        <v>1</v>
      </c>
    </row>
    <row r="22" spans="1:29" ht="15">
      <c r="A22" s="384"/>
      <c r="B22" s="1290"/>
      <c r="C22" s="403" t="s">
        <v>3249</v>
      </c>
      <c r="D22" s="406"/>
      <c r="E22" s="2083" t="s">
        <v>3249</v>
      </c>
      <c r="F22" s="404"/>
      <c r="G22" s="2083" t="s">
        <v>3250</v>
      </c>
      <c r="H22" s="404"/>
      <c r="I22" s="2082" t="s">
        <v>3249</v>
      </c>
      <c r="J22" s="404"/>
      <c r="K22" s="625"/>
      <c r="L22" s="2950"/>
      <c r="M22" s="2944"/>
      <c r="N22" s="2944"/>
      <c r="O22" s="3002"/>
      <c r="P22" s="3274"/>
      <c r="Q22" s="1535"/>
      <c r="R22" s="711"/>
      <c r="S22" s="712"/>
      <c r="T22" s="711"/>
      <c r="U22" s="712"/>
      <c r="V22" s="711"/>
      <c r="W22" s="712"/>
      <c r="X22" s="1538"/>
      <c r="Y22" s="3274"/>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74"/>
      <c r="Q23" s="1535" t="str">
        <f t="shared" ref="Q23:Q37" si="8">B23</f>
        <v>区域土地利用方向</v>
      </c>
      <c r="R23" s="711" t="s">
        <v>17</v>
      </c>
      <c r="S23" s="712">
        <f>F23</f>
        <v>100</v>
      </c>
      <c r="T23" s="711" t="s">
        <v>17</v>
      </c>
      <c r="U23" s="712">
        <f>H23</f>
        <v>100</v>
      </c>
      <c r="V23" s="711" t="s">
        <v>17</v>
      </c>
      <c r="W23" s="712">
        <f>J23</f>
        <v>100</v>
      </c>
      <c r="X23" s="1538"/>
      <c r="Y23" s="3274"/>
      <c r="Z23" s="1539" t="str">
        <f>Q23</f>
        <v>区域土地利用方向</v>
      </c>
      <c r="AA23" s="1536">
        <f t="shared" si="3"/>
        <v>1</v>
      </c>
      <c r="AB23" s="1536">
        <f t="shared" si="4"/>
        <v>1</v>
      </c>
      <c r="AC23" s="1536">
        <f t="shared" si="5"/>
        <v>1</v>
      </c>
    </row>
    <row r="24" spans="1:29" ht="15">
      <c r="A24" s="361"/>
      <c r="B24" s="412"/>
      <c r="C24" s="570" t="s">
        <v>3249</v>
      </c>
      <c r="D24" s="404"/>
      <c r="E24" s="570" t="s">
        <v>3249</v>
      </c>
      <c r="F24" s="404"/>
      <c r="G24" s="570" t="s">
        <v>3249</v>
      </c>
      <c r="H24" s="404"/>
      <c r="I24" s="570" t="s">
        <v>3249</v>
      </c>
      <c r="J24" s="404"/>
      <c r="K24" s="748"/>
      <c r="L24" s="2950"/>
      <c r="M24" s="2944"/>
      <c r="N24" s="2944"/>
      <c r="O24" s="3002"/>
      <c r="P24" s="3274"/>
      <c r="Q24" s="1535"/>
      <c r="R24" s="711"/>
      <c r="S24" s="712"/>
      <c r="T24" s="711"/>
      <c r="U24" s="712"/>
      <c r="V24" s="711"/>
      <c r="W24" s="712"/>
      <c r="X24" s="1538"/>
      <c r="Y24" s="3274"/>
      <c r="Z24" s="1539"/>
      <c r="AA24" s="1536"/>
      <c r="AB24" s="1536"/>
      <c r="AC24" s="1536"/>
    </row>
    <row r="25" spans="1:29" ht="42.75">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74"/>
      <c r="Q25" s="1535" t="str">
        <f t="shared" si="8"/>
        <v>自然及人文环境状况</v>
      </c>
      <c r="R25" s="711" t="s">
        <v>17</v>
      </c>
      <c r="S25" s="712">
        <f>F25</f>
        <v>98</v>
      </c>
      <c r="T25" s="711" t="s">
        <v>17</v>
      </c>
      <c r="U25" s="712">
        <f>H25</f>
        <v>100</v>
      </c>
      <c r="V25" s="711" t="s">
        <v>17</v>
      </c>
      <c r="W25" s="712">
        <f>J25</f>
        <v>98</v>
      </c>
      <c r="X25" s="1538"/>
      <c r="Y25" s="3274"/>
      <c r="Z25" s="1539" t="str">
        <f>Q25</f>
        <v>自然及人文环境状况</v>
      </c>
      <c r="AA25" s="1536">
        <f t="shared" si="3"/>
        <v>1.0204081632653061</v>
      </c>
      <c r="AB25" s="1536">
        <f t="shared" si="4"/>
        <v>1</v>
      </c>
      <c r="AC25" s="1536">
        <f t="shared" si="5"/>
        <v>1.0204081632653061</v>
      </c>
    </row>
    <row r="26" spans="1:29" ht="15">
      <c r="A26" s="361"/>
      <c r="B26" s="412"/>
      <c r="C26" s="403" t="s">
        <v>3249</v>
      </c>
      <c r="D26" s="404"/>
      <c r="E26" s="2089" t="s">
        <v>3250</v>
      </c>
      <c r="F26" s="404"/>
      <c r="G26" s="2089" t="s">
        <v>3249</v>
      </c>
      <c r="H26" s="404"/>
      <c r="I26" s="403" t="s">
        <v>3250</v>
      </c>
      <c r="J26" s="404"/>
      <c r="K26" s="625"/>
      <c r="L26" s="2950"/>
      <c r="M26" s="2944"/>
      <c r="N26" s="2944"/>
      <c r="O26" s="3002"/>
      <c r="P26" s="3274"/>
      <c r="Q26" s="1535"/>
      <c r="R26" s="711"/>
      <c r="S26" s="712"/>
      <c r="T26" s="711"/>
      <c r="U26" s="712"/>
      <c r="V26" s="711"/>
      <c r="W26" s="712"/>
      <c r="X26" s="1538"/>
      <c r="Y26" s="3274"/>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74"/>
      <c r="Q27" s="1526" t="str">
        <f t="shared" si="8"/>
        <v>公共配套设施</v>
      </c>
      <c r="R27" s="707" t="s">
        <v>17</v>
      </c>
      <c r="S27" s="708">
        <f>F27</f>
        <v>100</v>
      </c>
      <c r="T27" s="707" t="s">
        <v>17</v>
      </c>
      <c r="U27" s="708">
        <f>H27</f>
        <v>100</v>
      </c>
      <c r="V27" s="707" t="s">
        <v>17</v>
      </c>
      <c r="W27" s="708">
        <f>J27</f>
        <v>100</v>
      </c>
      <c r="X27" s="709"/>
      <c r="Y27" s="3274"/>
      <c r="Z27" s="54" t="str">
        <f>Q27</f>
        <v>公共配套设施</v>
      </c>
      <c r="AA27" s="1536">
        <f>D27/F27</f>
        <v>1</v>
      </c>
      <c r="AB27" s="1536">
        <f>D27/H27</f>
        <v>1</v>
      </c>
      <c r="AC27" s="1536">
        <f>D27/J27</f>
        <v>1</v>
      </c>
    </row>
    <row r="28" spans="1:29" s="112" customFormat="1" ht="15">
      <c r="A28" s="602"/>
      <c r="B28" s="412"/>
      <c r="C28" s="2163" t="s">
        <v>3249</v>
      </c>
      <c r="D28" s="404"/>
      <c r="E28" s="2089" t="s">
        <v>3249</v>
      </c>
      <c r="F28" s="404"/>
      <c r="G28" s="2089" t="s">
        <v>3249</v>
      </c>
      <c r="H28" s="404"/>
      <c r="I28" s="403" t="s">
        <v>3249</v>
      </c>
      <c r="J28" s="404"/>
      <c r="K28" s="625"/>
      <c r="L28" s="2945"/>
      <c r="M28" s="2946"/>
      <c r="N28" s="2946"/>
      <c r="O28" s="3000"/>
      <c r="P28" s="3274"/>
      <c r="Q28" s="1526"/>
      <c r="R28" s="707"/>
      <c r="S28" s="708"/>
      <c r="T28" s="707"/>
      <c r="U28" s="708"/>
      <c r="V28" s="707"/>
      <c r="W28" s="708"/>
      <c r="X28" s="709"/>
      <c r="Y28" s="3274"/>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74"/>
      <c r="Q29" s="1526" t="str">
        <f t="shared" ref="Q29" si="9">B29</f>
        <v>基础设施水平</v>
      </c>
      <c r="R29" s="707" t="s">
        <v>17</v>
      </c>
      <c r="S29" s="708">
        <f>F29</f>
        <v>100</v>
      </c>
      <c r="T29" s="707" t="s">
        <v>17</v>
      </c>
      <c r="U29" s="708">
        <f>H29</f>
        <v>100</v>
      </c>
      <c r="V29" s="707" t="s">
        <v>17</v>
      </c>
      <c r="W29" s="708">
        <f>J29</f>
        <v>100</v>
      </c>
      <c r="X29" s="709"/>
      <c r="Y29" s="3274"/>
      <c r="Z29" s="54" t="str">
        <f>Q29</f>
        <v>基础设施水平</v>
      </c>
      <c r="AA29" s="1536">
        <f>D29/F29</f>
        <v>1</v>
      </c>
      <c r="AB29" s="1536">
        <f>D29/H29</f>
        <v>1</v>
      </c>
      <c r="AC29" s="1536">
        <f>D29/J29</f>
        <v>1</v>
      </c>
    </row>
    <row r="30" spans="1:29" s="112" customFormat="1" ht="15">
      <c r="A30" s="602"/>
      <c r="B30" s="412"/>
      <c r="C30" s="2163" t="s">
        <v>3251</v>
      </c>
      <c r="D30" s="404"/>
      <c r="E30" s="2163" t="s">
        <v>3251</v>
      </c>
      <c r="F30" s="404"/>
      <c r="G30" s="2163" t="s">
        <v>3251</v>
      </c>
      <c r="H30" s="404"/>
      <c r="I30" s="2163" t="s">
        <v>3251</v>
      </c>
      <c r="J30" s="404"/>
      <c r="K30" s="625"/>
      <c r="L30" s="2945"/>
      <c r="M30" s="2946"/>
      <c r="N30" s="2946"/>
      <c r="O30" s="3000"/>
      <c r="P30" s="3274"/>
      <c r="Q30" s="1526"/>
      <c r="R30" s="707"/>
      <c r="S30" s="708"/>
      <c r="T30" s="707"/>
      <c r="U30" s="708"/>
      <c r="V30" s="707"/>
      <c r="W30" s="708"/>
      <c r="X30" s="709"/>
      <c r="Y30" s="3274"/>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74"/>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74"/>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74"/>
      <c r="Q32" s="1535" t="str">
        <f t="shared" si="8"/>
        <v>毗邻道路的类型与等级</v>
      </c>
      <c r="R32" s="711" t="s">
        <v>17</v>
      </c>
      <c r="S32" s="712">
        <f t="shared" si="10"/>
        <v>98</v>
      </c>
      <c r="T32" s="711" t="s">
        <v>17</v>
      </c>
      <c r="U32" s="712">
        <f t="shared" si="11"/>
        <v>98</v>
      </c>
      <c r="V32" s="711" t="s">
        <v>17</v>
      </c>
      <c r="W32" s="712">
        <f t="shared" si="12"/>
        <v>100</v>
      </c>
      <c r="X32" s="1538"/>
      <c r="Y32" s="3274"/>
      <c r="Z32" s="1539" t="str">
        <f t="shared" si="13"/>
        <v>毗邻道路的类型与等级</v>
      </c>
      <c r="AA32" s="1536">
        <f t="shared" si="3"/>
        <v>1.0204081632653061</v>
      </c>
      <c r="AB32" s="1536">
        <f t="shared" si="4"/>
        <v>1.0204081632653061</v>
      </c>
      <c r="AC32" s="1536">
        <f t="shared" si="5"/>
        <v>1</v>
      </c>
    </row>
    <row r="33" spans="1:29" ht="15">
      <c r="A33" s="384"/>
      <c r="B33" s="412"/>
      <c r="C33" s="403" t="s">
        <v>3253</v>
      </c>
      <c r="D33" s="404"/>
      <c r="E33" s="2089" t="s">
        <v>3255</v>
      </c>
      <c r="F33" s="404"/>
      <c r="G33" s="2089" t="s">
        <v>3255</v>
      </c>
      <c r="H33" s="404"/>
      <c r="I33" s="403" t="s">
        <v>3253</v>
      </c>
      <c r="J33" s="404"/>
      <c r="K33" s="567"/>
      <c r="L33" s="2950"/>
      <c r="M33" s="2944"/>
      <c r="N33" s="2944"/>
      <c r="O33" s="3002"/>
      <c r="P33" s="3274"/>
      <c r="Q33" s="1535"/>
      <c r="R33" s="711"/>
      <c r="S33" s="712"/>
      <c r="T33" s="711"/>
      <c r="U33" s="712"/>
      <c r="V33" s="711"/>
      <c r="W33" s="712"/>
      <c r="X33" s="1538"/>
      <c r="Y33" s="3274"/>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74"/>
      <c r="Q34" s="1535" t="str">
        <f t="shared" si="8"/>
        <v>土地级别</v>
      </c>
      <c r="R34" s="711" t="s">
        <v>17</v>
      </c>
      <c r="S34" s="712">
        <f t="shared" si="10"/>
        <v>100</v>
      </c>
      <c r="T34" s="711" t="s">
        <v>17</v>
      </c>
      <c r="U34" s="712">
        <f t="shared" si="11"/>
        <v>100</v>
      </c>
      <c r="V34" s="711" t="s">
        <v>17</v>
      </c>
      <c r="W34" s="712">
        <f t="shared" si="12"/>
        <v>100</v>
      </c>
      <c r="X34" s="1538"/>
      <c r="Y34" s="3274"/>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74"/>
      <c r="Q35" s="1535">
        <f t="shared" si="8"/>
        <v>111</v>
      </c>
      <c r="R35" s="711" t="s">
        <v>17</v>
      </c>
      <c r="S35" s="712">
        <f t="shared" si="10"/>
        <v>100</v>
      </c>
      <c r="T35" s="711" t="s">
        <v>17</v>
      </c>
      <c r="U35" s="712">
        <f t="shared" si="11"/>
        <v>100</v>
      </c>
      <c r="V35" s="711" t="s">
        <v>17</v>
      </c>
      <c r="W35" s="712">
        <f t="shared" si="12"/>
        <v>100</v>
      </c>
      <c r="X35" s="1538"/>
      <c r="Y35" s="3274"/>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75" t="s">
        <v>2387</v>
      </c>
      <c r="Q36" s="1535">
        <f t="shared" si="8"/>
        <v>111</v>
      </c>
      <c r="R36" s="711" t="s">
        <v>17</v>
      </c>
      <c r="S36" s="712">
        <f t="shared" si="10"/>
        <v>100</v>
      </c>
      <c r="T36" s="711" t="s">
        <v>17</v>
      </c>
      <c r="U36" s="712">
        <f t="shared" si="11"/>
        <v>100</v>
      </c>
      <c r="V36" s="711" t="s">
        <v>17</v>
      </c>
      <c r="W36" s="712">
        <f t="shared" si="12"/>
        <v>100</v>
      </c>
      <c r="X36" s="1538"/>
      <c r="Y36" s="3276"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276"/>
      <c r="Q37" s="1535">
        <f t="shared" si="8"/>
        <v>111</v>
      </c>
      <c r="R37" s="714" t="s">
        <v>17</v>
      </c>
      <c r="S37" s="715">
        <f t="shared" si="10"/>
        <v>100</v>
      </c>
      <c r="T37" s="714" t="s">
        <v>17</v>
      </c>
      <c r="U37" s="715">
        <f t="shared" si="11"/>
        <v>100</v>
      </c>
      <c r="V37" s="714" t="s">
        <v>17</v>
      </c>
      <c r="W37" s="715">
        <f t="shared" si="12"/>
        <v>100</v>
      </c>
      <c r="X37" s="716"/>
      <c r="Y37" s="3276"/>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276"/>
      <c r="Q38" s="1535" t="str">
        <f>B38</f>
        <v>宗地面积</v>
      </c>
      <c r="R38" s="711" t="s">
        <v>17</v>
      </c>
      <c r="S38" s="712">
        <f t="shared" si="10"/>
        <v>101</v>
      </c>
      <c r="T38" s="711" t="s">
        <v>17</v>
      </c>
      <c r="U38" s="712">
        <f t="shared" si="11"/>
        <v>101</v>
      </c>
      <c r="V38" s="711" t="s">
        <v>17</v>
      </c>
      <c r="W38" s="712">
        <f t="shared" si="12"/>
        <v>101</v>
      </c>
      <c r="X38" s="1538"/>
      <c r="Y38" s="3276"/>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276"/>
      <c r="Q39" s="1535" t="str">
        <f t="shared" ref="Q39:Q45" si="14">B39</f>
        <v>宗地形状</v>
      </c>
      <c r="R39" s="711" t="s">
        <v>17</v>
      </c>
      <c r="S39" s="712">
        <f t="shared" si="10"/>
        <v>100</v>
      </c>
      <c r="T39" s="711" t="s">
        <v>17</v>
      </c>
      <c r="U39" s="712">
        <f t="shared" si="11"/>
        <v>100</v>
      </c>
      <c r="V39" s="711" t="s">
        <v>17</v>
      </c>
      <c r="W39" s="712">
        <f t="shared" si="12"/>
        <v>100</v>
      </c>
      <c r="X39" s="1538"/>
      <c r="Y39" s="3276"/>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276"/>
      <c r="Q40" s="1535" t="str">
        <f t="shared" si="14"/>
        <v>临街宽度及深度</v>
      </c>
      <c r="R40" s="711" t="s">
        <v>17</v>
      </c>
      <c r="S40" s="712">
        <f t="shared" si="10"/>
        <v>100</v>
      </c>
      <c r="T40" s="711" t="s">
        <v>17</v>
      </c>
      <c r="U40" s="712">
        <f t="shared" si="11"/>
        <v>100</v>
      </c>
      <c r="V40" s="711" t="s">
        <v>17</v>
      </c>
      <c r="W40" s="712">
        <f t="shared" si="12"/>
        <v>100</v>
      </c>
      <c r="X40" s="1538"/>
      <c r="Y40" s="3276"/>
      <c r="Z40" s="1539" t="str">
        <f t="shared" si="13"/>
        <v>临街宽度及深度</v>
      </c>
      <c r="AA40" s="1536">
        <f t="shared" si="3"/>
        <v>1</v>
      </c>
      <c r="AB40" s="1536">
        <f t="shared" si="4"/>
        <v>1</v>
      </c>
      <c r="AC40" s="1536">
        <f t="shared" si="5"/>
        <v>1</v>
      </c>
    </row>
    <row r="41" spans="1:29" s="112" customFormat="1" ht="15">
      <c r="A41" s="429"/>
      <c r="B41" s="3060" t="s">
        <v>2576</v>
      </c>
      <c r="C41" s="2165" t="s">
        <v>3298</v>
      </c>
      <c r="D41" s="129">
        <v>100</v>
      </c>
      <c r="E41" s="2165" t="s">
        <v>3301</v>
      </c>
      <c r="F41" s="391">
        <f>SUMIF(123:123,E41,124:124)-SUMIF(123:123,C41,124:124)+100</f>
        <v>96</v>
      </c>
      <c r="G41" s="2165" t="s">
        <v>3301</v>
      </c>
      <c r="H41" s="391">
        <f>SUMIF(123:123,G41,124:124)-SUMIF(123:123,C41,124:124)+100</f>
        <v>96</v>
      </c>
      <c r="I41" s="2165" t="s">
        <v>3301</v>
      </c>
      <c r="J41" s="391">
        <f>SUMIF(123:123,I41,124:124)-SUMIF(123:123,C41,124:124)+100</f>
        <v>96</v>
      </c>
      <c r="K41" s="566">
        <v>2</v>
      </c>
      <c r="L41" s="2945"/>
      <c r="M41" s="2946"/>
      <c r="N41" s="2946"/>
      <c r="O41" s="3000"/>
      <c r="P41" s="3276"/>
      <c r="Q41" s="1535" t="str">
        <f t="shared" si="14"/>
        <v>宗地开发程度</v>
      </c>
      <c r="R41" s="707" t="s">
        <v>17</v>
      </c>
      <c r="S41" s="708">
        <f t="shared" si="10"/>
        <v>96</v>
      </c>
      <c r="T41" s="707" t="s">
        <v>17</v>
      </c>
      <c r="U41" s="708">
        <f t="shared" si="11"/>
        <v>96</v>
      </c>
      <c r="V41" s="707" t="s">
        <v>17</v>
      </c>
      <c r="W41" s="708">
        <f t="shared" si="12"/>
        <v>96</v>
      </c>
      <c r="X41" s="709"/>
      <c r="Y41" s="3276"/>
      <c r="Z41" s="54" t="str">
        <f t="shared" si="13"/>
        <v>宗地开发程度</v>
      </c>
      <c r="AA41" s="710">
        <f t="shared" si="3"/>
        <v>1.0416666666666667</v>
      </c>
      <c r="AB41" s="710">
        <f t="shared" si="4"/>
        <v>1.0416666666666667</v>
      </c>
      <c r="AC41" s="710">
        <f t="shared" si="5"/>
        <v>1.0416666666666667</v>
      </c>
    </row>
    <row r="42" spans="1:29" ht="15">
      <c r="A42" s="428"/>
      <c r="B42" s="378" t="s">
        <v>2577</v>
      </c>
      <c r="C42" s="2091" t="s">
        <v>3249</v>
      </c>
      <c r="D42" s="391">
        <v>100</v>
      </c>
      <c r="E42" s="2091" t="s">
        <v>3249</v>
      </c>
      <c r="F42" s="391">
        <f>SUMIF(125:125,E42,126:126)-SUMIF(125:125,C42,126:126)+100</f>
        <v>100</v>
      </c>
      <c r="G42" s="2091" t="s">
        <v>3249</v>
      </c>
      <c r="H42" s="391">
        <f>SUMIF(125:125,G42,126:126)-SUMIF(125:125,C42,126:126)+100</f>
        <v>100</v>
      </c>
      <c r="I42" s="2091" t="s">
        <v>3249</v>
      </c>
      <c r="J42" s="391">
        <f>SUMIF(125:125,I42,126:126)-SUMIF(125:125,C42,126:126)+100</f>
        <v>100</v>
      </c>
      <c r="K42" s="566">
        <v>2</v>
      </c>
      <c r="L42" s="2950"/>
      <c r="M42" s="2944"/>
      <c r="N42" s="2944"/>
      <c r="O42" s="3002"/>
      <c r="P42" s="3276" t="s">
        <v>2387</v>
      </c>
      <c r="Q42" s="1535" t="str">
        <f t="shared" si="14"/>
        <v>工程地质条件</v>
      </c>
      <c r="R42" s="711" t="s">
        <v>17</v>
      </c>
      <c r="S42" s="712">
        <f t="shared" si="10"/>
        <v>100</v>
      </c>
      <c r="T42" s="711" t="s">
        <v>17</v>
      </c>
      <c r="U42" s="712">
        <f t="shared" si="11"/>
        <v>100</v>
      </c>
      <c r="V42" s="711" t="s">
        <v>17</v>
      </c>
      <c r="W42" s="712">
        <f t="shared" si="12"/>
        <v>100</v>
      </c>
      <c r="X42" s="1538"/>
      <c r="Y42" s="3276"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276"/>
      <c r="Q43" s="1535">
        <f t="shared" si="14"/>
        <v>111</v>
      </c>
      <c r="R43" s="711" t="s">
        <v>17</v>
      </c>
      <c r="S43" s="712">
        <f t="shared" si="10"/>
        <v>100</v>
      </c>
      <c r="T43" s="711" t="s">
        <v>17</v>
      </c>
      <c r="U43" s="712">
        <f t="shared" si="11"/>
        <v>100</v>
      </c>
      <c r="V43" s="711" t="s">
        <v>17</v>
      </c>
      <c r="W43" s="712">
        <f t="shared" si="12"/>
        <v>100</v>
      </c>
      <c r="X43" s="1538"/>
      <c r="Y43" s="3276"/>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276"/>
      <c r="Q44" s="1535">
        <f t="shared" si="14"/>
        <v>111</v>
      </c>
      <c r="R44" s="711" t="s">
        <v>17</v>
      </c>
      <c r="S44" s="712">
        <f t="shared" si="10"/>
        <v>100</v>
      </c>
      <c r="T44" s="711" t="s">
        <v>17</v>
      </c>
      <c r="U44" s="712">
        <f t="shared" si="11"/>
        <v>100</v>
      </c>
      <c r="V44" s="711" t="s">
        <v>17</v>
      </c>
      <c r="W44" s="712">
        <f t="shared" si="12"/>
        <v>100</v>
      </c>
      <c r="X44" s="1538"/>
      <c r="Y44" s="3276"/>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276"/>
      <c r="Q45" s="1535">
        <f t="shared" si="14"/>
        <v>111</v>
      </c>
      <c r="R45" s="714" t="s">
        <v>17</v>
      </c>
      <c r="S45" s="715">
        <f t="shared" si="10"/>
        <v>100</v>
      </c>
      <c r="T45" s="714" t="s">
        <v>17</v>
      </c>
      <c r="U45" s="715">
        <f t="shared" si="11"/>
        <v>100</v>
      </c>
      <c r="V45" s="714" t="s">
        <v>17</v>
      </c>
      <c r="W45" s="715">
        <f t="shared" si="12"/>
        <v>100</v>
      </c>
      <c r="X45" s="716"/>
      <c r="Y45" s="3276"/>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71" t="str">
        <f>A46</f>
        <v>成交单价</v>
      </c>
      <c r="Q46" s="3271"/>
      <c r="R46" s="3277">
        <f>E46</f>
        <v>4262</v>
      </c>
      <c r="S46" s="3277"/>
      <c r="T46" s="3277">
        <f>G46</f>
        <v>4730</v>
      </c>
      <c r="U46" s="3277"/>
      <c r="V46" s="3277">
        <f>I46</f>
        <v>4871</v>
      </c>
      <c r="W46" s="3277"/>
      <c r="X46" s="696"/>
      <c r="Y46" s="718"/>
      <c r="Z46" s="696"/>
      <c r="AA46" s="696"/>
      <c r="AB46" s="696"/>
      <c r="AC46" s="696"/>
    </row>
    <row r="47" spans="1:29" ht="15.75" thickBot="1">
      <c r="A47" s="442" t="s">
        <v>2491</v>
      </c>
      <c r="B47" s="636"/>
      <c r="C47" s="445">
        <f>R48</f>
        <v>4504</v>
      </c>
      <c r="D47" s="2537" t="s">
        <v>2882</v>
      </c>
      <c r="E47" s="445">
        <f>R47</f>
        <v>4431</v>
      </c>
      <c r="F47" s="2538"/>
      <c r="G47" s="444">
        <f>T47</f>
        <v>4425</v>
      </c>
      <c r="H47" s="2538"/>
      <c r="I47" s="445">
        <f>V47</f>
        <v>4656</v>
      </c>
      <c r="J47" s="2538"/>
      <c r="K47" s="2540">
        <f>F47+H47+J47</f>
        <v>0</v>
      </c>
      <c r="L47" s="2952"/>
      <c r="M47" s="2953"/>
      <c r="N47" s="2953"/>
      <c r="O47" s="2953"/>
      <c r="P47" s="3271" t="str">
        <f>A47</f>
        <v>比较价值（元/平方米）</v>
      </c>
      <c r="Q47" s="3271"/>
      <c r="R47" s="3264">
        <f>ROUND(PRODUCT(R46,AA7:AA45),0)</f>
        <v>4431</v>
      </c>
      <c r="S47" s="3264"/>
      <c r="T47" s="3264">
        <f>ROUND(PRODUCT(T46,AB7:AB45),0)</f>
        <v>4425</v>
      </c>
      <c r="U47" s="3264"/>
      <c r="V47" s="3264">
        <f>ROUND(PRODUCT(V46,AC7:AC45),0)</f>
        <v>4656</v>
      </c>
      <c r="W47" s="3264"/>
      <c r="X47" s="696"/>
      <c r="Y47" s="696"/>
      <c r="Z47" s="696"/>
      <c r="AA47" s="696"/>
      <c r="AB47" s="696"/>
      <c r="AC47" s="696"/>
    </row>
    <row r="48" spans="1:29" ht="15.75" thickBot="1">
      <c r="A48" s="446" t="s">
        <v>2579</v>
      </c>
      <c r="B48" s="447"/>
      <c r="C48" s="448">
        <f>R48</f>
        <v>4504</v>
      </c>
      <c r="D48" s="448"/>
      <c r="E48" s="448"/>
      <c r="F48" s="448"/>
      <c r="G48" s="448"/>
      <c r="H48" s="448"/>
      <c r="I48" s="448"/>
      <c r="J48" s="448"/>
      <c r="K48" s="721"/>
      <c r="L48" s="2952"/>
      <c r="M48" s="2953"/>
      <c r="N48" s="2953"/>
      <c r="O48" s="2953"/>
      <c r="P48" s="3265" t="str">
        <f>A48</f>
        <v>估价对象XX用房的比较价值（楼面单价，元/平方米）</v>
      </c>
      <c r="Q48" s="3266"/>
      <c r="R48" s="3267">
        <f>ROUND(IF(D47="简单平均",AVERAGE(R47:W47),R47*F47+T47*H47+V47*J47),0)</f>
        <v>4504</v>
      </c>
      <c r="S48" s="3267"/>
      <c r="T48" s="3267"/>
      <c r="U48" s="3267"/>
      <c r="V48" s="3267"/>
      <c r="W48" s="3267"/>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3.9652745190051686E-2</v>
      </c>
      <c r="F51" s="454" t="str">
        <f>IF(OR(E51&gt;=0.3,E51&lt;=-0.3),"超过30%","")</f>
        <v/>
      </c>
      <c r="G51" s="453">
        <f>IF(G46&lt;G47,G47/G46-1,G46/G47-1)</f>
        <v>6.8926553672316482E-2</v>
      </c>
      <c r="H51" s="454" t="str">
        <f>IF(OR(G51&gt;=0.3,G51&lt;=-0.3),"超过30%","")</f>
        <v/>
      </c>
      <c r="I51" s="453">
        <f>IF(I46&lt;I47,I47/I46-1,I46/I47-1)</f>
        <v>4.617697594501724E-2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1.3559322033898091E-3</v>
      </c>
      <c r="F52" s="454" t="str">
        <f>IF(OR(E52&gt;=0.2,E52&lt;=-0.2),"超过20%","")</f>
        <v/>
      </c>
      <c r="G52" s="453">
        <f>IF(G47&lt;I47,I47/G47-1,G47/I47-1)</f>
        <v>5.220338983050854E-2</v>
      </c>
      <c r="H52" s="454" t="str">
        <f>IF(OR(G52&gt;=0.2,G52&lt;=-0.2),"超过20%","")</f>
        <v/>
      </c>
      <c r="I52" s="453">
        <f>IF(I47&lt;E47,E47/I47-1,I47/E47-1)</f>
        <v>5.0778605280974887E-2</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3261</v>
      </c>
      <c r="D55" s="2169" t="s">
        <v>2583</v>
      </c>
      <c r="E55" s="639" t="s">
        <v>2584</v>
      </c>
      <c r="F55" s="1018" t="s">
        <v>2585</v>
      </c>
      <c r="G55" s="3268" t="s">
        <v>2586</v>
      </c>
      <c r="H55" s="3269"/>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4504</v>
      </c>
      <c r="C56" s="643">
        <v>1</v>
      </c>
      <c r="D56" s="1072">
        <v>1</v>
      </c>
      <c r="E56" s="643">
        <f>'数据-汇总表'!E8+'数据-汇总表'!E9</f>
        <v>8528.739999999998</v>
      </c>
      <c r="F56" s="1014">
        <f t="shared" ref="F56:F65" si="15">ROUND(B56*E56/10000,0)</f>
        <v>3841</v>
      </c>
      <c r="G56" s="3270"/>
      <c r="H56" s="3271"/>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272"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272"/>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272"/>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272"/>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155.88</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0</v>
      </c>
      <c r="C64" s="173">
        <f t="shared" si="16"/>
        <v>0</v>
      </c>
      <c r="D64" s="1073">
        <v>0.25</v>
      </c>
      <c r="E64" s="220">
        <f>'数据-汇总表'!E14</f>
        <v>0</v>
      </c>
      <c r="F64" s="1014">
        <f t="shared" si="15"/>
        <v>0</v>
      </c>
      <c r="G64" s="2172" t="s">
        <v>2591</v>
      </c>
      <c r="H64" s="1015">
        <f>项目基本情况!B37</f>
        <v>0</v>
      </c>
      <c r="I64" s="1019">
        <f>SUMIF(修正!A45:A56,H64,修正!H45:H56)</f>
        <v>0</v>
      </c>
      <c r="J64" s="3061"/>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8684.6199999999972</v>
      </c>
      <c r="F66" s="650">
        <f>IF(B46="楼面地价",SUM(F56:F65),ROUND(C48*E66/10000,0))</f>
        <v>3841</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3247</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0（含）-</v>
      </c>
      <c r="D79" s="501" t="str">
        <f t="shared" ref="D79:L79" si="21">D80&amp;"（含）"&amp;"-"&amp;E80</f>
        <v>（含）-</v>
      </c>
      <c r="E79" s="501" t="str">
        <f t="shared" si="21"/>
        <v>（含）-</v>
      </c>
      <c r="F79" s="501" t="str">
        <f t="shared" si="21"/>
        <v>（含）-</v>
      </c>
      <c r="G79" s="501" t="str">
        <f t="shared" si="21"/>
        <v>（含）-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v>0</v>
      </c>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100</v>
      </c>
      <c r="E81" s="498">
        <f t="shared" si="22"/>
        <v>100</v>
      </c>
      <c r="F81" s="498">
        <f t="shared" si="22"/>
        <v>100</v>
      </c>
      <c r="G81" s="498">
        <f t="shared" si="22"/>
        <v>100</v>
      </c>
      <c r="H81" s="498">
        <f t="shared" si="22"/>
        <v>100</v>
      </c>
      <c r="I81" s="498">
        <f t="shared" si="22"/>
        <v>100</v>
      </c>
      <c r="J81" s="498">
        <f t="shared" si="22"/>
        <v>100</v>
      </c>
      <c r="K81" s="498">
        <f t="shared" si="22"/>
        <v>100</v>
      </c>
      <c r="L81" s="498">
        <f t="shared" si="22"/>
        <v>100</v>
      </c>
      <c r="M81" s="498">
        <f t="shared" si="22"/>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3259</v>
      </c>
      <c r="D82" s="3053" t="s">
        <v>3260</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3252</v>
      </c>
      <c r="D106" s="3053" t="s">
        <v>3254</v>
      </c>
      <c r="E106" s="3053" t="s">
        <v>3256</v>
      </c>
      <c r="F106" s="3053" t="s">
        <v>3257</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3053" t="s">
        <v>3299</v>
      </c>
      <c r="D123" s="3053" t="s">
        <v>3300</v>
      </c>
      <c r="E123" s="3053" t="s">
        <v>3302</v>
      </c>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3258</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7"/>
  <sheetViews>
    <sheetView topLeftCell="A25" workbookViewId="0">
      <selection activeCell="M20" sqref="M20"/>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3091</v>
      </c>
      <c r="B1" s="3049" t="s">
        <v>3092</v>
      </c>
      <c r="C1" s="3049" t="s">
        <v>3093</v>
      </c>
      <c r="D1" s="3049" t="s">
        <v>3094</v>
      </c>
      <c r="E1" s="3049" t="s">
        <v>3095</v>
      </c>
      <c r="F1" s="3049" t="s">
        <v>3096</v>
      </c>
      <c r="G1" s="3049" t="s">
        <v>3097</v>
      </c>
      <c r="H1" s="3049" t="s">
        <v>3098</v>
      </c>
      <c r="I1" s="3049" t="s">
        <v>3099</v>
      </c>
      <c r="J1" s="3049" t="s">
        <v>3100</v>
      </c>
      <c r="K1" s="3049" t="s">
        <v>3101</v>
      </c>
      <c r="L1" s="3049" t="s">
        <v>3102</v>
      </c>
      <c r="M1" s="3049" t="s">
        <v>3103</v>
      </c>
      <c r="N1" s="3050" t="s">
        <v>3104</v>
      </c>
      <c r="O1" s="3049" t="s">
        <v>3105</v>
      </c>
      <c r="P1" s="3049" t="s">
        <v>3106</v>
      </c>
      <c r="Q1" s="3049" t="s">
        <v>3107</v>
      </c>
    </row>
    <row r="2" spans="1:17">
      <c r="A2" s="3049" t="s">
        <v>3108</v>
      </c>
      <c r="B2" s="3049" t="s">
        <v>3109</v>
      </c>
      <c r="C2" s="3049" t="s">
        <v>3110</v>
      </c>
      <c r="D2" s="3049">
        <v>3004.75</v>
      </c>
      <c r="E2" s="3049">
        <v>11297.86</v>
      </c>
      <c r="F2" s="3049" t="s">
        <v>3111</v>
      </c>
      <c r="G2" s="3049" t="s">
        <v>3112</v>
      </c>
      <c r="H2" s="3049" t="s">
        <v>3113</v>
      </c>
      <c r="I2" s="3049" t="s">
        <v>3114</v>
      </c>
      <c r="J2" s="3049" t="s">
        <v>3114</v>
      </c>
      <c r="K2" s="3049">
        <v>7400</v>
      </c>
      <c r="L2" s="3049">
        <v>8100</v>
      </c>
      <c r="M2" s="3049">
        <v>7169.5</v>
      </c>
      <c r="N2" s="3049">
        <f>ROUND(L2/D2/666.67*10000,2)</f>
        <v>40.44</v>
      </c>
      <c r="O2" s="3049">
        <v>9.4600000000000009</v>
      </c>
      <c r="P2" s="3049" t="s">
        <v>3115</v>
      </c>
      <c r="Q2" s="3049" t="s">
        <v>3116</v>
      </c>
    </row>
    <row r="3" spans="1:17">
      <c r="A3" s="3049" t="s">
        <v>3117</v>
      </c>
      <c r="B3" s="3049" t="s">
        <v>3109</v>
      </c>
      <c r="C3" s="3049" t="s">
        <v>3110</v>
      </c>
      <c r="D3" s="3049">
        <v>4409</v>
      </c>
      <c r="E3" s="3049">
        <v>26454</v>
      </c>
      <c r="F3" s="3049" t="s">
        <v>3118</v>
      </c>
      <c r="G3" s="3049" t="s">
        <v>3112</v>
      </c>
      <c r="H3" s="3049" t="s">
        <v>3119</v>
      </c>
      <c r="I3" s="3049" t="s">
        <v>3120</v>
      </c>
      <c r="J3" s="3049" t="s">
        <v>3120</v>
      </c>
      <c r="K3" s="3049">
        <v>10500</v>
      </c>
      <c r="L3" s="3049">
        <v>10500</v>
      </c>
      <c r="M3" s="3049">
        <v>3969.15</v>
      </c>
      <c r="N3" s="3049">
        <f t="shared" ref="N3:N37" si="0">ROUND(L3/D3/666.67*10000,2)</f>
        <v>35.72</v>
      </c>
      <c r="O3" s="3049">
        <v>0</v>
      </c>
      <c r="P3" s="3049" t="s">
        <v>3121</v>
      </c>
      <c r="Q3" s="3049" t="s">
        <v>3116</v>
      </c>
    </row>
    <row r="4" spans="1:17">
      <c r="A4" s="3049" t="s">
        <v>3122</v>
      </c>
      <c r="B4" s="3049" t="s">
        <v>3109</v>
      </c>
      <c r="C4" s="3049" t="s">
        <v>3110</v>
      </c>
      <c r="D4" s="3049">
        <v>27915.9</v>
      </c>
      <c r="E4" s="3049">
        <v>125559.28</v>
      </c>
      <c r="F4" s="3049" t="s">
        <v>3123</v>
      </c>
      <c r="G4" s="3049" t="s">
        <v>3112</v>
      </c>
      <c r="H4" s="3049" t="s">
        <v>3113</v>
      </c>
      <c r="I4" s="3049" t="s">
        <v>3124</v>
      </c>
      <c r="J4" s="3049" t="s">
        <v>3124</v>
      </c>
      <c r="K4" s="3049">
        <v>31100</v>
      </c>
      <c r="L4" s="3049">
        <v>31100</v>
      </c>
      <c r="M4" s="3049">
        <v>2476.92</v>
      </c>
      <c r="N4" s="3049">
        <f t="shared" si="0"/>
        <v>16.71</v>
      </c>
      <c r="O4" s="3049">
        <v>0</v>
      </c>
      <c r="P4" s="3049" t="s">
        <v>3125</v>
      </c>
      <c r="Q4" s="3049" t="s">
        <v>3126</v>
      </c>
    </row>
    <row r="5" spans="1:17">
      <c r="A5" s="3049" t="s">
        <v>3127</v>
      </c>
      <c r="B5" s="3049" t="s">
        <v>3109</v>
      </c>
      <c r="C5" s="3049" t="s">
        <v>3110</v>
      </c>
      <c r="D5" s="3049">
        <v>5576.45</v>
      </c>
      <c r="E5" s="3049">
        <v>22305.81</v>
      </c>
      <c r="F5" s="3049" t="s">
        <v>3128</v>
      </c>
      <c r="G5" s="3049" t="s">
        <v>3129</v>
      </c>
      <c r="H5" s="3049" t="s">
        <v>3113</v>
      </c>
      <c r="I5" s="3049" t="s">
        <v>3130</v>
      </c>
      <c r="J5" s="3049" t="s">
        <v>3130</v>
      </c>
      <c r="K5" s="3049">
        <v>5820</v>
      </c>
      <c r="L5" s="3049">
        <v>5820</v>
      </c>
      <c r="M5" s="3049">
        <v>2609.19</v>
      </c>
      <c r="N5" s="3049">
        <f t="shared" si="0"/>
        <v>15.66</v>
      </c>
      <c r="O5" s="3049">
        <v>0</v>
      </c>
      <c r="P5" s="3049" t="s">
        <v>3131</v>
      </c>
      <c r="Q5" s="3049" t="s">
        <v>3132</v>
      </c>
    </row>
    <row r="6" spans="1:17">
      <c r="A6" s="3049" t="s">
        <v>3133</v>
      </c>
      <c r="B6" s="3049" t="s">
        <v>3109</v>
      </c>
      <c r="C6" s="3049" t="s">
        <v>3110</v>
      </c>
      <c r="D6" s="3049">
        <v>9686.7000000000007</v>
      </c>
      <c r="E6" s="3049">
        <v>11720.91</v>
      </c>
      <c r="F6" s="3049" t="s">
        <v>3134</v>
      </c>
      <c r="G6" s="3049" t="s">
        <v>3112</v>
      </c>
      <c r="H6" s="3049" t="s">
        <v>3113</v>
      </c>
      <c r="I6" s="3049" t="s">
        <v>3135</v>
      </c>
      <c r="J6" s="3049" t="s">
        <v>3135</v>
      </c>
      <c r="K6" s="3049">
        <v>6200</v>
      </c>
      <c r="L6" s="3049">
        <v>6200</v>
      </c>
      <c r="M6" s="3049">
        <v>5289.68</v>
      </c>
      <c r="N6" s="3049">
        <f t="shared" si="0"/>
        <v>9.6</v>
      </c>
      <c r="O6" s="3049">
        <v>0</v>
      </c>
      <c r="P6" s="3049" t="s">
        <v>3136</v>
      </c>
      <c r="Q6" s="3049" t="s">
        <v>3137</v>
      </c>
    </row>
    <row r="7" spans="1:17">
      <c r="A7" s="3049" t="s">
        <v>3138</v>
      </c>
      <c r="B7" s="3049" t="s">
        <v>3109</v>
      </c>
      <c r="C7" s="3049" t="s">
        <v>3110</v>
      </c>
      <c r="D7" s="3049">
        <v>20177.060000000001</v>
      </c>
      <c r="E7" s="3049">
        <v>93985</v>
      </c>
      <c r="F7" s="3049">
        <v>4.66</v>
      </c>
      <c r="G7" s="3049" t="s">
        <v>3112</v>
      </c>
      <c r="H7" s="3049" t="s">
        <v>3119</v>
      </c>
      <c r="I7" s="3049" t="s">
        <v>3139</v>
      </c>
      <c r="J7" s="3049" t="s">
        <v>3139</v>
      </c>
      <c r="K7" s="3049">
        <v>25400</v>
      </c>
      <c r="L7" s="3049">
        <v>31000</v>
      </c>
      <c r="M7" s="3049">
        <v>3298.4</v>
      </c>
      <c r="N7" s="3049">
        <f t="shared" si="0"/>
        <v>23.05</v>
      </c>
      <c r="O7" s="3049">
        <v>22.05</v>
      </c>
      <c r="P7" s="3049" t="s">
        <v>3140</v>
      </c>
      <c r="Q7" s="3049" t="s">
        <v>3116</v>
      </c>
    </row>
    <row r="8" spans="1:17">
      <c r="A8" s="3049" t="s">
        <v>3141</v>
      </c>
      <c r="B8" s="3049" t="s">
        <v>3109</v>
      </c>
      <c r="C8" s="3049" t="s">
        <v>3110</v>
      </c>
      <c r="D8" s="3049">
        <v>69848.88</v>
      </c>
      <c r="E8" s="3049">
        <v>209546.64</v>
      </c>
      <c r="F8" s="3049" t="s">
        <v>3142</v>
      </c>
      <c r="G8" s="3049" t="s">
        <v>3112</v>
      </c>
      <c r="H8" s="3049" t="s">
        <v>3143</v>
      </c>
      <c r="I8" s="3049" t="s">
        <v>3144</v>
      </c>
      <c r="J8" s="3049" t="s">
        <v>3144</v>
      </c>
      <c r="K8" s="3049">
        <v>14900</v>
      </c>
      <c r="L8" s="3049">
        <v>15500</v>
      </c>
      <c r="M8" s="3049">
        <v>739.69</v>
      </c>
      <c r="N8" s="3049">
        <f t="shared" si="0"/>
        <v>3.33</v>
      </c>
      <c r="O8" s="3049">
        <v>4.03</v>
      </c>
      <c r="P8" s="3049" t="s">
        <v>3145</v>
      </c>
      <c r="Q8" s="3049" t="s">
        <v>3116</v>
      </c>
    </row>
    <row r="9" spans="1:17">
      <c r="A9" s="3049" t="s">
        <v>3146</v>
      </c>
      <c r="B9" s="3049" t="s">
        <v>3109</v>
      </c>
      <c r="C9" s="3049" t="s">
        <v>3110</v>
      </c>
      <c r="D9" s="3049">
        <v>5287.71</v>
      </c>
      <c r="E9" s="3049">
        <v>29082.41</v>
      </c>
      <c r="F9" s="3049" t="s">
        <v>3147</v>
      </c>
      <c r="G9" s="3049" t="s">
        <v>3112</v>
      </c>
      <c r="H9" s="3049" t="s">
        <v>3119</v>
      </c>
      <c r="I9" s="3049" t="s">
        <v>3148</v>
      </c>
      <c r="J9" s="3049" t="s">
        <v>3148</v>
      </c>
      <c r="K9" s="3049">
        <v>11300</v>
      </c>
      <c r="L9" s="3049">
        <v>11800</v>
      </c>
      <c r="M9" s="3049">
        <v>4057.44</v>
      </c>
      <c r="N9" s="3049">
        <f t="shared" si="0"/>
        <v>33.47</v>
      </c>
      <c r="O9" s="3049">
        <v>4.42</v>
      </c>
      <c r="P9" s="3049" t="s">
        <v>3149</v>
      </c>
      <c r="Q9" s="3049" t="s">
        <v>3116</v>
      </c>
    </row>
    <row r="10" spans="1:17">
      <c r="A10" s="3049" t="s">
        <v>3150</v>
      </c>
      <c r="B10" s="3049" t="s">
        <v>3109</v>
      </c>
      <c r="C10" s="3049" t="s">
        <v>3110</v>
      </c>
      <c r="D10" s="3049">
        <v>12501.72</v>
      </c>
      <c r="E10" s="3049">
        <v>50006.879999999997</v>
      </c>
      <c r="F10" s="3049" t="s">
        <v>3151</v>
      </c>
      <c r="G10" s="3049" t="s">
        <v>3112</v>
      </c>
      <c r="H10" s="3049" t="s">
        <v>3119</v>
      </c>
      <c r="I10" s="3049" t="s">
        <v>3152</v>
      </c>
      <c r="J10" s="3049" t="s">
        <v>3152</v>
      </c>
      <c r="K10" s="3049">
        <v>13200</v>
      </c>
      <c r="L10" s="3049">
        <v>14100</v>
      </c>
      <c r="M10" s="3049">
        <v>2819.61</v>
      </c>
      <c r="N10" s="3049">
        <f t="shared" si="0"/>
        <v>16.920000000000002</v>
      </c>
      <c r="O10" s="3049">
        <v>6.82</v>
      </c>
      <c r="P10" s="3049" t="s">
        <v>3153</v>
      </c>
      <c r="Q10" s="3049" t="s">
        <v>3126</v>
      </c>
    </row>
    <row r="11" spans="1:17">
      <c r="A11" s="3049" t="s">
        <v>3154</v>
      </c>
      <c r="B11" s="3049" t="s">
        <v>3109</v>
      </c>
      <c r="C11" s="3049" t="s">
        <v>3110</v>
      </c>
      <c r="D11" s="3049">
        <v>68572.009999999995</v>
      </c>
      <c r="E11" s="3049">
        <v>188573.03</v>
      </c>
      <c r="F11" s="3049" t="s">
        <v>3155</v>
      </c>
      <c r="G11" s="3049" t="s">
        <v>3112</v>
      </c>
      <c r="H11" s="3049" t="s">
        <v>3119</v>
      </c>
      <c r="I11" s="3049" t="s">
        <v>3156</v>
      </c>
      <c r="J11" s="3049" t="s">
        <v>3156</v>
      </c>
      <c r="K11" s="3049">
        <v>48100</v>
      </c>
      <c r="L11" s="3049">
        <v>48600</v>
      </c>
      <c r="M11" s="3049">
        <v>2577.25</v>
      </c>
      <c r="N11" s="3049">
        <f t="shared" si="0"/>
        <v>10.63</v>
      </c>
      <c r="O11" s="3049">
        <v>1.04</v>
      </c>
      <c r="P11" s="3049" t="s">
        <v>3157</v>
      </c>
      <c r="Q11" s="3049" t="s">
        <v>3126</v>
      </c>
    </row>
    <row r="12" spans="1:17">
      <c r="A12" s="3049" t="s">
        <v>3158</v>
      </c>
      <c r="B12" s="3049" t="s">
        <v>3109</v>
      </c>
      <c r="C12" s="3049" t="s">
        <v>3110</v>
      </c>
      <c r="D12" s="3049">
        <v>20500.259999999998</v>
      </c>
      <c r="E12" s="3049">
        <v>92251.17</v>
      </c>
      <c r="F12" s="3049" t="s">
        <v>3159</v>
      </c>
      <c r="G12" s="3049" t="s">
        <v>3112</v>
      </c>
      <c r="H12" s="3049" t="s">
        <v>3119</v>
      </c>
      <c r="I12" s="3049" t="s">
        <v>3156</v>
      </c>
      <c r="J12" s="3049" t="s">
        <v>3156</v>
      </c>
      <c r="K12" s="3049">
        <v>23200</v>
      </c>
      <c r="L12" s="3049">
        <v>24800</v>
      </c>
      <c r="M12" s="3049">
        <v>2688.3</v>
      </c>
      <c r="N12" s="3049">
        <f t="shared" si="0"/>
        <v>18.149999999999999</v>
      </c>
      <c r="O12" s="3049">
        <v>6.9</v>
      </c>
      <c r="P12" s="3049" t="s">
        <v>3160</v>
      </c>
      <c r="Q12" s="3049" t="s">
        <v>3116</v>
      </c>
    </row>
    <row r="13" spans="1:17">
      <c r="A13" s="3049" t="s">
        <v>3161</v>
      </c>
      <c r="B13" s="3049" t="s">
        <v>3109</v>
      </c>
      <c r="C13" s="3049" t="s">
        <v>3110</v>
      </c>
      <c r="D13" s="3049">
        <v>60058.97</v>
      </c>
      <c r="E13" s="3049">
        <v>150147.43</v>
      </c>
      <c r="F13" s="3049" t="s">
        <v>3162</v>
      </c>
      <c r="G13" s="3049" t="s">
        <v>3112</v>
      </c>
      <c r="H13" s="3049" t="s">
        <v>3119</v>
      </c>
      <c r="I13" s="3049" t="s">
        <v>3156</v>
      </c>
      <c r="J13" s="3049" t="s">
        <v>3156</v>
      </c>
      <c r="K13" s="3049">
        <v>41500</v>
      </c>
      <c r="L13" s="3049">
        <v>42000</v>
      </c>
      <c r="M13" s="3049">
        <v>2797.25</v>
      </c>
      <c r="N13" s="3049">
        <f t="shared" si="0"/>
        <v>10.49</v>
      </c>
      <c r="O13" s="3049">
        <v>1.2</v>
      </c>
      <c r="P13" s="3049" t="s">
        <v>3157</v>
      </c>
      <c r="Q13" s="3049" t="s">
        <v>3126</v>
      </c>
    </row>
    <row r="14" spans="1:17">
      <c r="A14" s="3049" t="s">
        <v>3163</v>
      </c>
      <c r="B14" s="3049" t="s">
        <v>3109</v>
      </c>
      <c r="C14" s="3049" t="s">
        <v>3110</v>
      </c>
      <c r="D14" s="3049">
        <v>14139.7</v>
      </c>
      <c r="E14" s="3049">
        <v>63628.65</v>
      </c>
      <c r="F14" s="3049" t="s">
        <v>3164</v>
      </c>
      <c r="G14" s="3049" t="s">
        <v>3112</v>
      </c>
      <c r="H14" s="3049" t="s">
        <v>3119</v>
      </c>
      <c r="I14" s="3049" t="s">
        <v>3165</v>
      </c>
      <c r="J14" s="3049" t="s">
        <v>3165</v>
      </c>
      <c r="K14" s="3049">
        <v>8500</v>
      </c>
      <c r="L14" s="3049">
        <v>9300</v>
      </c>
      <c r="M14" s="3049">
        <v>1461.6</v>
      </c>
      <c r="N14" s="3049">
        <f t="shared" si="0"/>
        <v>9.8699999999999992</v>
      </c>
      <c r="O14" s="3049">
        <v>9.41</v>
      </c>
      <c r="P14" s="3049" t="s">
        <v>3166</v>
      </c>
      <c r="Q14" s="3049" t="s">
        <v>3126</v>
      </c>
    </row>
    <row r="15" spans="1:17" s="3051" customFormat="1">
      <c r="A15" s="3051" t="s">
        <v>3167</v>
      </c>
      <c r="B15" s="3051" t="s">
        <v>3109</v>
      </c>
      <c r="C15" s="3051" t="s">
        <v>3110</v>
      </c>
      <c r="D15" s="3051">
        <v>15032.28</v>
      </c>
      <c r="E15" s="3051">
        <v>138437</v>
      </c>
      <c r="F15" s="3051">
        <v>9.1999999999999993</v>
      </c>
      <c r="G15" s="3051" t="s">
        <v>3112</v>
      </c>
      <c r="H15" s="3051" t="s">
        <v>3119</v>
      </c>
      <c r="I15" s="3051" t="s">
        <v>3165</v>
      </c>
      <c r="J15" s="3051" t="s">
        <v>3165</v>
      </c>
      <c r="K15" s="3051">
        <v>58900</v>
      </c>
      <c r="L15" s="3051">
        <v>59000</v>
      </c>
      <c r="M15" s="3051">
        <v>4261.8599999999997</v>
      </c>
      <c r="N15" s="3051">
        <f t="shared" si="0"/>
        <v>58.87</v>
      </c>
      <c r="O15" s="3051">
        <v>0.17</v>
      </c>
      <c r="P15" s="3051" t="s">
        <v>3168</v>
      </c>
      <c r="Q15" s="3051" t="s">
        <v>3116</v>
      </c>
    </row>
    <row r="16" spans="1:17" s="3051" customFormat="1">
      <c r="A16" s="3051" t="s">
        <v>3169</v>
      </c>
      <c r="B16" s="3051" t="s">
        <v>3109</v>
      </c>
      <c r="C16" s="3051" t="s">
        <v>3110</v>
      </c>
      <c r="D16" s="3051">
        <v>10222.91</v>
      </c>
      <c r="E16" s="3051">
        <v>58986.19</v>
      </c>
      <c r="F16" s="3051" t="s">
        <v>3170</v>
      </c>
      <c r="G16" s="3051" t="s">
        <v>3112</v>
      </c>
      <c r="H16" s="3051" t="s">
        <v>3119</v>
      </c>
      <c r="I16" s="3051" t="s">
        <v>3171</v>
      </c>
      <c r="J16" s="3051" t="s">
        <v>3171</v>
      </c>
      <c r="K16" s="3051">
        <v>27400</v>
      </c>
      <c r="L16" s="3051">
        <v>27900</v>
      </c>
      <c r="M16" s="3051">
        <v>4729.92</v>
      </c>
      <c r="N16" s="3051">
        <f t="shared" si="0"/>
        <v>40.94</v>
      </c>
      <c r="O16" s="3051">
        <v>1.82</v>
      </c>
      <c r="P16" s="3051" t="s">
        <v>3172</v>
      </c>
      <c r="Q16" s="3051" t="s">
        <v>3116</v>
      </c>
    </row>
    <row r="17" spans="1:17">
      <c r="A17" s="3049" t="s">
        <v>3173</v>
      </c>
      <c r="B17" s="3049" t="s">
        <v>3109</v>
      </c>
      <c r="C17" s="3049" t="s">
        <v>3110</v>
      </c>
      <c r="D17" s="3049">
        <v>8904.74</v>
      </c>
      <c r="E17" s="3049">
        <v>48347</v>
      </c>
      <c r="F17" s="3049">
        <v>5.43</v>
      </c>
      <c r="G17" s="3049" t="s">
        <v>3112</v>
      </c>
      <c r="H17" s="3049" t="s">
        <v>3119</v>
      </c>
      <c r="I17" s="3049" t="s">
        <v>3171</v>
      </c>
      <c r="J17" s="3049" t="s">
        <v>3171</v>
      </c>
      <c r="K17" s="3049">
        <v>16200</v>
      </c>
      <c r="L17" s="3049">
        <v>17900</v>
      </c>
      <c r="M17" s="3049">
        <v>3702.4</v>
      </c>
      <c r="N17" s="3049">
        <f t="shared" si="0"/>
        <v>30.15</v>
      </c>
      <c r="O17" s="3049">
        <v>10.49</v>
      </c>
      <c r="P17" s="3049" t="s">
        <v>3174</v>
      </c>
      <c r="Q17" s="3049" t="s">
        <v>3116</v>
      </c>
    </row>
    <row r="18" spans="1:17">
      <c r="A18" s="3049" t="s">
        <v>3175</v>
      </c>
      <c r="B18" s="3049" t="s">
        <v>3109</v>
      </c>
      <c r="C18" s="3049" t="s">
        <v>3110</v>
      </c>
      <c r="D18" s="3049">
        <v>6033.7</v>
      </c>
      <c r="E18" s="3049">
        <v>39219.050000000003</v>
      </c>
      <c r="F18" s="3049" t="s">
        <v>3176</v>
      </c>
      <c r="G18" s="3049" t="s">
        <v>3112</v>
      </c>
      <c r="H18" s="3049" t="s">
        <v>3113</v>
      </c>
      <c r="I18" s="3049" t="s">
        <v>3177</v>
      </c>
      <c r="J18" s="3049" t="s">
        <v>3177</v>
      </c>
      <c r="K18" s="3049">
        <v>16500</v>
      </c>
      <c r="L18" s="3049">
        <v>17000</v>
      </c>
      <c r="M18" s="3049">
        <v>4334.63</v>
      </c>
      <c r="N18" s="3049">
        <f t="shared" si="0"/>
        <v>42.26</v>
      </c>
      <c r="O18" s="3049">
        <v>3.03</v>
      </c>
      <c r="P18" s="3049" t="s">
        <v>3172</v>
      </c>
      <c r="Q18" s="3049" t="s">
        <v>3116</v>
      </c>
    </row>
    <row r="19" spans="1:17">
      <c r="A19" s="3049" t="s">
        <v>3169</v>
      </c>
      <c r="B19" s="3049" t="s">
        <v>3109</v>
      </c>
      <c r="C19" s="3049" t="s">
        <v>3110</v>
      </c>
      <c r="D19" s="3049">
        <v>5987.25</v>
      </c>
      <c r="E19" s="3049">
        <v>38917.129999999997</v>
      </c>
      <c r="F19" s="3049" t="s">
        <v>3176</v>
      </c>
      <c r="G19" s="3049" t="s">
        <v>3112</v>
      </c>
      <c r="H19" s="3049" t="s">
        <v>3113</v>
      </c>
      <c r="I19" s="3049" t="s">
        <v>3178</v>
      </c>
      <c r="J19" s="3049" t="s">
        <v>3178</v>
      </c>
      <c r="K19" s="3049">
        <v>16100</v>
      </c>
      <c r="L19" s="3049">
        <v>17000</v>
      </c>
      <c r="M19" s="3049">
        <v>4368.26</v>
      </c>
      <c r="N19" s="3049">
        <f t="shared" si="0"/>
        <v>42.59</v>
      </c>
      <c r="O19" s="3049">
        <v>5.59</v>
      </c>
      <c r="P19" s="3049" t="s">
        <v>3179</v>
      </c>
      <c r="Q19" s="3049" t="s">
        <v>3132</v>
      </c>
    </row>
    <row r="20" spans="1:17" s="3051" customFormat="1">
      <c r="A20" s="3051" t="s">
        <v>3180</v>
      </c>
      <c r="B20" s="3051" t="s">
        <v>3109</v>
      </c>
      <c r="C20" s="3051" t="s">
        <v>3110</v>
      </c>
      <c r="D20" s="3051">
        <v>10511.57</v>
      </c>
      <c r="E20" s="3051">
        <v>52557.85</v>
      </c>
      <c r="F20" s="3051" t="s">
        <v>3181</v>
      </c>
      <c r="G20" s="3051" t="s">
        <v>3112</v>
      </c>
      <c r="H20" s="3051" t="s">
        <v>3113</v>
      </c>
      <c r="I20" s="3051" t="s">
        <v>3182</v>
      </c>
      <c r="J20" s="3051" t="s">
        <v>3182</v>
      </c>
      <c r="K20" s="3051">
        <v>20000</v>
      </c>
      <c r="L20" s="3051">
        <v>25600</v>
      </c>
      <c r="M20" s="3051">
        <v>4870.8100000000004</v>
      </c>
      <c r="N20" s="3051">
        <f t="shared" si="0"/>
        <v>36.53</v>
      </c>
      <c r="O20" s="3051">
        <v>28</v>
      </c>
      <c r="P20" s="3051" t="s">
        <v>3183</v>
      </c>
      <c r="Q20" s="3051" t="s">
        <v>3116</v>
      </c>
    </row>
    <row r="21" spans="1:17">
      <c r="A21" s="3049" t="s">
        <v>3184</v>
      </c>
      <c r="B21" s="3049" t="s">
        <v>3109</v>
      </c>
      <c r="C21" s="3049" t="s">
        <v>3110</v>
      </c>
      <c r="D21" s="3049">
        <v>4117.66</v>
      </c>
      <c r="E21" s="3049">
        <v>24705.96</v>
      </c>
      <c r="F21" s="3049" t="s">
        <v>3118</v>
      </c>
      <c r="G21" s="3049" t="s">
        <v>3112</v>
      </c>
      <c r="H21" s="3049" t="s">
        <v>3119</v>
      </c>
      <c r="I21" s="3049" t="s">
        <v>3185</v>
      </c>
      <c r="J21" s="3049" t="s">
        <v>3185</v>
      </c>
      <c r="K21" s="3049">
        <v>6100</v>
      </c>
      <c r="L21" s="3049">
        <v>6600</v>
      </c>
      <c r="M21" s="3049">
        <v>2671.42</v>
      </c>
      <c r="N21" s="3049">
        <f t="shared" si="0"/>
        <v>24.04</v>
      </c>
      <c r="O21" s="3049">
        <v>8.1999999999999993</v>
      </c>
      <c r="P21" s="3049" t="s">
        <v>3186</v>
      </c>
      <c r="Q21" s="3049" t="s">
        <v>3116</v>
      </c>
    </row>
    <row r="22" spans="1:17">
      <c r="A22" s="3049" t="s">
        <v>3187</v>
      </c>
      <c r="B22" s="3049" t="s">
        <v>3109</v>
      </c>
      <c r="C22" s="3049" t="s">
        <v>3110</v>
      </c>
      <c r="D22" s="3049">
        <v>9799.93</v>
      </c>
      <c r="E22" s="3049">
        <v>58799.58</v>
      </c>
      <c r="F22" s="3049" t="s">
        <v>3188</v>
      </c>
      <c r="G22" s="3049" t="s">
        <v>3112</v>
      </c>
      <c r="H22" s="3049" t="s">
        <v>3189</v>
      </c>
      <c r="I22" s="3049" t="s">
        <v>3190</v>
      </c>
      <c r="J22" s="3049" t="s">
        <v>3190</v>
      </c>
      <c r="K22" s="3049">
        <v>18100</v>
      </c>
      <c r="L22" s="3049">
        <v>19200</v>
      </c>
      <c r="M22" s="3049">
        <v>3265.32</v>
      </c>
      <c r="N22" s="3049">
        <f t="shared" si="0"/>
        <v>29.39</v>
      </c>
      <c r="O22" s="3049">
        <v>6.08</v>
      </c>
      <c r="P22" s="3049" t="s">
        <v>3191</v>
      </c>
      <c r="Q22" s="3049" t="s">
        <v>3116</v>
      </c>
    </row>
    <row r="23" spans="1:17">
      <c r="A23" s="3049" t="s">
        <v>3192</v>
      </c>
      <c r="B23" s="3049" t="s">
        <v>3109</v>
      </c>
      <c r="C23" s="3049" t="s">
        <v>3110</v>
      </c>
      <c r="D23" s="3049">
        <v>74276.289999999994</v>
      </c>
      <c r="E23" s="3049">
        <v>222828.9</v>
      </c>
      <c r="F23" s="3049" t="s">
        <v>3193</v>
      </c>
      <c r="G23" s="3049" t="s">
        <v>3112</v>
      </c>
      <c r="H23" s="3049" t="s">
        <v>3194</v>
      </c>
      <c r="I23" s="3049" t="s">
        <v>3195</v>
      </c>
      <c r="J23" s="3049" t="s">
        <v>3195</v>
      </c>
      <c r="K23" s="3049">
        <v>15800</v>
      </c>
      <c r="L23" s="3049">
        <v>16000</v>
      </c>
      <c r="M23" s="3049">
        <v>718.03</v>
      </c>
      <c r="N23" s="3049">
        <f t="shared" si="0"/>
        <v>3.23</v>
      </c>
      <c r="O23" s="3049">
        <v>1.27</v>
      </c>
      <c r="P23" s="3049" t="s">
        <v>3145</v>
      </c>
      <c r="Q23" s="3049" t="s">
        <v>3116</v>
      </c>
    </row>
    <row r="24" spans="1:17">
      <c r="A24" s="3049" t="s">
        <v>3196</v>
      </c>
      <c r="B24" s="3049" t="s">
        <v>3109</v>
      </c>
      <c r="C24" s="3049" t="s">
        <v>3110</v>
      </c>
      <c r="D24" s="3049">
        <v>39549.919999999998</v>
      </c>
      <c r="E24" s="3049">
        <v>149498.70000000001</v>
      </c>
      <c r="F24" s="3049" t="s">
        <v>3197</v>
      </c>
      <c r="G24" s="3049" t="s">
        <v>3129</v>
      </c>
      <c r="H24" s="3049" t="s">
        <v>3113</v>
      </c>
      <c r="I24" s="3049" t="s">
        <v>3198</v>
      </c>
      <c r="J24" s="3049" t="s">
        <v>3198</v>
      </c>
      <c r="K24" s="3049">
        <v>29870</v>
      </c>
      <c r="L24" s="3049">
        <v>29920</v>
      </c>
      <c r="M24" s="3049">
        <v>2001.35</v>
      </c>
      <c r="N24" s="3049">
        <f t="shared" si="0"/>
        <v>11.35</v>
      </c>
      <c r="O24" s="3049">
        <v>0.17</v>
      </c>
      <c r="P24" s="3049" t="s">
        <v>3199</v>
      </c>
      <c r="Q24" s="3049" t="s">
        <v>3116</v>
      </c>
    </row>
    <row r="25" spans="1:17">
      <c r="A25" s="3049" t="s">
        <v>3200</v>
      </c>
      <c r="B25" s="3049" t="s">
        <v>3109</v>
      </c>
      <c r="C25" s="3049" t="s">
        <v>3110</v>
      </c>
      <c r="D25" s="3049">
        <v>12343.8</v>
      </c>
      <c r="E25" s="3049">
        <v>12343.8</v>
      </c>
      <c r="F25" s="3049" t="s">
        <v>3201</v>
      </c>
      <c r="G25" s="3049" t="s">
        <v>3112</v>
      </c>
      <c r="H25" s="3049" t="s">
        <v>3202</v>
      </c>
      <c r="I25" s="3049" t="s">
        <v>3203</v>
      </c>
      <c r="J25" s="3049" t="s">
        <v>3203</v>
      </c>
      <c r="K25" s="3049">
        <v>1800</v>
      </c>
      <c r="L25" s="3049">
        <v>2000</v>
      </c>
      <c r="M25" s="3049">
        <v>1620.25</v>
      </c>
      <c r="N25" s="3049">
        <f t="shared" si="0"/>
        <v>2.4300000000000002</v>
      </c>
      <c r="O25" s="3049">
        <v>11.11</v>
      </c>
      <c r="P25" s="3049" t="s">
        <v>3204</v>
      </c>
      <c r="Q25" s="3049" t="s">
        <v>3116</v>
      </c>
    </row>
    <row r="26" spans="1:17">
      <c r="A26" s="3049" t="s">
        <v>3205</v>
      </c>
      <c r="B26" s="3049" t="s">
        <v>3109</v>
      </c>
      <c r="C26" s="3049" t="s">
        <v>3110</v>
      </c>
      <c r="D26" s="3049">
        <v>12620</v>
      </c>
      <c r="E26" s="3049">
        <v>73196</v>
      </c>
      <c r="F26" s="3049" t="s">
        <v>3206</v>
      </c>
      <c r="G26" s="3049" t="s">
        <v>3112</v>
      </c>
      <c r="H26" s="3049" t="s">
        <v>3189</v>
      </c>
      <c r="I26" s="3049" t="s">
        <v>3203</v>
      </c>
      <c r="J26" s="3049" t="s">
        <v>3203</v>
      </c>
      <c r="K26" s="3049">
        <v>22000</v>
      </c>
      <c r="L26" s="3049">
        <v>24200</v>
      </c>
      <c r="M26" s="3049">
        <v>3306.19</v>
      </c>
      <c r="N26" s="3049">
        <f t="shared" si="0"/>
        <v>28.76</v>
      </c>
      <c r="O26" s="3049">
        <v>10</v>
      </c>
      <c r="P26" s="3049" t="s">
        <v>3207</v>
      </c>
      <c r="Q26" s="3049" t="s">
        <v>3116</v>
      </c>
    </row>
    <row r="27" spans="1:17">
      <c r="A27" s="3049" t="s">
        <v>3208</v>
      </c>
      <c r="B27" s="3049" t="s">
        <v>3109</v>
      </c>
      <c r="C27" s="3049" t="s">
        <v>3110</v>
      </c>
      <c r="D27" s="3049">
        <v>18248.16</v>
      </c>
      <c r="E27" s="3049">
        <v>100364.9</v>
      </c>
      <c r="F27" s="3049" t="s">
        <v>3147</v>
      </c>
      <c r="G27" s="3049" t="s">
        <v>3112</v>
      </c>
      <c r="H27" s="3049" t="s">
        <v>3189</v>
      </c>
      <c r="I27" s="3049" t="s">
        <v>3203</v>
      </c>
      <c r="J27" s="3049" t="s">
        <v>3203</v>
      </c>
      <c r="K27" s="3049">
        <v>23700</v>
      </c>
      <c r="L27" s="3049">
        <v>26000</v>
      </c>
      <c r="M27" s="3049">
        <v>2590.5500000000002</v>
      </c>
      <c r="N27" s="3049">
        <f t="shared" si="0"/>
        <v>21.37</v>
      </c>
      <c r="O27" s="3049">
        <v>9.6999999999999993</v>
      </c>
      <c r="P27" s="3049" t="s">
        <v>3209</v>
      </c>
      <c r="Q27" s="3049" t="s">
        <v>3116</v>
      </c>
    </row>
    <row r="28" spans="1:17">
      <c r="A28" s="3049" t="s">
        <v>3210</v>
      </c>
      <c r="B28" s="3049" t="s">
        <v>3109</v>
      </c>
      <c r="C28" s="3049" t="s">
        <v>3110</v>
      </c>
      <c r="D28" s="3049">
        <v>8159.81</v>
      </c>
      <c r="E28" s="3049">
        <v>41288.639999999999</v>
      </c>
      <c r="F28" s="3049" t="s">
        <v>3211</v>
      </c>
      <c r="G28" s="3049" t="s">
        <v>3112</v>
      </c>
      <c r="H28" s="3049" t="s">
        <v>3113</v>
      </c>
      <c r="I28" s="3049" t="s">
        <v>3212</v>
      </c>
      <c r="J28" s="3049" t="s">
        <v>3212</v>
      </c>
      <c r="K28" s="3049">
        <v>10300</v>
      </c>
      <c r="L28" s="3049">
        <v>11600</v>
      </c>
      <c r="M28" s="3049">
        <v>2809.48</v>
      </c>
      <c r="N28" s="3049">
        <f t="shared" si="0"/>
        <v>21.32</v>
      </c>
      <c r="O28" s="3049">
        <v>12.62</v>
      </c>
      <c r="P28" s="3049" t="s">
        <v>3213</v>
      </c>
      <c r="Q28" s="3049" t="s">
        <v>3116</v>
      </c>
    </row>
    <row r="29" spans="1:17">
      <c r="A29" s="3049" t="s">
        <v>3214</v>
      </c>
      <c r="B29" s="3049" t="s">
        <v>3109</v>
      </c>
      <c r="C29" s="3049" t="s">
        <v>3110</v>
      </c>
      <c r="D29" s="3049">
        <v>14415.66</v>
      </c>
      <c r="E29" s="3049">
        <v>57662.64</v>
      </c>
      <c r="F29" s="3049" t="s">
        <v>3215</v>
      </c>
      <c r="G29" s="3049" t="s">
        <v>3112</v>
      </c>
      <c r="H29" s="3049" t="s">
        <v>1343</v>
      </c>
      <c r="I29" s="3049" t="s">
        <v>3216</v>
      </c>
      <c r="J29" s="3049" t="s">
        <v>3216</v>
      </c>
      <c r="K29" s="3049">
        <v>12700</v>
      </c>
      <c r="L29" s="3049">
        <v>14000</v>
      </c>
      <c r="M29" s="3049">
        <v>2427.92</v>
      </c>
      <c r="N29" s="3049">
        <f t="shared" si="0"/>
        <v>14.57</v>
      </c>
      <c r="O29" s="3049">
        <v>10.24</v>
      </c>
      <c r="P29" s="3049" t="s">
        <v>3217</v>
      </c>
      <c r="Q29" s="3049" t="s">
        <v>3116</v>
      </c>
    </row>
    <row r="30" spans="1:17">
      <c r="A30" s="3049" t="s">
        <v>3218</v>
      </c>
      <c r="B30" s="3049" t="s">
        <v>3109</v>
      </c>
      <c r="C30" s="3049" t="s">
        <v>3110</v>
      </c>
      <c r="D30" s="3049">
        <v>4992.3</v>
      </c>
      <c r="E30" s="3049">
        <v>1497.69</v>
      </c>
      <c r="F30" s="3049" t="s">
        <v>3219</v>
      </c>
      <c r="G30" s="3049" t="s">
        <v>3129</v>
      </c>
      <c r="H30" s="3049" t="s">
        <v>3220</v>
      </c>
      <c r="I30" s="3049" t="s">
        <v>3221</v>
      </c>
      <c r="J30" s="3049" t="s">
        <v>3221</v>
      </c>
      <c r="K30" s="3049">
        <v>3190</v>
      </c>
      <c r="L30" s="3049">
        <v>30000</v>
      </c>
      <c r="M30" s="3049">
        <v>200308.48000000001</v>
      </c>
      <c r="N30" s="3049">
        <f t="shared" si="0"/>
        <v>90.14</v>
      </c>
      <c r="O30" s="3049">
        <v>840.44</v>
      </c>
      <c r="P30" s="3049" t="s">
        <v>3222</v>
      </c>
      <c r="Q30" s="3049" t="s">
        <v>3132</v>
      </c>
    </row>
    <row r="31" spans="1:17">
      <c r="A31" s="3049" t="s">
        <v>3223</v>
      </c>
      <c r="B31" s="3049" t="s">
        <v>3109</v>
      </c>
      <c r="C31" s="3049" t="s">
        <v>3110</v>
      </c>
      <c r="D31" s="3049">
        <v>19029.93</v>
      </c>
      <c r="E31" s="3049">
        <v>91343.66</v>
      </c>
      <c r="F31" s="3049" t="s">
        <v>3224</v>
      </c>
      <c r="G31" s="3049" t="s">
        <v>3112</v>
      </c>
      <c r="H31" s="3049" t="s">
        <v>3225</v>
      </c>
      <c r="I31" s="3049" t="s">
        <v>3226</v>
      </c>
      <c r="J31" s="3049" t="s">
        <v>3226</v>
      </c>
      <c r="K31" s="3049">
        <v>29900</v>
      </c>
      <c r="L31" s="3049">
        <v>29900</v>
      </c>
      <c r="M31" s="3049">
        <v>3273.34</v>
      </c>
      <c r="N31" s="3049">
        <f t="shared" si="0"/>
        <v>23.57</v>
      </c>
      <c r="O31" s="3049">
        <v>0</v>
      </c>
      <c r="P31" s="3049" t="s">
        <v>3227</v>
      </c>
      <c r="Q31" s="3049" t="s">
        <v>3116</v>
      </c>
    </row>
    <row r="32" spans="1:17">
      <c r="A32" s="3049" t="s">
        <v>3228</v>
      </c>
      <c r="B32" s="3049" t="s">
        <v>3109</v>
      </c>
      <c r="C32" s="3049" t="s">
        <v>3110</v>
      </c>
      <c r="D32" s="3049">
        <v>11283.08</v>
      </c>
      <c r="E32" s="3049">
        <v>62282.6</v>
      </c>
      <c r="F32" s="3049" t="s">
        <v>3229</v>
      </c>
      <c r="G32" s="3049" t="s">
        <v>3112</v>
      </c>
      <c r="H32" s="3049" t="s">
        <v>3189</v>
      </c>
      <c r="I32" s="3049" t="s">
        <v>3226</v>
      </c>
      <c r="J32" s="3049" t="s">
        <v>3226</v>
      </c>
      <c r="K32" s="3049">
        <v>16000</v>
      </c>
      <c r="L32" s="3049">
        <v>17700</v>
      </c>
      <c r="M32" s="3049">
        <v>2841.88</v>
      </c>
      <c r="N32" s="3049">
        <f t="shared" si="0"/>
        <v>23.53</v>
      </c>
      <c r="O32" s="3049">
        <v>10.63</v>
      </c>
      <c r="P32" s="3049" t="s">
        <v>3230</v>
      </c>
      <c r="Q32" s="3049" t="s">
        <v>3116</v>
      </c>
    </row>
    <row r="33" spans="1:17">
      <c r="A33" s="3049" t="s">
        <v>3231</v>
      </c>
      <c r="B33" s="3049" t="s">
        <v>3109</v>
      </c>
      <c r="C33" s="3049" t="s">
        <v>3110</v>
      </c>
      <c r="D33" s="3049">
        <v>8131.13</v>
      </c>
      <c r="E33" s="3049">
        <v>48786.78</v>
      </c>
      <c r="F33" s="3049" t="s">
        <v>3188</v>
      </c>
      <c r="G33" s="3049" t="s">
        <v>3112</v>
      </c>
      <c r="H33" s="3049" t="s">
        <v>3189</v>
      </c>
      <c r="I33" s="3049" t="s">
        <v>3232</v>
      </c>
      <c r="J33" s="3049" t="s">
        <v>3232</v>
      </c>
      <c r="K33" s="3049">
        <v>14900</v>
      </c>
      <c r="L33" s="3049">
        <v>14900</v>
      </c>
      <c r="M33" s="3049">
        <v>3054.11</v>
      </c>
      <c r="N33" s="3049">
        <f t="shared" si="0"/>
        <v>27.49</v>
      </c>
      <c r="O33" s="3049">
        <v>0</v>
      </c>
      <c r="P33" s="3049" t="s">
        <v>3233</v>
      </c>
      <c r="Q33" s="3049" t="s">
        <v>3116</v>
      </c>
    </row>
    <row r="34" spans="1:17">
      <c r="A34" s="3049" t="s">
        <v>3234</v>
      </c>
      <c r="B34" s="3049" t="s">
        <v>3109</v>
      </c>
      <c r="C34" s="3049" t="s">
        <v>3110</v>
      </c>
      <c r="D34" s="3049">
        <v>70574.3</v>
      </c>
      <c r="E34" s="3049">
        <v>204665.5</v>
      </c>
      <c r="F34" s="3049" t="s">
        <v>3235</v>
      </c>
      <c r="G34" s="3049" t="s">
        <v>3112</v>
      </c>
      <c r="H34" s="3049" t="s">
        <v>3189</v>
      </c>
      <c r="I34" s="3049" t="s">
        <v>3236</v>
      </c>
      <c r="J34" s="3049" t="s">
        <v>3236</v>
      </c>
      <c r="K34" s="3049">
        <v>46900</v>
      </c>
      <c r="L34" s="3049">
        <v>46900</v>
      </c>
      <c r="M34" s="3049">
        <v>2291.5300000000002</v>
      </c>
      <c r="N34" s="3049">
        <f t="shared" si="0"/>
        <v>9.9700000000000006</v>
      </c>
      <c r="O34" s="3049">
        <v>0</v>
      </c>
      <c r="P34" s="3049" t="s">
        <v>3237</v>
      </c>
      <c r="Q34" s="3049" t="s">
        <v>3116</v>
      </c>
    </row>
    <row r="35" spans="1:17">
      <c r="A35" s="3049" t="s">
        <v>3238</v>
      </c>
      <c r="B35" s="3049" t="s">
        <v>3109</v>
      </c>
      <c r="C35" s="3049" t="s">
        <v>3110</v>
      </c>
      <c r="D35" s="3049">
        <v>38062.269999999997</v>
      </c>
      <c r="E35" s="3049">
        <v>91349.45</v>
      </c>
      <c r="F35" s="3049" t="s">
        <v>3239</v>
      </c>
      <c r="G35" s="3049" t="s">
        <v>3112</v>
      </c>
      <c r="H35" s="3049" t="s">
        <v>3189</v>
      </c>
      <c r="I35" s="3049" t="s">
        <v>3236</v>
      </c>
      <c r="J35" s="3049" t="s">
        <v>3236</v>
      </c>
      <c r="K35" s="3049">
        <v>23200</v>
      </c>
      <c r="L35" s="3049">
        <v>23200</v>
      </c>
      <c r="M35" s="3049">
        <v>2539.69</v>
      </c>
      <c r="N35" s="3049">
        <f t="shared" si="0"/>
        <v>9.14</v>
      </c>
      <c r="O35" s="3049">
        <v>0</v>
      </c>
      <c r="P35" s="3049" t="s">
        <v>3237</v>
      </c>
      <c r="Q35" s="3049" t="s">
        <v>3137</v>
      </c>
    </row>
    <row r="36" spans="1:17">
      <c r="A36" s="3049" t="s">
        <v>3240</v>
      </c>
      <c r="B36" s="3049" t="s">
        <v>3109</v>
      </c>
      <c r="C36" s="3049" t="s">
        <v>3110</v>
      </c>
      <c r="D36" s="3049">
        <v>37431.1</v>
      </c>
      <c r="E36" s="3049">
        <v>149724.4</v>
      </c>
      <c r="F36" s="3049" t="s">
        <v>3241</v>
      </c>
      <c r="G36" s="3049" t="s">
        <v>3112</v>
      </c>
      <c r="H36" s="3049" t="s">
        <v>3189</v>
      </c>
      <c r="I36" s="3049" t="s">
        <v>3236</v>
      </c>
      <c r="J36" s="3049" t="s">
        <v>3236</v>
      </c>
      <c r="K36" s="3049">
        <v>31600</v>
      </c>
      <c r="L36" s="3049">
        <v>31600</v>
      </c>
      <c r="M36" s="3049">
        <v>2110.5300000000002</v>
      </c>
      <c r="N36" s="3049">
        <f t="shared" si="0"/>
        <v>12.66</v>
      </c>
      <c r="O36" s="3049">
        <v>0</v>
      </c>
      <c r="P36" s="3049" t="s">
        <v>3237</v>
      </c>
      <c r="Q36" s="3049" t="s">
        <v>3116</v>
      </c>
    </row>
    <row r="37" spans="1:17">
      <c r="A37" s="3049" t="s">
        <v>3242</v>
      </c>
      <c r="B37" s="3049" t="s">
        <v>3109</v>
      </c>
      <c r="C37" s="3049" t="s">
        <v>3110</v>
      </c>
      <c r="D37" s="3049">
        <v>7942.81</v>
      </c>
      <c r="E37" s="3049">
        <v>38363.769999999997</v>
      </c>
      <c r="F37" s="3049" t="s">
        <v>3243</v>
      </c>
      <c r="G37" s="3049" t="s">
        <v>3112</v>
      </c>
      <c r="H37" s="3049" t="s">
        <v>3189</v>
      </c>
      <c r="I37" s="3049" t="s">
        <v>3244</v>
      </c>
      <c r="J37" s="3049" t="s">
        <v>3244</v>
      </c>
      <c r="K37" s="3049">
        <v>10100</v>
      </c>
      <c r="L37" s="3049">
        <v>12450</v>
      </c>
      <c r="M37" s="3049">
        <v>3245.25</v>
      </c>
      <c r="N37" s="3049">
        <f t="shared" si="0"/>
        <v>23.51</v>
      </c>
      <c r="O37" s="3049">
        <v>23.27</v>
      </c>
      <c r="P37" s="3049" t="s">
        <v>3245</v>
      </c>
      <c r="Q37" s="3049" t="s">
        <v>3116</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13221</v>
      </c>
      <c r="C2" s="1570" t="s">
        <v>1481</v>
      </c>
      <c r="D2" s="1570"/>
      <c r="E2" s="1571"/>
      <c r="F2" s="1572"/>
      <c r="G2" s="2934"/>
      <c r="H2" s="2923"/>
      <c r="I2" s="2923"/>
      <c r="J2" s="2923"/>
      <c r="K2" s="2924"/>
      <c r="L2" s="2923"/>
      <c r="M2" s="2923"/>
    </row>
    <row r="3" spans="1:37" ht="18" customHeight="1" thickBot="1">
      <c r="A3" s="1573" t="s">
        <v>1482</v>
      </c>
      <c r="B3" s="1574">
        <f ca="1">IF(ISERROR(B2*10000/F43),0,ROUND(B2*10000/F43,0))</f>
        <v>15223</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1094</v>
      </c>
      <c r="D5" s="1547" t="s">
        <v>1367</v>
      </c>
      <c r="E5" s="1200"/>
      <c r="F5" s="1201"/>
      <c r="G5" s="1567"/>
      <c r="H5" s="302">
        <v>1</v>
      </c>
      <c r="I5" s="303" t="s">
        <v>1366</v>
      </c>
      <c r="J5" s="1199">
        <f ca="1">J6+J10+J12</f>
        <v>0</v>
      </c>
      <c r="K5" s="1547" t="s">
        <v>1367</v>
      </c>
      <c r="L5" s="1200"/>
      <c r="M5" s="1201"/>
    </row>
    <row r="6" spans="1:37" ht="18" customHeight="1">
      <c r="A6" s="1198" t="s">
        <v>1003</v>
      </c>
      <c r="B6" s="3309" t="s">
        <v>1368</v>
      </c>
      <c r="C6" s="1203">
        <f ca="1">ROUND(F6*F8*F7*(1-F9)/10000,0)</f>
        <v>1093</v>
      </c>
      <c r="D6" s="157" t="s">
        <v>2852</v>
      </c>
      <c r="E6" s="305" t="s">
        <v>1370</v>
      </c>
      <c r="F6" s="306">
        <f ca="1">INDIRECT("'数据-取费表'!u"&amp;$G$1)</f>
        <v>3.9</v>
      </c>
      <c r="G6" s="1567"/>
      <c r="H6" s="1198" t="s">
        <v>1003</v>
      </c>
      <c r="I6" s="3309" t="s">
        <v>1368</v>
      </c>
      <c r="J6" s="304">
        <f ca="1">ROUND(M6*M8*M7*(1-M9)/10000,0)</f>
        <v>0</v>
      </c>
      <c r="K6" s="157" t="s">
        <v>2851</v>
      </c>
      <c r="L6" s="305" t="s">
        <v>1370</v>
      </c>
      <c r="M6" s="306">
        <f ca="1">INDIRECT("'数据-取费表'!z"&amp;$G$1)</f>
        <v>0</v>
      </c>
    </row>
    <row r="7" spans="1:37" ht="18" customHeight="1">
      <c r="A7" s="1202"/>
      <c r="B7" s="3310"/>
      <c r="C7" s="1204"/>
      <c r="D7" s="310"/>
      <c r="E7" s="1205" t="s">
        <v>1371</v>
      </c>
      <c r="F7" s="306">
        <f ca="1">IF(INDIRECT("'数据-取费表'!ah"&amp;$G$1)="",INDIRECT("'数据-取费表'!k"&amp;$G$1),INDIRECT("'数据-取费表'!ah"&amp;$G$1))</f>
        <v>8528.74</v>
      </c>
      <c r="G7" s="1567"/>
      <c r="H7" s="307"/>
      <c r="I7" s="3310"/>
      <c r="J7" s="309"/>
      <c r="K7" s="310"/>
      <c r="L7" s="305" t="s">
        <v>1371</v>
      </c>
      <c r="M7" s="306">
        <f ca="1">F7</f>
        <v>8528.74</v>
      </c>
    </row>
    <row r="8" spans="1:37" ht="18" customHeight="1">
      <c r="A8" s="307"/>
      <c r="B8" s="3310"/>
      <c r="C8" s="309"/>
      <c r="D8" s="310"/>
      <c r="E8" s="305" t="s">
        <v>1372</v>
      </c>
      <c r="F8" s="306">
        <f ca="1">INDIRECT("'数据-取费表'!ai"&amp;$G$1)</f>
        <v>365</v>
      </c>
      <c r="G8" s="1567"/>
      <c r="H8" s="307"/>
      <c r="I8" s="3310"/>
      <c r="J8" s="309"/>
      <c r="K8" s="310"/>
      <c r="L8" s="305" t="s">
        <v>1372</v>
      </c>
      <c r="M8" s="306">
        <f ca="1">INDIRECT("'数据-取费表'!ai"&amp;$G$1)</f>
        <v>365</v>
      </c>
    </row>
    <row r="9" spans="1:37" ht="18" customHeight="1">
      <c r="A9" s="307"/>
      <c r="B9" s="3311"/>
      <c r="C9" s="309"/>
      <c r="D9" s="310"/>
      <c r="E9" s="305" t="s">
        <v>1373</v>
      </c>
      <c r="F9" s="315">
        <f ca="1">INDIRECT("'数据-取费表'!w"&amp;$G$1)</f>
        <v>0.1</v>
      </c>
      <c r="G9" s="1567"/>
      <c r="H9" s="307"/>
      <c r="I9" s="3311"/>
      <c r="J9" s="309"/>
      <c r="K9" s="310"/>
      <c r="L9" s="316" t="s">
        <v>1373</v>
      </c>
      <c r="M9" s="317">
        <f ca="1">INDIRECT("'数据-取费表'!ab"&amp;$G$1)</f>
        <v>0</v>
      </c>
    </row>
    <row r="10" spans="1:37" ht="18" customHeight="1">
      <c r="A10" s="1198" t="s">
        <v>1007</v>
      </c>
      <c r="B10" s="1548" t="s">
        <v>1374</v>
      </c>
      <c r="C10" s="319">
        <f ca="1">ROUND(IF(F10="押一",C6/12*F11,IF(F10="押二",C6/12*2*F11,IF(F10="押三",C6/12*3*F11,C11*F11))),0)</f>
        <v>1</v>
      </c>
      <c r="D10" s="1549" t="s">
        <v>2860</v>
      </c>
      <c r="E10" s="316" t="s">
        <v>1375</v>
      </c>
      <c r="F10" s="1273" t="s">
        <v>3269</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4507</v>
      </c>
      <c r="D13" s="1238" t="s">
        <v>1380</v>
      </c>
      <c r="E13" s="1238" t="s">
        <v>1381</v>
      </c>
      <c r="F13" s="1239">
        <f ca="1">INDIRECT("'数据-取费表'!y"&amp;$G$1)</f>
        <v>0.77</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3908</v>
      </c>
      <c r="D14" s="1528" t="s">
        <v>1383</v>
      </c>
      <c r="E14" s="1525"/>
      <c r="F14" s="322"/>
      <c r="G14" s="1567"/>
      <c r="H14" s="1110" t="s">
        <v>1003</v>
      </c>
      <c r="I14" s="305" t="s">
        <v>1384</v>
      </c>
      <c r="J14" s="23">
        <f ca="1">C29</f>
        <v>5853</v>
      </c>
      <c r="K14" s="14"/>
      <c r="L14" s="913"/>
      <c r="M14" s="914"/>
    </row>
    <row r="15" spans="1:37" s="1580" customFormat="1" ht="18" customHeight="1" thickBot="1">
      <c r="A15" s="1110" t="s">
        <v>1004</v>
      </c>
      <c r="B15" s="305" t="s">
        <v>1385</v>
      </c>
      <c r="C15" s="23">
        <f ca="1">ROUND(C14*F15,0)</f>
        <v>117</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137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49</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59</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4240</v>
      </c>
      <c r="D19" s="133" t="s">
        <v>1401</v>
      </c>
      <c r="E19" s="1543"/>
      <c r="F19" s="25"/>
      <c r="G19" s="1567"/>
      <c r="H19" s="1110" t="s">
        <v>1004</v>
      </c>
      <c r="I19" s="305" t="s">
        <v>1402</v>
      </c>
      <c r="J19" s="23">
        <f ca="1">IF(K19="按租金收入计税",ROUND(J6*M19/(1+'数据-取费表'!C42),2),ROUND(C29*M19*0.7,2))</f>
        <v>49.17</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85</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87.8</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205</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-137</v>
      </c>
      <c r="K25" s="1252" t="s">
        <v>1429</v>
      </c>
      <c r="L25" s="1253"/>
      <c r="M25" s="1254"/>
    </row>
    <row r="26" spans="1:37">
      <c r="A26" s="1110" t="s">
        <v>1002</v>
      </c>
      <c r="B26" s="305" t="s">
        <v>1430</v>
      </c>
      <c r="C26" s="23">
        <f ca="1">ROUND((C19+C20)*F26,0)</f>
        <v>865</v>
      </c>
      <c r="D26" s="326" t="s">
        <v>1431</v>
      </c>
      <c r="E26" s="316" t="s">
        <v>1432</v>
      </c>
      <c r="F26" s="315">
        <f ca="1">INDIRECT("'数据-取费表'!q"&amp;$G$1)</f>
        <v>0.2</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4.0000000000000001E-3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5853</v>
      </c>
      <c r="D29" s="1249"/>
      <c r="E29" s="1247"/>
      <c r="F29" s="1250"/>
      <c r="G29" s="1579"/>
      <c r="H29" s="337" t="s">
        <v>1001</v>
      </c>
      <c r="I29" s="338" t="s">
        <v>1444</v>
      </c>
      <c r="J29" s="339">
        <f ca="1">ROUND(J26/(1+F40)^F41,0)</f>
        <v>0</v>
      </c>
      <c r="K29" s="340" t="s">
        <v>1445</v>
      </c>
      <c r="L29" s="341"/>
      <c r="M29" s="342">
        <f ca="1">INDIRECT("'数据-取费表'!k"&amp;$G$1)</f>
        <v>8684.6199999999972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294</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183</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58.29</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124.91</v>
      </c>
      <c r="D33" s="1553" t="s">
        <v>3088</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87.8</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6.8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16.399999999999999</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800</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13221</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0.03</v>
      </c>
      <c r="G42" s="1567"/>
      <c r="H42" s="1350"/>
      <c r="I42" s="1581"/>
      <c r="J42" s="1582"/>
      <c r="K42" s="2769"/>
      <c r="L42" s="1350"/>
      <c r="M42" s="1350"/>
    </row>
    <row r="43" spans="1:18" ht="18" customHeight="1" thickBot="1">
      <c r="A43" s="337" t="s">
        <v>1001</v>
      </c>
      <c r="B43" s="338" t="s">
        <v>1452</v>
      </c>
      <c r="C43" s="339">
        <f ca="1">ROUND(C40*10000/F43,0)</f>
        <v>15223</v>
      </c>
      <c r="D43" s="340" t="s">
        <v>1453</v>
      </c>
      <c r="E43" s="341" t="s">
        <v>1454</v>
      </c>
      <c r="F43" s="342">
        <f ca="1">INDIRECT("'数据-取费表'!k"&amp;$G$1)</f>
        <v>8684.6199999999972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-20567</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3089</v>
      </c>
      <c r="K47" s="1599" t="s">
        <v>1492</v>
      </c>
      <c r="L47" s="1600">
        <f ca="1">INDIRECT("'数据-取费表'!d"&amp;$G$1)</f>
        <v>40</v>
      </c>
      <c r="M47" s="1563" t="str">
        <f>IF(ISNUMBER(FIND("住宅",C1)),"住宅","非住宅")</f>
        <v>非住宅</v>
      </c>
      <c r="O47" s="1601" t="s">
        <v>1008</v>
      </c>
      <c r="P47" s="1602" t="s">
        <v>1493</v>
      </c>
      <c r="Q47" s="1603">
        <f ca="1">C40+J29</f>
        <v>13221</v>
      </c>
      <c r="R47" s="1603" t="s">
        <v>1494</v>
      </c>
    </row>
    <row r="48" spans="1:18" s="1567" customFormat="1" ht="28.5" thickBot="1">
      <c r="A48" s="1267" t="s">
        <v>1103</v>
      </c>
      <c r="B48" s="303" t="s">
        <v>1366</v>
      </c>
      <c r="C48" s="1542">
        <f ca="1">C49+C53+C55</f>
        <v>0</v>
      </c>
      <c r="D48" s="1269"/>
      <c r="E48" s="1270"/>
      <c r="F48" s="1090"/>
      <c r="G48" s="728"/>
      <c r="H48" s="729"/>
      <c r="I48" s="1604" t="s">
        <v>1495</v>
      </c>
      <c r="J48" s="1605" t="s">
        <v>3090</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5853</v>
      </c>
      <c r="R49" s="1603" t="s">
        <v>1494</v>
      </c>
    </row>
    <row r="50" spans="1:18" s="1567" customFormat="1" ht="13.5" thickBot="1">
      <c r="A50" s="1104"/>
      <c r="B50" s="1107"/>
      <c r="C50" s="1275"/>
      <c r="D50" s="1081"/>
      <c r="E50" s="1184" t="s">
        <v>1371</v>
      </c>
      <c r="F50" s="1185">
        <f ca="1">F7</f>
        <v>8528.74</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7232</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307" t="s">
        <v>1513</v>
      </c>
      <c r="L53" s="3308"/>
      <c r="O53" s="1601" t="s">
        <v>1014</v>
      </c>
      <c r="P53" s="1602" t="s">
        <v>1514</v>
      </c>
      <c r="Q53" s="1603">
        <f ca="1">Q47+Q48</f>
        <v>13221</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4507</v>
      </c>
      <c r="D56" s="1630"/>
      <c r="E56" s="1631"/>
      <c r="F56" s="1623"/>
      <c r="I56" s="1632" t="s">
        <v>1519</v>
      </c>
      <c r="J56" s="1633" t="s">
        <v>3084</v>
      </c>
      <c r="K56" s="1604" t="s">
        <v>1520</v>
      </c>
      <c r="L56" s="1607" t="str">
        <f ca="1">IF(L48&lt;J51,"——",L48-J53)</f>
        <v>——</v>
      </c>
      <c r="O56" s="1601" t="s">
        <v>1008</v>
      </c>
      <c r="P56" s="1602" t="s">
        <v>1493</v>
      </c>
      <c r="Q56" s="1603">
        <f ca="1">C40+J29</f>
        <v>13221</v>
      </c>
      <c r="R56" s="1603" t="s">
        <v>1494</v>
      </c>
    </row>
    <row r="57" spans="1:18" s="1567" customFormat="1" ht="24.75" thickBot="1">
      <c r="A57" s="1634"/>
      <c r="B57" s="1078" t="s">
        <v>1443</v>
      </c>
      <c r="C57" s="241">
        <f ca="1">C29</f>
        <v>5853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587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492</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491.65</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13221</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87.8</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6.8</v>
      </c>
      <c r="D65" s="1092" t="s">
        <v>1419</v>
      </c>
      <c r="E65" s="1078" t="s">
        <v>1420</v>
      </c>
      <c r="F65" s="333">
        <f t="shared" ca="1" si="0"/>
        <v>1.5E-3</v>
      </c>
      <c r="I65" s="1645" t="s">
        <v>1544</v>
      </c>
      <c r="J65" s="1646">
        <v>40</v>
      </c>
      <c r="K65" s="1646">
        <v>30</v>
      </c>
      <c r="L65" s="1646">
        <v>50</v>
      </c>
      <c r="M65" s="1648">
        <v>0.02</v>
      </c>
      <c r="O65" s="1601" t="s">
        <v>1008</v>
      </c>
      <c r="P65" s="1602" t="s">
        <v>1545</v>
      </c>
      <c r="Q65" s="1603">
        <f ca="1">C40+J29</f>
        <v>13221</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-587</v>
      </c>
      <c r="D67" s="1091" t="s">
        <v>1429</v>
      </c>
      <c r="E67" s="1096"/>
      <c r="F67" s="1097"/>
      <c r="O67" s="1611" t="s">
        <v>1010</v>
      </c>
      <c r="P67" s="1602" t="s">
        <v>1527</v>
      </c>
      <c r="Q67" s="1649">
        <f ca="1">L51</f>
        <v>7232</v>
      </c>
      <c r="R67" s="1603" t="s">
        <v>1547</v>
      </c>
    </row>
    <row r="68" spans="1:18" s="1567" customFormat="1" ht="16.5" thickBot="1">
      <c r="A68" s="1075" t="s">
        <v>1000</v>
      </c>
      <c r="B68" s="1076" t="s">
        <v>1450</v>
      </c>
      <c r="C68" s="304">
        <f ca="1">ROUND(C67*(1-((1+F70)/(1+F68))^F69)/(F68-F70),0)</f>
        <v>-7346</v>
      </c>
      <c r="D68" s="1093" t="s">
        <v>1434</v>
      </c>
      <c r="E68" s="1078" t="s">
        <v>1435</v>
      </c>
      <c r="F68" s="315">
        <f ca="1">F40</f>
        <v>0.06</v>
      </c>
      <c r="O68" s="1611" t="s">
        <v>1011</v>
      </c>
      <c r="P68" s="1650" t="s">
        <v>1548</v>
      </c>
      <c r="Q68" s="1603">
        <f ca="1">ROUND(Q69-Q70*Q71,0)</f>
        <v>439</v>
      </c>
      <c r="R68" s="1603" t="s">
        <v>1019</v>
      </c>
    </row>
    <row r="69" spans="1:18" s="1567" customFormat="1" ht="13.5" thickBot="1">
      <c r="A69" s="1079"/>
      <c r="B69" s="1080"/>
      <c r="C69" s="309"/>
      <c r="D69" s="1098" t="s">
        <v>1438</v>
      </c>
      <c r="E69" s="1078" t="s">
        <v>1439</v>
      </c>
      <c r="F69" s="336">
        <f ca="1">F41</f>
        <v>23.85</v>
      </c>
      <c r="O69" s="1611" t="s">
        <v>1016</v>
      </c>
      <c r="P69" s="1650" t="s">
        <v>1549</v>
      </c>
      <c r="Q69" s="1603">
        <f ca="1">C39</f>
        <v>800</v>
      </c>
      <c r="R69" s="1603" t="s">
        <v>1494</v>
      </c>
    </row>
    <row r="70" spans="1:18" s="1567" customFormat="1" ht="13.5" thickBot="1">
      <c r="A70" s="1082"/>
      <c r="B70" s="1083"/>
      <c r="C70" s="313"/>
      <c r="D70" s="1094"/>
      <c r="E70" s="1078" t="s">
        <v>1442</v>
      </c>
      <c r="F70" s="1182"/>
      <c r="O70" s="1611" t="s">
        <v>1017</v>
      </c>
      <c r="P70" s="1650" t="s">
        <v>1550</v>
      </c>
      <c r="Q70" s="1603">
        <f ca="1">C13</f>
        <v>4507</v>
      </c>
      <c r="R70" s="1603" t="s">
        <v>1494</v>
      </c>
    </row>
    <row r="71" spans="1:18" s="1567" customFormat="1" ht="13.5" thickBot="1">
      <c r="A71" s="1099" t="s">
        <v>1001</v>
      </c>
      <c r="B71" s="1100" t="s">
        <v>1452</v>
      </c>
      <c r="C71" s="339">
        <f ca="1">ROUND(C68*10000/F71,0)</f>
        <v>-8459</v>
      </c>
      <c r="D71" s="1101" t="s">
        <v>1453</v>
      </c>
      <c r="E71" s="1102" t="s">
        <v>1454</v>
      </c>
      <c r="F71" s="342">
        <f ca="1">F43</f>
        <v>8684.6199999999972</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361</v>
      </c>
      <c r="D75" s="1567"/>
      <c r="E75" s="1567"/>
      <c r="F75" s="1567"/>
      <c r="K75" s="1585"/>
      <c r="L75" s="1567"/>
      <c r="O75" s="1601" t="s">
        <v>1014</v>
      </c>
      <c r="P75" s="1602" t="s">
        <v>1514</v>
      </c>
      <c r="Q75" s="1603">
        <f ca="1">Q65+Q66</f>
        <v>13221</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0.54899999999999993</v>
      </c>
    </row>
    <row r="80" spans="1:18">
      <c r="B80" s="343" t="s">
        <v>1476</v>
      </c>
      <c r="C80" s="277">
        <f ca="1">ROUND(C75/C39,3)</f>
        <v>0.45100000000000001</v>
      </c>
    </row>
    <row r="81" spans="2:3">
      <c r="B81" s="273" t="s">
        <v>1477</v>
      </c>
      <c r="C81" s="241"/>
    </row>
    <row r="82" spans="2:3">
      <c r="B82" s="276" t="s">
        <v>1478</v>
      </c>
      <c r="C82" s="278">
        <f ca="1">1-C83</f>
        <v>0.65900000000000003</v>
      </c>
    </row>
    <row r="83" spans="2:3">
      <c r="B83" s="276" t="s">
        <v>1479</v>
      </c>
      <c r="C83" s="277">
        <f ca="1">ROUND(C13/C40,3)</f>
        <v>0.34100000000000003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3086</v>
      </c>
      <c r="D1" s="1545" t="s">
        <v>70</v>
      </c>
      <c r="E1" s="1546" t="s">
        <v>1352</v>
      </c>
      <c r="F1" s="1190" t="e">
        <f ca="1">J53</f>
        <v>#N/A</v>
      </c>
      <c r="G1" s="1561" t="e">
        <f>MATCH(C1,'数据-取费表'!A6:A16,0)+5</f>
        <v>#N/A</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t="e">
        <f ca="1">C6+C10+C12</f>
        <v>#N/A</v>
      </c>
      <c r="D5" s="1547" t="s">
        <v>1566</v>
      </c>
      <c r="E5" s="1200"/>
      <c r="F5" s="1201"/>
      <c r="G5" s="1567"/>
      <c r="H5" s="302">
        <v>1</v>
      </c>
      <c r="I5" s="303" t="s">
        <v>1565</v>
      </c>
      <c r="J5" s="1199" t="e">
        <f ca="1">J6+J10+J12</f>
        <v>#N/A</v>
      </c>
      <c r="K5" s="1547" t="s">
        <v>1566</v>
      </c>
      <c r="L5" s="1200"/>
      <c r="M5" s="1201"/>
    </row>
    <row r="6" spans="1:37" ht="18" customHeight="1">
      <c r="A6" s="1198" t="s">
        <v>1003</v>
      </c>
      <c r="B6" s="3309" t="s">
        <v>1368</v>
      </c>
      <c r="C6" s="1203" t="e">
        <f ca="1">ROUND(F6*F8*F7*(1-F9),0)</f>
        <v>#N/A</v>
      </c>
      <c r="D6" s="157" t="s">
        <v>2849</v>
      </c>
      <c r="E6" s="305" t="s">
        <v>1370</v>
      </c>
      <c r="F6" s="306" t="e">
        <f ca="1">INDIRECT("'数据-取费表'!u"&amp;$G$1)</f>
        <v>#N/A</v>
      </c>
      <c r="G6" s="1567"/>
      <c r="H6" s="1198" t="s">
        <v>1003</v>
      </c>
      <c r="I6" s="3309" t="s">
        <v>1368</v>
      </c>
      <c r="J6" s="304" t="e">
        <f ca="1">ROUND(M6*M8*M7*(1-M9),0)</f>
        <v>#N/A</v>
      </c>
      <c r="K6" s="1559" t="s">
        <v>2850</v>
      </c>
      <c r="L6" s="305" t="s">
        <v>1370</v>
      </c>
      <c r="M6" s="306" t="e">
        <f ca="1">INDIRECT("'数据-取费表'!z"&amp;$G$1)</f>
        <v>#N/A</v>
      </c>
    </row>
    <row r="7" spans="1:37" ht="18" customHeight="1">
      <c r="A7" s="1202"/>
      <c r="B7" s="3310"/>
      <c r="C7" s="1204"/>
      <c r="D7" s="310"/>
      <c r="E7" s="1205" t="s">
        <v>1371</v>
      </c>
      <c r="F7" s="306" t="e">
        <f ca="1">IF(INDIRECT("'数据-取费表'!ah"&amp;$G$1)="",INDIRECT("'数据-取费表'!k"&amp;$G$1),INDIRECT("'数据-取费表'!ah"&amp;$G$1))</f>
        <v>#N/A</v>
      </c>
      <c r="G7" s="1567"/>
      <c r="H7" s="307"/>
      <c r="I7" s="3310"/>
      <c r="J7" s="309"/>
      <c r="K7" s="310"/>
      <c r="L7" s="305" t="s">
        <v>1371</v>
      </c>
      <c r="M7" s="306" t="e">
        <f ca="1">F7</f>
        <v>#N/A</v>
      </c>
    </row>
    <row r="8" spans="1:37" ht="18" customHeight="1">
      <c r="A8" s="307"/>
      <c r="B8" s="3310"/>
      <c r="C8" s="309"/>
      <c r="D8" s="310"/>
      <c r="E8" s="305" t="s">
        <v>1372</v>
      </c>
      <c r="F8" s="306" t="e">
        <f ca="1">INDIRECT("'数据-取费表'!ai"&amp;$G$1)</f>
        <v>#N/A</v>
      </c>
      <c r="G8" s="1567"/>
      <c r="H8" s="307"/>
      <c r="I8" s="3310"/>
      <c r="J8" s="309"/>
      <c r="K8" s="310"/>
      <c r="L8" s="305" t="s">
        <v>1372</v>
      </c>
      <c r="M8" s="306" t="e">
        <f ca="1">INDIRECT("'数据-取费表'!ai"&amp;$G$1)</f>
        <v>#N/A</v>
      </c>
    </row>
    <row r="9" spans="1:37" ht="18" customHeight="1">
      <c r="A9" s="307"/>
      <c r="B9" s="3311"/>
      <c r="C9" s="309"/>
      <c r="D9" s="310"/>
      <c r="E9" s="305" t="s">
        <v>1373</v>
      </c>
      <c r="F9" s="315" t="e">
        <f ca="1">INDIRECT("'数据-取费表'!w"&amp;$G$1)</f>
        <v>#N/A</v>
      </c>
      <c r="G9" s="1567"/>
      <c r="H9" s="307"/>
      <c r="I9" s="3311"/>
      <c r="J9" s="309"/>
      <c r="K9" s="310"/>
      <c r="L9" s="316" t="s">
        <v>1373</v>
      </c>
      <c r="M9" s="317" t="e">
        <f ca="1">INDIRECT("'数据-取费表'!ab"&amp;$G$1)</f>
        <v>#N/A</v>
      </c>
    </row>
    <row r="10" spans="1:37" ht="18" customHeight="1">
      <c r="A10" s="1198" t="s">
        <v>1007</v>
      </c>
      <c r="B10" s="1548" t="s">
        <v>1374</v>
      </c>
      <c r="C10" s="319">
        <f ca="1">ROUND(IF(F10="押一",C6/12*F11,IF(F10="押二",C6/12*2*F11,IF(F10="押三",C6/12*3*F11,C11*F11))),0)</f>
        <v>0</v>
      </c>
      <c r="D10" s="1549" t="s">
        <v>2859</v>
      </c>
      <c r="E10" s="316" t="s">
        <v>1375</v>
      </c>
      <c r="F10" s="1273" t="s">
        <v>3266</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t="e">
        <f ca="1">ROUND(C29*F13,0)</f>
        <v>#N/A</v>
      </c>
      <c r="D13" s="1238" t="s">
        <v>1380</v>
      </c>
      <c r="E13" s="1238" t="s">
        <v>1381</v>
      </c>
      <c r="F13" s="1239" t="e">
        <f ca="1">INDIRECT("'数据-取费表'!y"&amp;$G$1)</f>
        <v>#N/A</v>
      </c>
      <c r="G13" s="1567"/>
      <c r="H13" s="1236">
        <v>2</v>
      </c>
      <c r="I13" s="1237" t="s">
        <v>1379</v>
      </c>
      <c r="J13" s="1197" t="e">
        <f ca="1">ROUND(J14*J15,0)</f>
        <v>#N/A</v>
      </c>
      <c r="K13" s="1244" t="s">
        <v>1380</v>
      </c>
      <c r="L13" s="1575"/>
      <c r="M13" s="1576"/>
    </row>
    <row r="14" spans="1:37" ht="18" customHeight="1">
      <c r="A14" s="1110" t="s">
        <v>1002</v>
      </c>
      <c r="B14" s="305" t="s">
        <v>1382</v>
      </c>
      <c r="C14" s="321" t="e">
        <f ca="1">ROUND(INDIRECT("'数据-取费表'!l"&amp;$G$1)*F43+'数据-取费表'!L14*INDIRECT("'数据-取费表'!S"&amp;$G$1),0)</f>
        <v>#N/A</v>
      </c>
      <c r="D14" s="1528" t="s">
        <v>1383</v>
      </c>
      <c r="E14" s="1525"/>
      <c r="F14" s="322"/>
      <c r="G14" s="1567"/>
      <c r="H14" s="1110" t="s">
        <v>1003</v>
      </c>
      <c r="I14" s="305" t="s">
        <v>1384</v>
      </c>
      <c r="J14" s="23" t="e">
        <f ca="1">C29</f>
        <v>#N/A</v>
      </c>
      <c r="K14" s="14"/>
      <c r="L14" s="913"/>
      <c r="M14" s="914"/>
    </row>
    <row r="15" spans="1:37" s="1580" customFormat="1" ht="18" customHeight="1" thickBot="1">
      <c r="A15" s="1110" t="s">
        <v>1004</v>
      </c>
      <c r="B15" s="305" t="s">
        <v>1385</v>
      </c>
      <c r="C15" s="23" t="e">
        <f ca="1">ROUND(C14*F15,0)</f>
        <v>#N/A</v>
      </c>
      <c r="D15" s="323" t="s">
        <v>1386</v>
      </c>
      <c r="E15" s="323" t="s">
        <v>1387</v>
      </c>
      <c r="F15" s="324">
        <f>'数据-取费表'!B33</f>
        <v>0.03</v>
      </c>
      <c r="G15" s="1579"/>
      <c r="H15" s="1246" t="s">
        <v>1007</v>
      </c>
      <c r="I15" s="1247" t="s">
        <v>1381</v>
      </c>
      <c r="J15" s="1256" t="e">
        <f ca="1">INDIRECT("'数据-取费表'!ad"&amp;$G$1)</f>
        <v>#N/A</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t="e">
        <f ca="1">ROUND(INDIRECT("'数据-取费表'!l"&amp;$G$1)*F43*F16,0)</f>
        <v>#N/A</v>
      </c>
      <c r="D16" s="305" t="s">
        <v>1386</v>
      </c>
      <c r="E16" s="305" t="s">
        <v>1387</v>
      </c>
      <c r="F16" s="325" t="e">
        <f ca="1">IF(INDIRECT("'数据-取费表'!c"&amp;$G$1)="住宅",'数据-取费表'!B34,0)</f>
        <v>#N/A</v>
      </c>
      <c r="G16" s="1567"/>
      <c r="H16" s="1236" t="s">
        <v>998</v>
      </c>
      <c r="I16" s="1237" t="s">
        <v>1389</v>
      </c>
      <c r="J16" s="313" t="e">
        <f ca="1">ROUND(J17+J22+J23+J24,0)</f>
        <v>#N/A</v>
      </c>
      <c r="K16" s="1244" t="s">
        <v>1390</v>
      </c>
      <c r="L16" s="1245"/>
      <c r="M16" s="1201"/>
    </row>
    <row r="17" spans="1:37" s="1580" customFormat="1" ht="18" customHeight="1">
      <c r="A17" s="1110" t="s">
        <v>1355</v>
      </c>
      <c r="B17" s="305" t="s">
        <v>1391</v>
      </c>
      <c r="C17" s="23" t="e">
        <f ca="1">ROUND(F17*(F43+INDIRECT("'数据-取费表'!S"&amp;$G$1)),0)</f>
        <v>#N/A</v>
      </c>
      <c r="D17" s="305" t="s">
        <v>1392</v>
      </c>
      <c r="E17" s="305" t="s">
        <v>1393</v>
      </c>
      <c r="F17" s="25">
        <f>'数据-取费表'!B35</f>
        <v>180</v>
      </c>
      <c r="G17" s="1579"/>
      <c r="H17" s="1110" t="s">
        <v>1003</v>
      </c>
      <c r="I17" s="305"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t="e">
        <f ca="1">ROUND(C14*F18,0)</f>
        <v>#N/A</v>
      </c>
      <c r="D18" s="305" t="s">
        <v>1386</v>
      </c>
      <c r="E18" s="305" t="s">
        <v>1387</v>
      </c>
      <c r="F18" s="325">
        <f>'数据-取费表'!B36</f>
        <v>1.4999999999999999E-2</v>
      </c>
      <c r="G18" s="1579"/>
      <c r="H18" s="1110" t="s">
        <v>1002</v>
      </c>
      <c r="I18" s="305" t="s">
        <v>1398</v>
      </c>
      <c r="J18" s="23" t="e">
        <f ca="1">ROUND(J6*M18/(1+'数据-取费表'!C42),0)</f>
        <v>#N/A</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t="e">
        <f ca="1">SUM(C14:C18)</f>
        <v>#N/A</v>
      </c>
      <c r="D19" s="133" t="s">
        <v>1401</v>
      </c>
      <c r="E19" s="1543"/>
      <c r="F19" s="25"/>
      <c r="G19" s="1567"/>
      <c r="H19" s="1110" t="s">
        <v>1004</v>
      </c>
      <c r="I19" s="305" t="s">
        <v>1402</v>
      </c>
      <c r="J19" s="23" t="e">
        <f ca="1">IF(K19="按租金收入计税",ROUND(J6*M19/(1+'数据-取费表'!C42),0),ROUND(C29*M19*0.7,0))</f>
        <v>#N/A</v>
      </c>
      <c r="K19" s="1553" t="s">
        <v>1403</v>
      </c>
      <c r="L19" s="305" t="s">
        <v>1387</v>
      </c>
      <c r="M19" s="325">
        <f>IF(K19="按租金收入计税",'数据-取费表'!B51,'数据-取费表'!B50)</f>
        <v>1.2E-2</v>
      </c>
    </row>
    <row r="20" spans="1:37" s="1580" customFormat="1" ht="18" customHeight="1">
      <c r="A20" s="1110" t="s">
        <v>1007</v>
      </c>
      <c r="B20" s="305" t="s">
        <v>1404</v>
      </c>
      <c r="C20" s="23" t="e">
        <f ca="1">ROUND(C19*F20,0)</f>
        <v>#N/A</v>
      </c>
      <c r="D20" s="326" t="s">
        <v>1405</v>
      </c>
      <c r="E20" s="305" t="s">
        <v>1387</v>
      </c>
      <c r="F20" s="325">
        <f>'数据-取费表'!B37</f>
        <v>0.02</v>
      </c>
      <c r="G20" s="1579"/>
      <c r="H20" s="1110" t="s">
        <v>1354</v>
      </c>
      <c r="I20" s="157" t="s">
        <v>1406</v>
      </c>
      <c r="J20" s="24" t="e">
        <f ca="1">ROUND(M20*M21,0)</f>
        <v>#N/A</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t="e">
        <f ca="1">ROUND(J14*M22,0)</f>
        <v>#N/A</v>
      </c>
      <c r="K22" s="1527" t="s">
        <v>1415</v>
      </c>
      <c r="L22" s="305" t="s">
        <v>1387</v>
      </c>
      <c r="M22" s="331" t="e">
        <f ca="1">INDIRECT("'数据-取费表'!Ak"&amp;$G$1)</f>
        <v>#N/A</v>
      </c>
    </row>
    <row r="23" spans="1:37" s="1580" customFormat="1" ht="18" customHeight="1">
      <c r="A23" s="1110" t="s">
        <v>1002</v>
      </c>
      <c r="B23" s="305" t="s">
        <v>1416</v>
      </c>
      <c r="C23" s="23" t="e">
        <f ca="1">IF('数据-取费表'!B22&lt;=1,ROUND(C19*F24*F23/2,0)+ROUND(C20*F24*F23/2,0),ROUND(C19*(POWER((1+F24),F23/2)-1),0)+ROUND(C20*(POWER((1+F24),F23/2)-1),0))</f>
        <v>#N/A</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t="e">
        <f ca="1">ROUND(J13*M23,0)</f>
        <v>#N/A</v>
      </c>
      <c r="K23" s="1527" t="s">
        <v>1419</v>
      </c>
      <c r="L23" s="305" t="s">
        <v>1420</v>
      </c>
      <c r="M23" s="333"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t="e">
        <f ca="1">ROUND(J5*M24,0)</f>
        <v>#N/A</v>
      </c>
      <c r="K24" s="1249" t="s">
        <v>1424</v>
      </c>
      <c r="L24" s="1247" t="s">
        <v>1420</v>
      </c>
      <c r="M24" s="1243"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t="e">
        <f ca="1">J5-J16</f>
        <v>#N/A</v>
      </c>
      <c r="K25" s="1252" t="s">
        <v>1429</v>
      </c>
      <c r="L25" s="1253"/>
      <c r="M25" s="1254"/>
    </row>
    <row r="26" spans="1:37" ht="18" customHeight="1">
      <c r="A26" s="1110" t="s">
        <v>1002</v>
      </c>
      <c r="B26" s="305" t="s">
        <v>1430</v>
      </c>
      <c r="C26" s="23" t="e">
        <f ca="1">ROUND((C19+C20)*F26,0)</f>
        <v>#N/A</v>
      </c>
      <c r="D26" s="326" t="s">
        <v>1431</v>
      </c>
      <c r="E26" s="316" t="s">
        <v>1432</v>
      </c>
      <c r="F26" s="315" t="e">
        <f ca="1">INDIRECT("'数据-取费表'!q"&amp;$G$1)</f>
        <v>#N/A</v>
      </c>
      <c r="G26" s="1567"/>
      <c r="H26" s="302" t="s">
        <v>1000</v>
      </c>
      <c r="I26" s="303" t="s">
        <v>1433</v>
      </c>
      <c r="J26" s="304" t="e">
        <f ca="1">IF(J5&lt;&gt;0,ROUND(J25*(1-((1+M28)/(1+M26))^M27)/(M26-M28),0),0)</f>
        <v>#N/A</v>
      </c>
      <c r="K26" s="327" t="s">
        <v>1434</v>
      </c>
      <c r="L26" s="305" t="s">
        <v>1435</v>
      </c>
      <c r="M26" s="315" t="e">
        <f ca="1">INDIRECT("'数据-取费表'!I"&amp;$G$1)</f>
        <v>#N/A</v>
      </c>
    </row>
    <row r="27" spans="1:37" ht="18" customHeight="1">
      <c r="A27" s="1110" t="s">
        <v>1004</v>
      </c>
      <c r="B27" s="305" t="s">
        <v>1436</v>
      </c>
      <c r="C27" s="23" t="e">
        <f ca="1">ROUND(F21*F26,4)</f>
        <v>#N/A</v>
      </c>
      <c r="D27" s="326" t="s">
        <v>1437</v>
      </c>
      <c r="E27" s="323"/>
      <c r="F27" s="324"/>
      <c r="G27" s="1567"/>
      <c r="H27" s="307"/>
      <c r="I27" s="308"/>
      <c r="J27" s="309"/>
      <c r="K27" s="335" t="s">
        <v>1438</v>
      </c>
      <c r="L27" s="305" t="s">
        <v>1439</v>
      </c>
      <c r="M27" s="336" t="e">
        <f ca="1">INDIRECT("'数据-取费表'!ag"&amp;$G$1)</f>
        <v>#N/A</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t="e">
        <f ca="1">ROUND((C19+C20+C23+C26)/(1-F21-C24-C27-C28),0)</f>
        <v>#N/A</v>
      </c>
      <c r="D29" s="1249"/>
      <c r="E29" s="1247"/>
      <c r="F29" s="1250"/>
      <c r="G29" s="1579"/>
      <c r="H29" s="337" t="s">
        <v>1001</v>
      </c>
      <c r="I29" s="338" t="s">
        <v>1444</v>
      </c>
      <c r="J29" s="339" t="e">
        <f ca="1">ROUND(J26/(1+F40)^F41,0)</f>
        <v>#N/A</v>
      </c>
      <c r="K29" s="340" t="s">
        <v>1445</v>
      </c>
      <c r="L29" s="341"/>
      <c r="M29" s="342"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t="e">
        <f ca="1">ROUND(C31+C36+C37+C38,0)</f>
        <v>#N/A</v>
      </c>
      <c r="D30" s="1244" t="s">
        <v>1390</v>
      </c>
      <c r="E30" s="1245"/>
      <c r="F30" s="1201"/>
      <c r="G30" s="1567"/>
      <c r="H30" s="2925"/>
      <c r="I30" s="1581"/>
      <c r="J30" s="1582"/>
      <c r="K30" s="2700"/>
      <c r="L30" s="2926"/>
      <c r="M30" s="2927"/>
    </row>
    <row r="31" spans="1:37" ht="18" customHeight="1">
      <c r="A31" s="1110" t="s">
        <v>1003</v>
      </c>
      <c r="B31" s="305"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t="e">
        <f ca="1">IF(项目基本情况!B11="自然人","——",ROUND(C6*F32/(1+'数据-取费表'!C42),0))</f>
        <v>#N/A</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t="e">
        <f ca="1">IF(项目基本情况!B11="自然人","——",IF(D33="按租金收入计税",ROUND(C6*F33/(1+'数据-取费表'!C42),0),IF(D33="按房产原值计税",ROUND(C29*F33*0.7,0),INDIRECT("'数据-取费表'!Aj"&amp;$G$1))))</f>
        <v>#N/A</v>
      </c>
      <c r="D33" s="1553" t="s">
        <v>3088</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t="e">
        <f ca="1">IF(项目基本情况!B11="自然人","——",ROUND(F34*F35,))</f>
        <v>#N/A</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t="e">
        <f ca="1">INDIRECT("'数据-取费表'!r"&amp;$G$1)</f>
        <v>#N/A</v>
      </c>
      <c r="G35" s="1567"/>
      <c r="H35" s="2925"/>
      <c r="I35" s="1581"/>
      <c r="J35" s="1582"/>
      <c r="K35" s="2929"/>
      <c r="L35" s="2928"/>
      <c r="M35" s="2928"/>
    </row>
    <row r="36" spans="1:18" ht="18" customHeight="1">
      <c r="A36" s="1259" t="s">
        <v>1007</v>
      </c>
      <c r="B36" s="305" t="s">
        <v>1414</v>
      </c>
      <c r="C36" s="23" t="e">
        <f ca="1">ROUND(C29*F36,0)</f>
        <v>#N/A</v>
      </c>
      <c r="D36" s="1527" t="s">
        <v>1447</v>
      </c>
      <c r="E36" s="305" t="s">
        <v>1387</v>
      </c>
      <c r="F36" s="331" t="e">
        <f ca="1">INDIRECT("'数据-取费表'!Ak"&amp;$G$1)</f>
        <v>#N/A</v>
      </c>
      <c r="G36" s="1567"/>
      <c r="H36" s="2928"/>
      <c r="I36" s="1581"/>
      <c r="J36" s="1582"/>
      <c r="K36" s="2769"/>
      <c r="L36" s="2928"/>
      <c r="M36" s="2928"/>
    </row>
    <row r="37" spans="1:18" ht="18" customHeight="1">
      <c r="A37" s="1110" t="s">
        <v>1043</v>
      </c>
      <c r="B37" s="305" t="s">
        <v>1418</v>
      </c>
      <c r="C37" s="23" t="e">
        <f ca="1">ROUND(C13*F37,0)</f>
        <v>#N/A</v>
      </c>
      <c r="D37" s="1527" t="s">
        <v>1419</v>
      </c>
      <c r="E37" s="305" t="s">
        <v>1420</v>
      </c>
      <c r="F37" s="333" t="e">
        <f ca="1">INDIRECT("'数据-取费表'!Al"&amp;$G$1)</f>
        <v>#N/A</v>
      </c>
      <c r="G37" s="1567"/>
      <c r="H37" s="2928"/>
      <c r="I37" s="1581"/>
      <c r="J37" s="1582"/>
      <c r="K37" s="2769"/>
      <c r="L37" s="2928"/>
      <c r="M37" s="2928"/>
    </row>
    <row r="38" spans="1:18" ht="18" customHeight="1" thickBot="1">
      <c r="A38" s="1246" t="s">
        <v>1358</v>
      </c>
      <c r="B38" s="1247" t="s">
        <v>1404</v>
      </c>
      <c r="C38" s="1248" t="e">
        <f ca="1">ROUND(C5*F38,1)</f>
        <v>#N/A</v>
      </c>
      <c r="D38" s="1249" t="s">
        <v>1424</v>
      </c>
      <c r="E38" s="1247" t="s">
        <v>1420</v>
      </c>
      <c r="F38" s="1243" t="e">
        <f ca="1">INDIRECT("'数据-取费表'!Am"&amp;$G$1)</f>
        <v>#N/A</v>
      </c>
      <c r="G38" s="1567"/>
      <c r="H38" s="2928"/>
      <c r="I38" s="1581"/>
      <c r="J38" s="1582"/>
      <c r="K38" s="2932"/>
      <c r="L38" s="2928"/>
      <c r="M38" s="2928"/>
    </row>
    <row r="39" spans="1:18" ht="24.6" customHeight="1" thickTop="1">
      <c r="A39" s="1236" t="s">
        <v>999</v>
      </c>
      <c r="B39" s="1251" t="s">
        <v>1448</v>
      </c>
      <c r="C39" s="313" t="e">
        <f ca="1">C5-C30</f>
        <v>#N/A</v>
      </c>
      <c r="D39" s="1252" t="s">
        <v>1449</v>
      </c>
      <c r="E39" s="1253"/>
      <c r="F39" s="1254"/>
      <c r="G39" s="1567"/>
      <c r="H39" s="2928"/>
      <c r="I39" s="1581"/>
      <c r="J39" s="1582"/>
      <c r="K39" s="2932"/>
      <c r="L39" s="2928"/>
      <c r="M39" s="2928"/>
    </row>
    <row r="40" spans="1:18" ht="18" customHeight="1">
      <c r="A40" s="302" t="s">
        <v>1000</v>
      </c>
      <c r="B40" s="303" t="s">
        <v>1450</v>
      </c>
      <c r="C40" s="304" t="e">
        <f ca="1">ROUND(C39*(1-((1+F42)/(1+F40))^F41)/(F40-F42),0)</f>
        <v>#N/A</v>
      </c>
      <c r="D40" s="327" t="s">
        <v>1434</v>
      </c>
      <c r="E40" s="305" t="s">
        <v>1435</v>
      </c>
      <c r="F40" s="315" t="e">
        <f ca="1">INDIRECT("'数据-取费表'!I"&amp;$G$1)</f>
        <v>#N/A</v>
      </c>
      <c r="G40" s="1567"/>
      <c r="H40" s="1644"/>
      <c r="I40" s="1581"/>
      <c r="J40" s="1582"/>
      <c r="K40" s="2932"/>
      <c r="L40" s="1644"/>
      <c r="M40" s="1644"/>
    </row>
    <row r="41" spans="1:18" ht="18" customHeight="1">
      <c r="A41" s="307"/>
      <c r="B41" s="308"/>
      <c r="C41" s="309"/>
      <c r="D41" s="335" t="s">
        <v>1451</v>
      </c>
      <c r="E41" s="305" t="s">
        <v>1439</v>
      </c>
      <c r="F41" s="336" t="e">
        <f ca="1">IF(INDIRECT("'数据-取费表'!af"&amp;$G$1)=0,INDIRECT("'数据-取费表'!ae"&amp;$G$1),INDIRECT("'数据-取费表'!af"&amp;$G$1))</f>
        <v>#N/A</v>
      </c>
      <c r="G41" s="1567"/>
      <c r="H41" s="1350"/>
      <c r="I41" s="1581"/>
      <c r="J41" s="1582"/>
      <c r="K41" s="2769"/>
      <c r="L41" s="1350"/>
      <c r="M41" s="1350"/>
    </row>
    <row r="42" spans="1:18" ht="18" customHeight="1">
      <c r="A42" s="311"/>
      <c r="B42" s="312"/>
      <c r="C42" s="313"/>
      <c r="D42" s="330"/>
      <c r="E42" s="305" t="s">
        <v>1442</v>
      </c>
      <c r="F42" s="315" t="e">
        <f ca="1">INDIRECT("'数据-取费表'!v"&amp;$G$1)</f>
        <v>#N/A</v>
      </c>
      <c r="G42" s="1567"/>
      <c r="H42" s="1350"/>
      <c r="I42" s="1581"/>
      <c r="J42" s="1582"/>
      <c r="K42" s="2769"/>
      <c r="L42" s="1350"/>
      <c r="M42" s="1350"/>
    </row>
    <row r="43" spans="1:18" ht="18" customHeight="1" thickBot="1">
      <c r="A43" s="337" t="s">
        <v>1001</v>
      </c>
      <c r="B43" s="338" t="s">
        <v>1452</v>
      </c>
      <c r="C43" s="339" t="e">
        <f ca="1">ROUND(C40/F43,0)</f>
        <v>#N/A</v>
      </c>
      <c r="D43" s="340" t="s">
        <v>1453</v>
      </c>
      <c r="E43" s="341" t="s">
        <v>1454</v>
      </c>
      <c r="F43" s="342" t="e">
        <f ca="1">INDIRECT("'数据-取费表'!k"&amp;$G$1)</f>
        <v>#N/A</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3089</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7" t="s">
        <v>1103</v>
      </c>
      <c r="B48" s="303" t="s">
        <v>1366</v>
      </c>
      <c r="C48" s="1542" t="e">
        <f ca="1">C49+C53+C55</f>
        <v>#N/A</v>
      </c>
      <c r="D48" s="1269"/>
      <c r="E48" s="1270"/>
      <c r="F48" s="1090"/>
      <c r="G48" s="728"/>
      <c r="H48" s="729"/>
      <c r="I48" s="1604" t="s">
        <v>1495</v>
      </c>
      <c r="J48" s="1605" t="s">
        <v>3090</v>
      </c>
      <c r="K48" s="1606" t="s">
        <v>1496</v>
      </c>
      <c r="L48" s="1607" t="e">
        <f ca="1">INDIRECT("'数据-取费表'!f"&amp;$G$1)</f>
        <v>#N/A</v>
      </c>
      <c r="O48" s="1601" t="s">
        <v>1009</v>
      </c>
      <c r="P48" s="1602" t="s">
        <v>1497</v>
      </c>
      <c r="Q48" s="1603" t="e">
        <f ca="1">J60</f>
        <v>#N/A</v>
      </c>
      <c r="R48" s="1603" t="s">
        <v>1498</v>
      </c>
    </row>
    <row r="49" spans="1:18" s="1567" customFormat="1" ht="13.5" thickBot="1">
      <c r="A49" s="1103" t="s">
        <v>1104</v>
      </c>
      <c r="B49" s="1554" t="s">
        <v>1455</v>
      </c>
      <c r="C49" s="1271" t="e">
        <f ca="1">ROUND(F49*F51*F50*(1-F52),0)</f>
        <v>#N/A</v>
      </c>
      <c r="D49" s="1183" t="s">
        <v>1369</v>
      </c>
      <c r="E49" s="1555" t="s">
        <v>1456</v>
      </c>
      <c r="F49" s="1188"/>
      <c r="G49" s="1608"/>
      <c r="H49" s="729"/>
      <c r="I49" s="1604" t="s">
        <v>1499</v>
      </c>
      <c r="J49" s="1609">
        <v>2004</v>
      </c>
      <c r="K49" s="1606" t="s">
        <v>1500</v>
      </c>
      <c r="L49" s="1610"/>
      <c r="O49" s="1611" t="s">
        <v>1010</v>
      </c>
      <c r="P49" s="1602" t="s">
        <v>1501</v>
      </c>
      <c r="Q49" s="1603" t="e">
        <f ca="1">C29</f>
        <v>#N/A</v>
      </c>
      <c r="R49" s="1603" t="s">
        <v>1494</v>
      </c>
    </row>
    <row r="50" spans="1:18" s="1567" customFormat="1" ht="13.5" thickBot="1">
      <c r="A50" s="1104"/>
      <c r="B50" s="1107"/>
      <c r="C50" s="1108"/>
      <c r="D50" s="1081"/>
      <c r="E50" s="1184" t="s">
        <v>1371</v>
      </c>
      <c r="F50" s="1185" t="e">
        <f ca="1">F7</f>
        <v>#N/A</v>
      </c>
      <c r="H50" s="729"/>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5"/>
      <c r="B51" s="1107"/>
      <c r="C51" s="1108"/>
      <c r="D51" s="1081"/>
      <c r="E51" s="1109" t="s">
        <v>1372</v>
      </c>
      <c r="F51" s="306" t="e">
        <f ca="1">F8</f>
        <v>#N/A</v>
      </c>
      <c r="I51" s="1615" t="s">
        <v>1505</v>
      </c>
      <c r="J51" s="1616">
        <f>IF(J49="",J50,J49+J50-YEAR('数据-取费表'!B2))</f>
        <v>44</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t="e">
        <f ca="1">J53</f>
        <v>#N/A</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t="e">
        <f ca="1">IF(M47="住宅",IF(D1="——",MAX(J51,L48),MAX(J51,L48-'数据-取费表'!B24)),IF(D1="——",MIN(J51,L48),MIN(J51,L48-'数据-取费表'!B24)))</f>
        <v>#N/A</v>
      </c>
      <c r="K53" s="3307" t="s">
        <v>1513</v>
      </c>
      <c r="L53" s="3308"/>
      <c r="O53" s="1601" t="s">
        <v>1014</v>
      </c>
      <c r="P53" s="1602" t="s">
        <v>1514</v>
      </c>
      <c r="Q53" s="1603" t="e">
        <f ca="1">Q47+Q48</f>
        <v>#N/A</v>
      </c>
      <c r="R53" s="1603" t="s">
        <v>1015</v>
      </c>
    </row>
    <row r="54" spans="1:18" s="1567" customFormat="1" ht="13.5" thickBot="1">
      <c r="A54" s="1103"/>
      <c r="B54" s="1657" t="s">
        <v>1568</v>
      </c>
      <c r="C54" s="1087"/>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5">
        <v>2</v>
      </c>
      <c r="B56" s="1086" t="s">
        <v>1379</v>
      </c>
      <c r="C56" s="235" t="e">
        <f ca="1">C13</f>
        <v>#N/A</v>
      </c>
      <c r="D56" s="1630"/>
      <c r="E56" s="1631"/>
      <c r="F56" s="1623"/>
      <c r="I56" s="1632" t="s">
        <v>1519</v>
      </c>
      <c r="J56" s="1633" t="s">
        <v>3084</v>
      </c>
      <c r="K56" s="1604" t="s">
        <v>1520</v>
      </c>
      <c r="L56" s="1607" t="e">
        <f ca="1">IF(L48&lt;J51,"——",L48-J51)</f>
        <v>#N/A</v>
      </c>
      <c r="O56" s="1601" t="s">
        <v>1008</v>
      </c>
      <c r="P56" s="1602" t="s">
        <v>1493</v>
      </c>
      <c r="Q56" s="1603" t="e">
        <f ca="1">C40+J29</f>
        <v>#N/A</v>
      </c>
      <c r="R56" s="1603" t="s">
        <v>1494</v>
      </c>
    </row>
    <row r="57" spans="1:18" s="1567" customFormat="1" ht="24.75" thickBot="1">
      <c r="A57" s="1634"/>
      <c r="B57" s="1078" t="s">
        <v>1443</v>
      </c>
      <c r="C57" s="241"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18" t="s">
        <v>998</v>
      </c>
      <c r="B58" s="1086" t="s">
        <v>1389</v>
      </c>
      <c r="C58" s="319" t="e">
        <f ca="1">ROUND(C59+C64+C65+C66,0)</f>
        <v>#N/A</v>
      </c>
      <c r="D58" s="1088" t="s">
        <v>1390</v>
      </c>
      <c r="E58" s="1089"/>
      <c r="F58" s="1090"/>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0" t="s">
        <v>1003</v>
      </c>
      <c r="B59" s="1078" t="s">
        <v>1394</v>
      </c>
      <c r="C59" s="2533" t="e">
        <f ca="1">ROUND(IF(AND(项目基本情况!B11="自然人",项目基本情况!B10="北京市"),C49*F59/(1+'数据-取费表'!C42),C60+C61+C62),0)</f>
        <v>#N/A</v>
      </c>
      <c r="D59" s="1091" t="s">
        <v>1395</v>
      </c>
      <c r="E59" s="1092"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0" t="s">
        <v>1002</v>
      </c>
      <c r="B60" s="1078" t="s">
        <v>1398</v>
      </c>
      <c r="C60" s="23" t="e">
        <f ca="1">IF(项目基本情况!B11="自然人","——",ROUND(C48*F60/(1+'数据-取费表'!C42),0))</f>
        <v>#N/A</v>
      </c>
      <c r="D60" s="1092" t="s">
        <v>1399</v>
      </c>
      <c r="E60" s="1078" t="s">
        <v>1387</v>
      </c>
      <c r="F60" s="334">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0" t="s">
        <v>1457</v>
      </c>
      <c r="B61" s="1078" t="s">
        <v>1458</v>
      </c>
      <c r="C61" s="23" t="e">
        <f ca="1">IF(项目基本情况!B11="自然人","——",IF(D61="按租金收入计税",ROUND(C48*F61,0),IF(D61="按房产原值计税",ROUND(C57*F61*0.7,0),INDIRECT("'数据-取费表'!Aj"&amp;$G$1))))</f>
        <v>#N/A</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0" t="s">
        <v>1460</v>
      </c>
      <c r="B62" s="1077" t="s">
        <v>1461</v>
      </c>
      <c r="C62" s="24" t="e">
        <f ca="1">IF(项目基本情况!B11="自然人","——",ROUND(F62*F63,0))</f>
        <v>#N/A</v>
      </c>
      <c r="D62" s="1093" t="s">
        <v>1462</v>
      </c>
      <c r="E62" s="1078" t="s">
        <v>1463</v>
      </c>
      <c r="F62" s="328">
        <f t="shared" si="0"/>
        <v>30</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29"/>
      <c r="B63" s="1084"/>
      <c r="C63" s="28"/>
      <c r="D63" s="1094"/>
      <c r="E63" s="1078" t="s">
        <v>1464</v>
      </c>
      <c r="F63" s="306" t="e">
        <f t="shared" ca="1" si="0"/>
        <v>#N/A</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t="e">
        <f ca="1">ROUND(C57*F64,0)</f>
        <v>#N/A</v>
      </c>
      <c r="D64" s="1092" t="s">
        <v>1467</v>
      </c>
      <c r="E64" s="1078" t="s">
        <v>1459</v>
      </c>
      <c r="F64" s="331"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t="e">
        <f ca="1">ROUND(C56*F65,0)</f>
        <v>#N/A</v>
      </c>
      <c r="D65" s="1092" t="s">
        <v>1419</v>
      </c>
      <c r="E65" s="1078" t="s">
        <v>1420</v>
      </c>
      <c r="F65" s="333"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0" t="s">
        <v>1469</v>
      </c>
      <c r="B66" s="1078" t="s">
        <v>1404</v>
      </c>
      <c r="C66" s="23" t="e">
        <f ca="1">ROUND(C48*F66,0)</f>
        <v>#N/A</v>
      </c>
      <c r="D66" s="1092" t="s">
        <v>1470</v>
      </c>
      <c r="E66" s="1078" t="s">
        <v>1387</v>
      </c>
      <c r="F66" s="315" t="e">
        <f t="shared" ca="1" si="0"/>
        <v>#N/A</v>
      </c>
      <c r="O66" s="1601" t="s">
        <v>1009</v>
      </c>
      <c r="P66" s="1602" t="s">
        <v>1523</v>
      </c>
      <c r="Q66" s="1603" t="e">
        <f ca="1">L60</f>
        <v>#N/A</v>
      </c>
      <c r="R66" s="1603" t="s">
        <v>1546</v>
      </c>
    </row>
    <row r="67" spans="1:18" s="1567" customFormat="1" ht="16.5" thickBot="1">
      <c r="A67" s="1085" t="s">
        <v>999</v>
      </c>
      <c r="B67" s="1095" t="s">
        <v>1428</v>
      </c>
      <c r="C67" s="319" t="e">
        <f ca="1">C48-C58</f>
        <v>#N/A</v>
      </c>
      <c r="D67" s="1091" t="s">
        <v>1429</v>
      </c>
      <c r="E67" s="1096"/>
      <c r="F67" s="1097"/>
      <c r="O67" s="1611" t="s">
        <v>1010</v>
      </c>
      <c r="P67" s="1602" t="s">
        <v>1527</v>
      </c>
      <c r="Q67" s="1649" t="e">
        <f ca="1">L51</f>
        <v>#N/A</v>
      </c>
      <c r="R67" s="1603" t="s">
        <v>1547</v>
      </c>
    </row>
    <row r="68" spans="1:18" s="1567" customFormat="1" ht="16.5" thickBot="1">
      <c r="A68" s="1075" t="s">
        <v>1000</v>
      </c>
      <c r="B68" s="1076" t="s">
        <v>1450</v>
      </c>
      <c r="C68" s="304" t="e">
        <f ca="1">ROUND(C67*(1-((1+F70)/(1+F68))^F69)/(F68-F70),0)</f>
        <v>#N/A</v>
      </c>
      <c r="D68" s="1093" t="s">
        <v>1434</v>
      </c>
      <c r="E68" s="1078" t="s">
        <v>1435</v>
      </c>
      <c r="F68" s="315" t="e">
        <f ca="1">F40</f>
        <v>#N/A</v>
      </c>
      <c r="O68" s="1611" t="s">
        <v>1011</v>
      </c>
      <c r="P68" s="1650" t="s">
        <v>1548</v>
      </c>
      <c r="Q68" s="1603" t="e">
        <f ca="1">ROUND(Q69-Q70*Q71,0)</f>
        <v>#N/A</v>
      </c>
      <c r="R68" s="1603" t="s">
        <v>1019</v>
      </c>
    </row>
    <row r="69" spans="1:18" s="1567" customFormat="1" ht="13.5" thickBot="1">
      <c r="A69" s="1079"/>
      <c r="B69" s="1080"/>
      <c r="C69" s="309"/>
      <c r="D69" s="1098" t="s">
        <v>1438</v>
      </c>
      <c r="E69" s="1078" t="s">
        <v>1439</v>
      </c>
      <c r="F69" s="336" t="e">
        <f ca="1">F41</f>
        <v>#N/A</v>
      </c>
      <c r="O69" s="1611" t="s">
        <v>1016</v>
      </c>
      <c r="P69" s="1650" t="s">
        <v>1549</v>
      </c>
      <c r="Q69" s="1603" t="e">
        <f ca="1">C39</f>
        <v>#N/A</v>
      </c>
      <c r="R69" s="1603" t="s">
        <v>1494</v>
      </c>
    </row>
    <row r="70" spans="1:18" s="1567" customFormat="1" ht="13.5" thickBot="1">
      <c r="A70" s="1082"/>
      <c r="B70" s="1083"/>
      <c r="C70" s="313"/>
      <c r="D70" s="1094"/>
      <c r="E70" s="1078" t="s">
        <v>1442</v>
      </c>
      <c r="F70" s="1182" t="e">
        <f ca="1">F42</f>
        <v>#N/A</v>
      </c>
      <c r="O70" s="1611" t="s">
        <v>1017</v>
      </c>
      <c r="P70" s="1650" t="s">
        <v>1550</v>
      </c>
      <c r="Q70" s="1603" t="e">
        <f ca="1">C13</f>
        <v>#N/A</v>
      </c>
      <c r="R70" s="1603" t="s">
        <v>1494</v>
      </c>
    </row>
    <row r="71" spans="1:18" s="1567" customFormat="1" ht="13.5" thickBot="1">
      <c r="A71" s="1099" t="s">
        <v>1001</v>
      </c>
      <c r="B71" s="1100" t="s">
        <v>1452</v>
      </c>
      <c r="C71" s="339" t="e">
        <f ca="1">ROUND(C68/F71,0)</f>
        <v>#N/A</v>
      </c>
      <c r="D71" s="1101" t="s">
        <v>1453</v>
      </c>
      <c r="E71" s="1102" t="s">
        <v>1454</v>
      </c>
      <c r="F71" s="342" t="e">
        <f ca="1">F43</f>
        <v>#N/A</v>
      </c>
      <c r="O71" s="1611" t="s">
        <v>1018</v>
      </c>
      <c r="P71" s="1650" t="s">
        <v>1551</v>
      </c>
      <c r="Q71" s="1614" t="e">
        <f ca="1">C76</f>
        <v>#N/A</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#N/A</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3" t="s">
        <v>1471</v>
      </c>
      <c r="C75" s="344" t="e">
        <f ca="1">ROUND(C13*C76,0)</f>
        <v>#N/A</v>
      </c>
      <c r="D75" s="1567"/>
      <c r="E75" s="1567"/>
      <c r="F75" s="1567"/>
      <c r="K75" s="1585"/>
      <c r="L75" s="1567"/>
      <c r="O75" s="1601" t="s">
        <v>1014</v>
      </c>
      <c r="P75" s="1602" t="s">
        <v>1514</v>
      </c>
      <c r="Q75" s="1603" t="e">
        <f ca="1">Q65+Q66</f>
        <v>#N/A</v>
      </c>
      <c r="R75" s="1603" t="s">
        <v>1015</v>
      </c>
    </row>
    <row r="76" spans="1:18">
      <c r="B76" s="345" t="s">
        <v>1472</v>
      </c>
      <c r="C76" s="346" t="e">
        <f ca="1">INDIRECT("'数据-取费表'!j"&amp;$G$1)</f>
        <v>#N/A</v>
      </c>
      <c r="I76" s="1567"/>
      <c r="J76" s="1567"/>
      <c r="K76" s="1585"/>
      <c r="L76" s="1567"/>
    </row>
    <row r="77" spans="1:18">
      <c r="B77" s="347" t="s">
        <v>1473</v>
      </c>
      <c r="C77" s="348"/>
      <c r="I77" s="1567"/>
      <c r="J77" s="1567"/>
      <c r="K77" s="1585"/>
      <c r="L77" s="1567"/>
    </row>
    <row r="78" spans="1:18">
      <c r="B78" s="273" t="s">
        <v>1474</v>
      </c>
      <c r="C78" s="349"/>
    </row>
    <row r="79" spans="1:18">
      <c r="B79" s="343" t="s">
        <v>1475</v>
      </c>
      <c r="C79" s="277" t="e">
        <f ca="1">1-C80</f>
        <v>#N/A</v>
      </c>
    </row>
    <row r="80" spans="1:18">
      <c r="B80" s="343" t="s">
        <v>1476</v>
      </c>
      <c r="C80" s="277" t="e">
        <f ca="1">ROUND(C75/C39,3)</f>
        <v>#N/A</v>
      </c>
    </row>
    <row r="81" spans="2:3">
      <c r="B81" s="273" t="s">
        <v>1477</v>
      </c>
      <c r="C81" s="241"/>
    </row>
    <row r="82" spans="2:3">
      <c r="B82" s="276" t="s">
        <v>1478</v>
      </c>
      <c r="C82" s="278" t="e">
        <f ca="1">1-C83</f>
        <v>#N/A</v>
      </c>
    </row>
    <row r="83" spans="2:3">
      <c r="B83" s="276" t="s">
        <v>1479</v>
      </c>
      <c r="C83" s="277"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13221</v>
      </c>
      <c r="C2" s="2057" t="s">
        <v>2341</v>
      </c>
      <c r="D2" s="2058" t="s">
        <v>2342</v>
      </c>
      <c r="E2" s="2832">
        <f>SUM(E6:E13)</f>
        <v>8684.6199999999972</v>
      </c>
      <c r="F2" s="2935"/>
      <c r="G2" s="1673"/>
      <c r="H2" s="1673"/>
      <c r="I2" s="1673"/>
      <c r="J2" s="1673"/>
      <c r="K2" s="1673"/>
      <c r="L2" s="1673"/>
      <c r="M2" s="1673"/>
      <c r="N2" s="1673"/>
      <c r="O2" s="1673"/>
      <c r="P2" s="1673"/>
      <c r="Q2" s="1673"/>
      <c r="R2" s="1673"/>
      <c r="S2" s="1673"/>
    </row>
    <row r="3" spans="1:22" ht="15.75">
      <c r="A3" s="2055" t="s">
        <v>1360</v>
      </c>
      <c r="B3" s="2826">
        <f ca="1">ROUND(B2*10000/E2,0)</f>
        <v>15223</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12" t="s">
        <v>2344</v>
      </c>
      <c r="C5" s="3313"/>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13221</v>
      </c>
      <c r="C6" s="2057" t="s">
        <v>2341</v>
      </c>
      <c r="D6" s="2937"/>
      <c r="E6" s="2831">
        <f>IF(OR(A6=0,F6="否"),0,'数据-取费表'!K6+'数据-取费表'!S6)</f>
        <v>8684.6199999999972</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20" t="s">
        <v>1045</v>
      </c>
      <c r="B2" s="3321" t="s">
        <v>1046</v>
      </c>
      <c r="C2" s="3321"/>
      <c r="D2" s="1208" t="s">
        <v>1047</v>
      </c>
      <c r="E2" s="1208" t="s">
        <v>1048</v>
      </c>
      <c r="F2" s="1208" t="s">
        <v>1049</v>
      </c>
      <c r="G2" s="1208" t="s">
        <v>1050</v>
      </c>
      <c r="H2" s="1208" t="s">
        <v>1051</v>
      </c>
      <c r="I2" s="1209" t="s">
        <v>1052</v>
      </c>
    </row>
    <row r="3" spans="1:9">
      <c r="A3" s="3320"/>
      <c r="B3" s="3321" t="s">
        <v>1053</v>
      </c>
      <c r="C3" s="3321"/>
      <c r="D3" s="1210"/>
      <c r="E3" s="1208"/>
      <c r="F3" s="1211"/>
      <c r="G3" s="1211"/>
      <c r="H3" s="1212"/>
      <c r="I3" s="1213">
        <f>ROUND(D3*E3*F3*G3*H3/10000,0)</f>
        <v>0</v>
      </c>
    </row>
    <row r="4" spans="1:9">
      <c r="A4" s="3320"/>
      <c r="B4" s="3321" t="s">
        <v>1054</v>
      </c>
      <c r="C4" s="3321"/>
      <c r="D4" s="1210"/>
      <c r="E4" s="1208"/>
      <c r="F4" s="1211"/>
      <c r="G4" s="1211"/>
      <c r="H4" s="1212"/>
      <c r="I4" s="1213">
        <f t="shared" ref="I4:I9" si="0">ROUND(D4*E4*F4*G4*H4/10000,0)</f>
        <v>0</v>
      </c>
    </row>
    <row r="5" spans="1:9">
      <c r="A5" s="3320"/>
      <c r="B5" s="3321" t="s">
        <v>1055</v>
      </c>
      <c r="C5" s="3321"/>
      <c r="D5" s="1210"/>
      <c r="E5" s="1208"/>
      <c r="F5" s="1211"/>
      <c r="G5" s="1211"/>
      <c r="H5" s="1212"/>
      <c r="I5" s="1213">
        <f t="shared" si="0"/>
        <v>0</v>
      </c>
    </row>
    <row r="6" spans="1:9">
      <c r="A6" s="3320"/>
      <c r="B6" s="3321" t="s">
        <v>1056</v>
      </c>
      <c r="C6" s="3321"/>
      <c r="D6" s="1210"/>
      <c r="E6" s="1208"/>
      <c r="F6" s="1211"/>
      <c r="G6" s="1211"/>
      <c r="H6" s="1212"/>
      <c r="I6" s="1213">
        <f t="shared" si="0"/>
        <v>0</v>
      </c>
    </row>
    <row r="7" spans="1:9">
      <c r="A7" s="3320"/>
      <c r="B7" s="3321" t="s">
        <v>1057</v>
      </c>
      <c r="C7" s="3321"/>
      <c r="D7" s="1210"/>
      <c r="E7" s="1208"/>
      <c r="F7" s="1211"/>
      <c r="G7" s="1211"/>
      <c r="H7" s="1212"/>
      <c r="I7" s="1213">
        <f t="shared" si="0"/>
        <v>0</v>
      </c>
    </row>
    <row r="8" spans="1:9">
      <c r="A8" s="3320"/>
      <c r="B8" s="3321" t="s">
        <v>1058</v>
      </c>
      <c r="C8" s="3321"/>
      <c r="D8" s="1210"/>
      <c r="E8" s="1208"/>
      <c r="F8" s="1211"/>
      <c r="G8" s="1211"/>
      <c r="H8" s="1212"/>
      <c r="I8" s="1213">
        <f t="shared" si="0"/>
        <v>0</v>
      </c>
    </row>
    <row r="9" spans="1:9">
      <c r="A9" s="3320"/>
      <c r="B9" s="3321" t="s">
        <v>1059</v>
      </c>
      <c r="C9" s="3321"/>
      <c r="D9" s="1210"/>
      <c r="E9" s="1208"/>
      <c r="F9" s="1211"/>
      <c r="G9" s="1211"/>
      <c r="H9" s="1212"/>
      <c r="I9" s="1213">
        <f t="shared" si="0"/>
        <v>0</v>
      </c>
    </row>
    <row r="10" spans="1:9">
      <c r="A10" s="3320"/>
      <c r="B10" s="3322" t="s">
        <v>1060</v>
      </c>
      <c r="C10" s="3322"/>
      <c r="D10" s="1214"/>
      <c r="E10" s="1214" t="e">
        <f>ROUND(D1*10000/D10/H9,0)</f>
        <v>#DIV/0!</v>
      </c>
      <c r="F10" s="1215"/>
      <c r="G10" s="1215"/>
      <c r="H10" s="1216"/>
      <c r="I10" s="1217">
        <f>SUM(I3:I9)</f>
        <v>0</v>
      </c>
    </row>
    <row r="11" spans="1:9" ht="14.25">
      <c r="A11" s="3320" t="s">
        <v>1061</v>
      </c>
      <c r="B11" s="3321" t="s">
        <v>1062</v>
      </c>
      <c r="C11" s="3321"/>
      <c r="D11" s="1210" t="s">
        <v>1063</v>
      </c>
      <c r="E11" s="1210" t="s">
        <v>1064</v>
      </c>
      <c r="F11" s="1211" t="s">
        <v>1065</v>
      </c>
      <c r="G11" s="1211" t="s">
        <v>1051</v>
      </c>
      <c r="H11" s="1218" t="s">
        <v>1066</v>
      </c>
      <c r="I11" s="1209" t="s">
        <v>1052</v>
      </c>
    </row>
    <row r="12" spans="1:9">
      <c r="A12" s="3320"/>
      <c r="B12" s="3321" t="s">
        <v>1067</v>
      </c>
      <c r="C12" s="3321"/>
      <c r="D12" s="1210"/>
      <c r="E12" s="1210"/>
      <c r="F12" s="1211"/>
      <c r="G12" s="1212"/>
      <c r="H12" s="1219"/>
      <c r="I12" s="1209">
        <f>ROUND(D12*E12*F12*G12/10000,0)</f>
        <v>0</v>
      </c>
    </row>
    <row r="13" spans="1:9">
      <c r="A13" s="3320"/>
      <c r="B13" s="3321" t="s">
        <v>1068</v>
      </c>
      <c r="C13" s="3321"/>
      <c r="D13" s="1210"/>
      <c r="E13" s="1210"/>
      <c r="F13" s="1211"/>
      <c r="G13" s="1212"/>
      <c r="H13" s="1219"/>
      <c r="I13" s="1209">
        <f>ROUND(D13*E13*F13*G13/10000,0)</f>
        <v>0</v>
      </c>
    </row>
    <row r="14" spans="1:9">
      <c r="A14" s="3320"/>
      <c r="B14" s="3321" t="s">
        <v>1069</v>
      </c>
      <c r="C14" s="3321"/>
      <c r="D14" s="1210"/>
      <c r="E14" s="1210"/>
      <c r="F14" s="1211"/>
      <c r="G14" s="1212"/>
      <c r="H14" s="1219"/>
      <c r="I14" s="1209">
        <f>ROUND(D14*E14*F14*G14/10000,0)</f>
        <v>0</v>
      </c>
    </row>
    <row r="15" spans="1:9">
      <c r="A15" s="3320"/>
      <c r="B15" s="3322" t="s">
        <v>1060</v>
      </c>
      <c r="C15" s="3322"/>
      <c r="D15" s="1214"/>
      <c r="E15" s="1214">
        <f>SUM(E12:E14)</f>
        <v>0</v>
      </c>
      <c r="F15" s="1215"/>
      <c r="G15" s="1212"/>
      <c r="H15" s="1219"/>
      <c r="I15" s="1220">
        <f>SUM(I12:I14)</f>
        <v>0</v>
      </c>
    </row>
    <row r="16" spans="1:9" ht="24">
      <c r="A16" s="3320" t="s">
        <v>1070</v>
      </c>
      <c r="B16" s="3321" t="s">
        <v>1071</v>
      </c>
      <c r="C16" s="3321"/>
      <c r="D16" s="1210" t="s">
        <v>1047</v>
      </c>
      <c r="E16" s="1221" t="s">
        <v>1072</v>
      </c>
      <c r="F16" s="1211" t="s">
        <v>1073</v>
      </c>
      <c r="G16" s="1212" t="s">
        <v>1051</v>
      </c>
      <c r="H16" s="1218" t="s">
        <v>1066</v>
      </c>
      <c r="I16" s="1209" t="s">
        <v>1052</v>
      </c>
    </row>
    <row r="17" spans="1:9" ht="14.25">
      <c r="A17" s="3320"/>
      <c r="B17" s="3321" t="s">
        <v>1074</v>
      </c>
      <c r="C17" s="3321"/>
      <c r="D17" s="1210"/>
      <c r="E17" s="1210"/>
      <c r="F17" s="1211"/>
      <c r="G17" s="1212"/>
      <c r="H17" s="1222"/>
      <c r="I17" s="1223">
        <f>ROUND(D17*E17*F17*G17/10000,0)</f>
        <v>0</v>
      </c>
    </row>
    <row r="18" spans="1:9" ht="14.25">
      <c r="A18" s="3320"/>
      <c r="B18" s="3321" t="s">
        <v>1075</v>
      </c>
      <c r="C18" s="3321"/>
      <c r="D18" s="1210"/>
      <c r="E18" s="1210"/>
      <c r="F18" s="1211"/>
      <c r="G18" s="1212"/>
      <c r="H18" s="1222"/>
      <c r="I18" s="1223">
        <f>ROUND(D18*E18*F18*G18/10000,0)</f>
        <v>0</v>
      </c>
    </row>
    <row r="19" spans="1:9" ht="14.25">
      <c r="A19" s="3320"/>
      <c r="B19" s="3321" t="s">
        <v>1076</v>
      </c>
      <c r="C19" s="3321"/>
      <c r="D19" s="1210"/>
      <c r="E19" s="1210"/>
      <c r="F19" s="1211"/>
      <c r="G19" s="1212"/>
      <c r="H19" s="1222"/>
      <c r="I19" s="1223">
        <f>ROUND(D19*E19*F19*G19/10000,0)</f>
        <v>0</v>
      </c>
    </row>
    <row r="20" spans="1:9">
      <c r="A20" s="3320"/>
      <c r="B20" s="3322" t="s">
        <v>1060</v>
      </c>
      <c r="C20" s="3322"/>
      <c r="D20" s="1214">
        <f>SUM(D17:D19)</f>
        <v>0</v>
      </c>
      <c r="E20" s="1214"/>
      <c r="F20" s="1215"/>
      <c r="G20" s="1212"/>
      <c r="H20" s="1219"/>
      <c r="I20" s="1220">
        <f>SUM(I17:I19)</f>
        <v>0</v>
      </c>
    </row>
    <row r="21" spans="1:9">
      <c r="A21" s="3320" t="s">
        <v>1077</v>
      </c>
      <c r="B21" s="3323"/>
      <c r="C21" s="3323"/>
      <c r="D21" s="3323"/>
      <c r="E21" s="3323"/>
      <c r="F21" s="3323"/>
      <c r="G21" s="3323"/>
      <c r="H21" s="1501">
        <v>0.1</v>
      </c>
      <c r="I21" s="1217">
        <f>ROUND(I10*H21,0)</f>
        <v>0</v>
      </c>
    </row>
    <row r="22" spans="1:9" ht="14.25">
      <c r="A22" s="3324" t="s">
        <v>1078</v>
      </c>
      <c r="B22" s="3325"/>
      <c r="C22" s="3326"/>
      <c r="D22" s="1224" t="s">
        <v>1079</v>
      </c>
      <c r="E22" s="1224" t="s">
        <v>1080</v>
      </c>
      <c r="F22" s="1225" t="s">
        <v>1081</v>
      </c>
      <c r="G22" s="1225" t="s">
        <v>1082</v>
      </c>
      <c r="H22" s="1218" t="s">
        <v>1083</v>
      </c>
      <c r="I22" s="1209" t="s">
        <v>1084</v>
      </c>
    </row>
    <row r="23" spans="1:9" ht="14.25" thickBot="1">
      <c r="A23" s="3327"/>
      <c r="B23" s="3328"/>
      <c r="C23" s="3329"/>
      <c r="D23" s="1226"/>
      <c r="E23" s="1226"/>
      <c r="F23" s="1226"/>
      <c r="G23" s="1227"/>
      <c r="H23" s="1228"/>
      <c r="I23" s="1229">
        <f>ROUND(E23*D23*F23*(1-G23)/10000,0)</f>
        <v>0</v>
      </c>
    </row>
    <row r="26" spans="1:9">
      <c r="A26" s="1230" t="s">
        <v>1085</v>
      </c>
      <c r="B26" s="1230"/>
      <c r="C26" s="1230"/>
      <c r="D26" s="1230"/>
      <c r="E26" s="3317">
        <f>C27-C30-C31-C32</f>
        <v>0</v>
      </c>
      <c r="F26" s="3317"/>
      <c r="G26" s="3317"/>
      <c r="H26" s="1498" t="s">
        <v>1306</v>
      </c>
    </row>
    <row r="27" spans="1:9">
      <c r="A27" s="1231">
        <v>1</v>
      </c>
      <c r="B27" s="1232" t="s">
        <v>1086</v>
      </c>
      <c r="C27" s="1232">
        <f>C28+C29</f>
        <v>0</v>
      </c>
      <c r="D27" s="1232"/>
      <c r="E27" s="3318"/>
      <c r="F27" s="3318"/>
      <c r="G27" s="3318"/>
    </row>
    <row r="28" spans="1:9">
      <c r="A28" s="1233" t="s">
        <v>1087</v>
      </c>
      <c r="B28" s="1232" t="s">
        <v>1088</v>
      </c>
      <c r="C28" s="1232"/>
      <c r="D28" s="1232"/>
      <c r="E28" s="3318"/>
      <c r="F28" s="3318"/>
      <c r="G28" s="331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19"/>
      <c r="F32" s="3319"/>
      <c r="G32" s="3319"/>
    </row>
    <row r="33" spans="1:7" hidden="1">
      <c r="A33" s="3314" t="s">
        <v>1097</v>
      </c>
      <c r="B33" s="3315"/>
      <c r="C33" s="3315"/>
      <c r="D33" s="3316"/>
      <c r="E33" s="3317"/>
      <c r="F33" s="3317"/>
      <c r="G33" s="3317"/>
    </row>
    <row r="34" spans="1:7" hidden="1">
      <c r="A34" s="1235">
        <v>1</v>
      </c>
      <c r="B34" s="1232" t="s">
        <v>1098</v>
      </c>
      <c r="C34" s="1232"/>
      <c r="D34" s="1232"/>
      <c r="E34" s="3318"/>
      <c r="F34" s="3318"/>
      <c r="G34" s="3318"/>
    </row>
    <row r="35" spans="1:7" hidden="1">
      <c r="A35" s="1235">
        <v>2</v>
      </c>
      <c r="B35" s="1232" t="s">
        <v>1099</v>
      </c>
      <c r="C35" s="1232"/>
      <c r="D35" s="1232"/>
      <c r="E35" s="3318"/>
      <c r="F35" s="3318"/>
      <c r="G35" s="3318"/>
    </row>
    <row r="36" spans="1:7" hidden="1">
      <c r="A36" s="1235">
        <v>3</v>
      </c>
      <c r="B36" s="1232" t="s">
        <v>1100</v>
      </c>
      <c r="C36" s="1232"/>
      <c r="D36" s="1232"/>
      <c r="E36" s="3318"/>
      <c r="F36" s="3318"/>
      <c r="G36" s="3318"/>
    </row>
    <row r="37" spans="1:7" hidden="1">
      <c r="A37" s="1235">
        <v>4</v>
      </c>
      <c r="B37" s="1232" t="s">
        <v>1101</v>
      </c>
      <c r="C37" s="1232"/>
      <c r="D37" s="1232"/>
      <c r="E37" s="3318"/>
      <c r="F37" s="3318"/>
      <c r="G37" s="3318"/>
    </row>
    <row r="38" spans="1:7" hidden="1">
      <c r="A38" s="3314" t="s">
        <v>1102</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8684.6199999999972</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68" t="s">
        <v>2358</v>
      </c>
      <c r="D4" s="3281"/>
      <c r="E4" s="3282" t="s">
        <v>2359</v>
      </c>
      <c r="F4" s="3283"/>
      <c r="G4" s="3268" t="s">
        <v>2360</v>
      </c>
      <c r="H4" s="3281"/>
      <c r="I4" s="3268" t="s">
        <v>2361</v>
      </c>
      <c r="J4" s="3281"/>
      <c r="K4" s="2074" t="s">
        <v>2362</v>
      </c>
      <c r="L4" s="2943"/>
      <c r="M4" s="2944"/>
      <c r="N4" s="2944"/>
      <c r="O4" s="2944"/>
      <c r="P4" s="3284" t="s">
        <v>2363</v>
      </c>
      <c r="Q4" s="3285"/>
      <c r="R4" s="3290" t="s">
        <v>2359</v>
      </c>
      <c r="S4" s="3291"/>
      <c r="T4" s="3290" t="s">
        <v>2360</v>
      </c>
      <c r="U4" s="3291"/>
      <c r="V4" s="3277" t="s">
        <v>2361</v>
      </c>
      <c r="W4" s="3277"/>
      <c r="X4" s="1538"/>
      <c r="Y4" s="3290" t="s">
        <v>2363</v>
      </c>
      <c r="Z4" s="3291"/>
      <c r="AA4" s="3278" t="s">
        <v>2359</v>
      </c>
      <c r="AB4" s="3278" t="s">
        <v>2360</v>
      </c>
      <c r="AC4" s="3278" t="s">
        <v>2361</v>
      </c>
    </row>
    <row r="5" spans="1:29" ht="15">
      <c r="A5" s="361"/>
      <c r="B5" s="362"/>
      <c r="C5" s="3298" t="s">
        <v>2364</v>
      </c>
      <c r="D5" s="3299"/>
      <c r="E5" s="3305" t="s">
        <v>2365</v>
      </c>
      <c r="F5" s="3306"/>
      <c r="G5" s="3298" t="s">
        <v>2366</v>
      </c>
      <c r="H5" s="3299"/>
      <c r="I5" s="3298" t="s">
        <v>2367</v>
      </c>
      <c r="J5" s="3299"/>
      <c r="K5" s="2075"/>
      <c r="L5" s="2943"/>
      <c r="M5" s="2944"/>
      <c r="N5" s="2944"/>
      <c r="O5" s="2944"/>
      <c r="P5" s="3286"/>
      <c r="Q5" s="3287"/>
      <c r="R5" s="3292"/>
      <c r="S5" s="3293"/>
      <c r="T5" s="3292"/>
      <c r="U5" s="3293"/>
      <c r="V5" s="3277"/>
      <c r="W5" s="3277"/>
      <c r="X5" s="1538"/>
      <c r="Y5" s="3292"/>
      <c r="Z5" s="3293"/>
      <c r="AA5" s="3279"/>
      <c r="AB5" s="3279"/>
      <c r="AC5" s="3279"/>
    </row>
    <row r="6" spans="1:29" ht="15.75" thickBot="1">
      <c r="A6" s="363"/>
      <c r="B6" s="364"/>
      <c r="C6" s="3296" t="s">
        <v>2368</v>
      </c>
      <c r="D6" s="3297"/>
      <c r="E6" s="3303" t="s">
        <v>2368</v>
      </c>
      <c r="F6" s="3304"/>
      <c r="G6" s="3296" t="s">
        <v>2368</v>
      </c>
      <c r="H6" s="3297"/>
      <c r="I6" s="3296" t="s">
        <v>2368</v>
      </c>
      <c r="J6" s="3297"/>
      <c r="K6" s="2075" t="s">
        <v>2369</v>
      </c>
      <c r="L6" s="2943"/>
      <c r="M6" s="2944"/>
      <c r="N6" s="2944"/>
      <c r="O6" s="2944"/>
      <c r="P6" s="3288"/>
      <c r="Q6" s="3289"/>
      <c r="R6" s="3292"/>
      <c r="S6" s="3293"/>
      <c r="T6" s="3294"/>
      <c r="U6" s="3295"/>
      <c r="V6" s="3277"/>
      <c r="W6" s="3277"/>
      <c r="X6" s="1538"/>
      <c r="Y6" s="3294"/>
      <c r="Z6" s="3295"/>
      <c r="AA6" s="3280"/>
      <c r="AB6" s="3280"/>
      <c r="AC6" s="3280"/>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300" t="s">
        <v>2371</v>
      </c>
      <c r="Q7" s="3302"/>
      <c r="R7" s="707" t="s">
        <v>23</v>
      </c>
      <c r="S7" s="708">
        <f t="shared" ref="S7:S15" si="0">F7</f>
        <v>0</v>
      </c>
      <c r="T7" s="707" t="s">
        <v>23</v>
      </c>
      <c r="U7" s="708">
        <f t="shared" ref="U7:U15" si="1">H7</f>
        <v>0</v>
      </c>
      <c r="V7" s="707" t="s">
        <v>23</v>
      </c>
      <c r="W7" s="708">
        <f t="shared" ref="W7:W15" si="2">J7</f>
        <v>0</v>
      </c>
      <c r="X7" s="709"/>
      <c r="Y7" s="3300" t="s">
        <v>2371</v>
      </c>
      <c r="Z7" s="3301"/>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300" t="s">
        <v>2374</v>
      </c>
      <c r="Q8" s="3301"/>
      <c r="R8" s="707" t="s">
        <v>23</v>
      </c>
      <c r="S8" s="708">
        <f t="shared" si="0"/>
        <v>0</v>
      </c>
      <c r="T8" s="707" t="s">
        <v>23</v>
      </c>
      <c r="U8" s="708">
        <f t="shared" si="1"/>
        <v>0</v>
      </c>
      <c r="V8" s="707" t="s">
        <v>23</v>
      </c>
      <c r="W8" s="708">
        <f t="shared" si="2"/>
        <v>0</v>
      </c>
      <c r="X8" s="709"/>
      <c r="Y8" s="3300" t="s">
        <v>2374</v>
      </c>
      <c r="Z8" s="3301"/>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70"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70"/>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70"/>
      <c r="Q11" s="1526" t="str">
        <f t="shared" si="6"/>
        <v>容积率</v>
      </c>
      <c r="R11" s="707" t="s">
        <v>21</v>
      </c>
      <c r="S11" s="708" t="e">
        <f t="shared" si="0"/>
        <v>#N/A</v>
      </c>
      <c r="T11" s="707" t="s">
        <v>21</v>
      </c>
      <c r="U11" s="708" t="e">
        <f t="shared" si="1"/>
        <v>#N/A</v>
      </c>
      <c r="V11" s="707" t="s">
        <v>21</v>
      </c>
      <c r="W11" s="708" t="e">
        <f t="shared" si="2"/>
        <v>#N/A</v>
      </c>
      <c r="X11" s="709"/>
      <c r="Y11" s="3161"/>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70"/>
      <c r="Q12" s="1526">
        <f t="shared" si="6"/>
        <v>111</v>
      </c>
      <c r="R12" s="707" t="s">
        <v>21</v>
      </c>
      <c r="S12" s="708">
        <f t="shared" si="0"/>
        <v>100</v>
      </c>
      <c r="T12" s="707" t="s">
        <v>21</v>
      </c>
      <c r="U12" s="708">
        <f t="shared" si="1"/>
        <v>100</v>
      </c>
      <c r="V12" s="707" t="s">
        <v>21</v>
      </c>
      <c r="W12" s="708">
        <f t="shared" si="2"/>
        <v>100</v>
      </c>
      <c r="X12" s="709"/>
      <c r="Y12" s="3161"/>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70"/>
      <c r="Q13" s="1526">
        <f t="shared" si="6"/>
        <v>111</v>
      </c>
      <c r="R13" s="707" t="s">
        <v>21</v>
      </c>
      <c r="S13" s="708">
        <f t="shared" si="0"/>
        <v>100</v>
      </c>
      <c r="T13" s="707" t="s">
        <v>21</v>
      </c>
      <c r="U13" s="708">
        <f t="shared" si="1"/>
        <v>100</v>
      </c>
      <c r="V13" s="707" t="s">
        <v>21</v>
      </c>
      <c r="W13" s="708">
        <f t="shared" si="2"/>
        <v>100</v>
      </c>
      <c r="X13" s="709"/>
      <c r="Y13" s="3161"/>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70"/>
      <c r="Q14" s="1526">
        <f t="shared" si="6"/>
        <v>111</v>
      </c>
      <c r="R14" s="707" t="s">
        <v>21</v>
      </c>
      <c r="S14" s="708">
        <f t="shared" si="0"/>
        <v>100</v>
      </c>
      <c r="T14" s="707" t="s">
        <v>21</v>
      </c>
      <c r="U14" s="708">
        <f t="shared" si="1"/>
        <v>100</v>
      </c>
      <c r="V14" s="707" t="s">
        <v>21</v>
      </c>
      <c r="W14" s="708">
        <f t="shared" si="2"/>
        <v>100</v>
      </c>
      <c r="X14" s="709"/>
      <c r="Y14" s="3161"/>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41" t="s">
        <v>2382</v>
      </c>
      <c r="Q15" s="1535" t="str">
        <f t="shared" si="6"/>
        <v>居住社区成熟度</v>
      </c>
      <c r="R15" s="711" t="s">
        <v>21</v>
      </c>
      <c r="S15" s="712">
        <f t="shared" si="0"/>
        <v>100</v>
      </c>
      <c r="T15" s="711" t="s">
        <v>21</v>
      </c>
      <c r="U15" s="712">
        <f t="shared" si="1"/>
        <v>100</v>
      </c>
      <c r="V15" s="711" t="s">
        <v>21</v>
      </c>
      <c r="W15" s="712">
        <f t="shared" si="2"/>
        <v>100</v>
      </c>
      <c r="X15" s="1538"/>
      <c r="Y15" s="3273"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42"/>
      <c r="Q16" s="1535"/>
      <c r="R16" s="711"/>
      <c r="S16" s="712"/>
      <c r="T16" s="711"/>
      <c r="U16" s="712"/>
      <c r="V16" s="711"/>
      <c r="W16" s="712"/>
      <c r="X16" s="1538"/>
      <c r="Y16" s="3274"/>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42"/>
      <c r="Q17" s="1535" t="str">
        <f>B17</f>
        <v>交通便捷度</v>
      </c>
      <c r="R17" s="711" t="s">
        <v>21</v>
      </c>
      <c r="S17" s="712">
        <f>F17</f>
        <v>100</v>
      </c>
      <c r="T17" s="711" t="s">
        <v>21</v>
      </c>
      <c r="U17" s="712">
        <f>H17</f>
        <v>100</v>
      </c>
      <c r="V17" s="711" t="s">
        <v>21</v>
      </c>
      <c r="W17" s="712">
        <f>J17</f>
        <v>100</v>
      </c>
      <c r="X17" s="1538"/>
      <c r="Y17" s="3274"/>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42"/>
      <c r="Q18" s="1535"/>
      <c r="R18" s="711"/>
      <c r="S18" s="712"/>
      <c r="T18" s="711"/>
      <c r="U18" s="712"/>
      <c r="V18" s="711"/>
      <c r="W18" s="712"/>
      <c r="X18" s="1538"/>
      <c r="Y18" s="3274"/>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42"/>
      <c r="Q19" s="1535" t="str">
        <f>B19</f>
        <v>公共配套设施</v>
      </c>
      <c r="R19" s="711" t="s">
        <v>21</v>
      </c>
      <c r="S19" s="712">
        <f>F19</f>
        <v>100</v>
      </c>
      <c r="T19" s="711" t="s">
        <v>21</v>
      </c>
      <c r="U19" s="712">
        <f>H19</f>
        <v>100</v>
      </c>
      <c r="V19" s="711" t="s">
        <v>21</v>
      </c>
      <c r="W19" s="712">
        <f>J19</f>
        <v>100</v>
      </c>
      <c r="X19" s="1538"/>
      <c r="Y19" s="3274"/>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42"/>
      <c r="Q20" s="1535"/>
      <c r="R20" s="711"/>
      <c r="S20" s="712"/>
      <c r="T20" s="711"/>
      <c r="U20" s="712"/>
      <c r="V20" s="711"/>
      <c r="W20" s="712"/>
      <c r="X20" s="1538"/>
      <c r="Y20" s="3274"/>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42"/>
      <c r="Q21" s="1535" t="str">
        <f>B21</f>
        <v>基础设施水平</v>
      </c>
      <c r="R21" s="711" t="s">
        <v>17</v>
      </c>
      <c r="S21" s="712">
        <f>F21</f>
        <v>100</v>
      </c>
      <c r="T21" s="711" t="s">
        <v>17</v>
      </c>
      <c r="U21" s="712">
        <f>H21</f>
        <v>100</v>
      </c>
      <c r="V21" s="711" t="s">
        <v>17</v>
      </c>
      <c r="W21" s="712">
        <f>J21</f>
        <v>100</v>
      </c>
      <c r="X21" s="1538"/>
      <c r="Y21" s="3274"/>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42"/>
      <c r="Q22" s="1535"/>
      <c r="R22" s="711"/>
      <c r="S22" s="712"/>
      <c r="T22" s="711"/>
      <c r="U22" s="712"/>
      <c r="V22" s="711"/>
      <c r="W22" s="712"/>
      <c r="X22" s="1538"/>
      <c r="Y22" s="3274"/>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42"/>
      <c r="Q23" s="1535" t="str">
        <f>B23</f>
        <v>自然及人文环境</v>
      </c>
      <c r="R23" s="711" t="s">
        <v>21</v>
      </c>
      <c r="S23" s="712">
        <f>F23</f>
        <v>100</v>
      </c>
      <c r="T23" s="711" t="s">
        <v>21</v>
      </c>
      <c r="U23" s="712">
        <f>H23</f>
        <v>100</v>
      </c>
      <c r="V23" s="711" t="s">
        <v>21</v>
      </c>
      <c r="W23" s="712">
        <f>J23</f>
        <v>100</v>
      </c>
      <c r="X23" s="1538"/>
      <c r="Y23" s="3274"/>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42"/>
      <c r="Q24" s="1535"/>
      <c r="R24" s="711"/>
      <c r="S24" s="712"/>
      <c r="T24" s="711"/>
      <c r="U24" s="712"/>
      <c r="V24" s="711"/>
      <c r="W24" s="712"/>
      <c r="X24" s="1538"/>
      <c r="Y24" s="3274"/>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42"/>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74"/>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42"/>
      <c r="Q26" s="1535" t="str">
        <f t="shared" si="11"/>
        <v>朝向</v>
      </c>
      <c r="R26" s="711" t="s">
        <v>21</v>
      </c>
      <c r="S26" s="712">
        <f t="shared" si="12"/>
        <v>100</v>
      </c>
      <c r="T26" s="711" t="s">
        <v>21</v>
      </c>
      <c r="U26" s="712">
        <f t="shared" si="13"/>
        <v>100</v>
      </c>
      <c r="V26" s="711" t="s">
        <v>21</v>
      </c>
      <c r="W26" s="712">
        <f t="shared" si="14"/>
        <v>100</v>
      </c>
      <c r="X26" s="1538"/>
      <c r="Y26" s="3274"/>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42"/>
      <c r="Q27" s="1526">
        <f t="shared" si="11"/>
        <v>111</v>
      </c>
      <c r="R27" s="707" t="s">
        <v>21</v>
      </c>
      <c r="S27" s="708">
        <f t="shared" si="12"/>
        <v>100</v>
      </c>
      <c r="T27" s="707" t="s">
        <v>21</v>
      </c>
      <c r="U27" s="708">
        <f t="shared" si="13"/>
        <v>100</v>
      </c>
      <c r="V27" s="707" t="s">
        <v>21</v>
      </c>
      <c r="W27" s="708">
        <f t="shared" si="14"/>
        <v>100</v>
      </c>
      <c r="X27" s="709"/>
      <c r="Y27" s="3274"/>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42"/>
      <c r="Q28" s="1535">
        <f t="shared" si="11"/>
        <v>111</v>
      </c>
      <c r="R28" s="711" t="s">
        <v>21</v>
      </c>
      <c r="S28" s="712">
        <f t="shared" si="12"/>
        <v>100</v>
      </c>
      <c r="T28" s="711" t="s">
        <v>21</v>
      </c>
      <c r="U28" s="712">
        <f t="shared" si="13"/>
        <v>100</v>
      </c>
      <c r="V28" s="711" t="s">
        <v>21</v>
      </c>
      <c r="W28" s="712">
        <f t="shared" si="14"/>
        <v>100</v>
      </c>
      <c r="X28" s="1538"/>
      <c r="Y28" s="3274"/>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42"/>
      <c r="Q29" s="1535">
        <f t="shared" si="11"/>
        <v>111</v>
      </c>
      <c r="R29" s="711" t="s">
        <v>21</v>
      </c>
      <c r="S29" s="712">
        <f t="shared" si="12"/>
        <v>100</v>
      </c>
      <c r="T29" s="711" t="s">
        <v>21</v>
      </c>
      <c r="U29" s="712">
        <f t="shared" si="13"/>
        <v>100</v>
      </c>
      <c r="V29" s="711" t="s">
        <v>21</v>
      </c>
      <c r="W29" s="712">
        <f t="shared" si="14"/>
        <v>100</v>
      </c>
      <c r="X29" s="1538"/>
      <c r="Y29" s="3274"/>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42"/>
      <c r="Q30" s="1535">
        <f t="shared" si="11"/>
        <v>111</v>
      </c>
      <c r="R30" s="711" t="s">
        <v>21</v>
      </c>
      <c r="S30" s="712">
        <f t="shared" si="12"/>
        <v>100</v>
      </c>
      <c r="T30" s="711" t="s">
        <v>21</v>
      </c>
      <c r="U30" s="712">
        <f t="shared" si="13"/>
        <v>100</v>
      </c>
      <c r="V30" s="711" t="s">
        <v>21</v>
      </c>
      <c r="W30" s="712">
        <f t="shared" si="14"/>
        <v>100</v>
      </c>
      <c r="X30" s="1538"/>
      <c r="Y30" s="3274"/>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42"/>
      <c r="Q31" s="1535">
        <f t="shared" si="11"/>
        <v>111</v>
      </c>
      <c r="R31" s="711" t="s">
        <v>21</v>
      </c>
      <c r="S31" s="712">
        <f t="shared" si="12"/>
        <v>100</v>
      </c>
      <c r="T31" s="711" t="s">
        <v>21</v>
      </c>
      <c r="U31" s="712">
        <f t="shared" si="13"/>
        <v>100</v>
      </c>
      <c r="V31" s="711" t="s">
        <v>21</v>
      </c>
      <c r="W31" s="712">
        <f t="shared" si="14"/>
        <v>100</v>
      </c>
      <c r="X31" s="1538"/>
      <c r="Y31" s="3274"/>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37" t="s">
        <v>2387</v>
      </c>
      <c r="Q32" s="1535" t="str">
        <f t="shared" si="11"/>
        <v>建筑类型</v>
      </c>
      <c r="R32" s="711" t="s">
        <v>21</v>
      </c>
      <c r="S32" s="712">
        <f t="shared" si="12"/>
        <v>100</v>
      </c>
      <c r="T32" s="711" t="s">
        <v>21</v>
      </c>
      <c r="U32" s="712">
        <f t="shared" si="13"/>
        <v>100</v>
      </c>
      <c r="V32" s="711" t="s">
        <v>21</v>
      </c>
      <c r="W32" s="712">
        <f t="shared" si="14"/>
        <v>100</v>
      </c>
      <c r="X32" s="1538"/>
      <c r="Y32" s="3276"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38"/>
      <c r="Q33" s="713" t="str">
        <f t="shared" si="11"/>
        <v>项目建筑规模</v>
      </c>
      <c r="R33" s="714" t="s">
        <v>21</v>
      </c>
      <c r="S33" s="715" t="e">
        <f t="shared" si="12"/>
        <v>#N/A</v>
      </c>
      <c r="T33" s="714" t="s">
        <v>21</v>
      </c>
      <c r="U33" s="715" t="e">
        <f t="shared" si="13"/>
        <v>#N/A</v>
      </c>
      <c r="V33" s="714" t="s">
        <v>21</v>
      </c>
      <c r="W33" s="715" t="e">
        <f t="shared" si="14"/>
        <v>#N/A</v>
      </c>
      <c r="X33" s="716"/>
      <c r="Y33" s="3276"/>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38"/>
      <c r="Q34" s="1535" t="str">
        <f t="shared" si="11"/>
        <v>建筑结构</v>
      </c>
      <c r="R34" s="711" t="s">
        <v>21</v>
      </c>
      <c r="S34" s="712">
        <f t="shared" si="12"/>
        <v>100</v>
      </c>
      <c r="T34" s="711" t="s">
        <v>21</v>
      </c>
      <c r="U34" s="712">
        <f t="shared" si="13"/>
        <v>100</v>
      </c>
      <c r="V34" s="711" t="s">
        <v>21</v>
      </c>
      <c r="W34" s="712">
        <f t="shared" si="14"/>
        <v>100</v>
      </c>
      <c r="X34" s="1538"/>
      <c r="Y34" s="3276"/>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38"/>
      <c r="Q35" s="1535" t="str">
        <f t="shared" si="11"/>
        <v>建筑品质</v>
      </c>
      <c r="R35" s="711" t="s">
        <v>21</v>
      </c>
      <c r="S35" s="712">
        <f t="shared" si="12"/>
        <v>100</v>
      </c>
      <c r="T35" s="711" t="s">
        <v>21</v>
      </c>
      <c r="U35" s="712">
        <f t="shared" si="13"/>
        <v>100</v>
      </c>
      <c r="V35" s="711" t="s">
        <v>21</v>
      </c>
      <c r="W35" s="712">
        <f t="shared" si="14"/>
        <v>100</v>
      </c>
      <c r="X35" s="1538"/>
      <c r="Y35" s="3276"/>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38"/>
      <c r="Q36" s="1535" t="str">
        <f t="shared" si="11"/>
        <v>公共部分装修</v>
      </c>
      <c r="R36" s="711" t="s">
        <v>21</v>
      </c>
      <c r="S36" s="712">
        <f t="shared" si="12"/>
        <v>100</v>
      </c>
      <c r="T36" s="711" t="s">
        <v>21</v>
      </c>
      <c r="U36" s="712">
        <f t="shared" si="13"/>
        <v>100</v>
      </c>
      <c r="V36" s="711" t="s">
        <v>21</v>
      </c>
      <c r="W36" s="712">
        <f t="shared" si="14"/>
        <v>100</v>
      </c>
      <c r="X36" s="1538"/>
      <c r="Y36" s="3276"/>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38"/>
      <c r="Q37" s="1526" t="str">
        <f t="shared" si="11"/>
        <v>成新度</v>
      </c>
      <c r="R37" s="707" t="s">
        <v>21</v>
      </c>
      <c r="S37" s="708" t="e">
        <f t="shared" si="12"/>
        <v>#N/A</v>
      </c>
      <c r="T37" s="707" t="s">
        <v>21</v>
      </c>
      <c r="U37" s="708" t="e">
        <f t="shared" si="13"/>
        <v>#N/A</v>
      </c>
      <c r="V37" s="707" t="s">
        <v>21</v>
      </c>
      <c r="W37" s="708" t="e">
        <f t="shared" si="14"/>
        <v>#N/A</v>
      </c>
      <c r="X37" s="709"/>
      <c r="Y37" s="3276"/>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38" t="s">
        <v>2387</v>
      </c>
      <c r="Q38" s="1535" t="str">
        <f t="shared" si="11"/>
        <v>物业管理</v>
      </c>
      <c r="R38" s="711" t="s">
        <v>21</v>
      </c>
      <c r="S38" s="712">
        <f t="shared" si="12"/>
        <v>100</v>
      </c>
      <c r="T38" s="711" t="s">
        <v>21</v>
      </c>
      <c r="U38" s="712">
        <f t="shared" si="13"/>
        <v>100</v>
      </c>
      <c r="V38" s="711" t="s">
        <v>21</v>
      </c>
      <c r="W38" s="712">
        <f t="shared" si="14"/>
        <v>100</v>
      </c>
      <c r="X38" s="1538"/>
      <c r="Y38" s="3276"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38"/>
      <c r="Q39" s="1535" t="str">
        <f t="shared" si="11"/>
        <v>市政基础设施</v>
      </c>
      <c r="R39" s="711" t="s">
        <v>21</v>
      </c>
      <c r="S39" s="712">
        <f t="shared" si="12"/>
        <v>100</v>
      </c>
      <c r="T39" s="711" t="s">
        <v>21</v>
      </c>
      <c r="U39" s="712">
        <f t="shared" si="13"/>
        <v>100</v>
      </c>
      <c r="V39" s="711" t="s">
        <v>21</v>
      </c>
      <c r="W39" s="712">
        <f t="shared" si="14"/>
        <v>100</v>
      </c>
      <c r="X39" s="1538"/>
      <c r="Y39" s="3276"/>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38"/>
      <c r="Q40" s="1535" t="str">
        <f t="shared" si="11"/>
        <v>房型</v>
      </c>
      <c r="R40" s="711" t="s">
        <v>21</v>
      </c>
      <c r="S40" s="712">
        <f t="shared" si="12"/>
        <v>100</v>
      </c>
      <c r="T40" s="711" t="s">
        <v>21</v>
      </c>
      <c r="U40" s="712">
        <f t="shared" si="13"/>
        <v>100</v>
      </c>
      <c r="V40" s="711" t="s">
        <v>21</v>
      </c>
      <c r="W40" s="712">
        <f t="shared" si="14"/>
        <v>100</v>
      </c>
      <c r="X40" s="1538"/>
      <c r="Y40" s="3276"/>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38"/>
      <c r="Q41" s="713" t="str">
        <f t="shared" si="11"/>
        <v>单套/主力户型建筑面积</v>
      </c>
      <c r="R41" s="714" t="s">
        <v>21</v>
      </c>
      <c r="S41" s="715">
        <f t="shared" si="12"/>
        <v>100</v>
      </c>
      <c r="T41" s="714" t="s">
        <v>21</v>
      </c>
      <c r="U41" s="715">
        <f t="shared" si="13"/>
        <v>100</v>
      </c>
      <c r="V41" s="714" t="s">
        <v>21</v>
      </c>
      <c r="W41" s="715">
        <f t="shared" si="14"/>
        <v>100</v>
      </c>
      <c r="X41" s="716"/>
      <c r="Y41" s="3276"/>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38"/>
      <c r="Q42" s="1535" t="str">
        <f t="shared" si="11"/>
        <v>内部装修</v>
      </c>
      <c r="R42" s="711" t="s">
        <v>21</v>
      </c>
      <c r="S42" s="712">
        <f t="shared" si="12"/>
        <v>100</v>
      </c>
      <c r="T42" s="711" t="s">
        <v>21</v>
      </c>
      <c r="U42" s="712">
        <f t="shared" si="13"/>
        <v>100</v>
      </c>
      <c r="V42" s="711" t="s">
        <v>21</v>
      </c>
      <c r="W42" s="712">
        <f t="shared" si="14"/>
        <v>100</v>
      </c>
      <c r="X42" s="1538"/>
      <c r="Y42" s="3276"/>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38"/>
      <c r="Q43" s="1535" t="str">
        <f t="shared" si="11"/>
        <v>内部装修维护情况</v>
      </c>
      <c r="R43" s="711" t="s">
        <v>21</v>
      </c>
      <c r="S43" s="712">
        <f t="shared" si="12"/>
        <v>100</v>
      </c>
      <c r="T43" s="711" t="s">
        <v>21</v>
      </c>
      <c r="U43" s="712">
        <f t="shared" si="13"/>
        <v>100</v>
      </c>
      <c r="V43" s="711" t="s">
        <v>21</v>
      </c>
      <c r="W43" s="712">
        <f t="shared" si="14"/>
        <v>100</v>
      </c>
      <c r="X43" s="1538"/>
      <c r="Y43" s="3276"/>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38"/>
      <c r="Q44" s="1526">
        <f t="shared" si="11"/>
        <v>111</v>
      </c>
      <c r="R44" s="707" t="s">
        <v>21</v>
      </c>
      <c r="S44" s="708">
        <f t="shared" si="12"/>
        <v>100</v>
      </c>
      <c r="T44" s="707" t="s">
        <v>21</v>
      </c>
      <c r="U44" s="708">
        <f t="shared" si="13"/>
        <v>100</v>
      </c>
      <c r="V44" s="707" t="s">
        <v>21</v>
      </c>
      <c r="W44" s="708">
        <f t="shared" si="14"/>
        <v>100</v>
      </c>
      <c r="X44" s="709"/>
      <c r="Y44" s="3276"/>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38"/>
      <c r="Q45" s="1535">
        <f t="shared" si="11"/>
        <v>111</v>
      </c>
      <c r="R45" s="711" t="s">
        <v>21</v>
      </c>
      <c r="S45" s="712">
        <f t="shared" si="12"/>
        <v>100</v>
      </c>
      <c r="T45" s="711" t="s">
        <v>21</v>
      </c>
      <c r="U45" s="712">
        <f t="shared" si="13"/>
        <v>100</v>
      </c>
      <c r="V45" s="711" t="s">
        <v>21</v>
      </c>
      <c r="W45" s="712">
        <f t="shared" si="14"/>
        <v>100</v>
      </c>
      <c r="X45" s="1538"/>
      <c r="Y45" s="3276"/>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39"/>
      <c r="Q46" s="1535">
        <f t="shared" si="11"/>
        <v>111</v>
      </c>
      <c r="R46" s="711" t="s">
        <v>20</v>
      </c>
      <c r="S46" s="712">
        <f t="shared" si="12"/>
        <v>100</v>
      </c>
      <c r="T46" s="711" t="s">
        <v>20</v>
      </c>
      <c r="U46" s="712">
        <f t="shared" si="13"/>
        <v>100</v>
      </c>
      <c r="V46" s="711" t="s">
        <v>20</v>
      </c>
      <c r="W46" s="712">
        <f t="shared" si="14"/>
        <v>100</v>
      </c>
      <c r="X46" s="1538"/>
      <c r="Y46" s="3340"/>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71" t="str">
        <f>A47</f>
        <v>成交单价（元/平方米）</v>
      </c>
      <c r="Q47" s="3271"/>
      <c r="R47" s="3336">
        <f>E47</f>
        <v>0</v>
      </c>
      <c r="S47" s="3336"/>
      <c r="T47" s="3336">
        <f>G47</f>
        <v>0</v>
      </c>
      <c r="U47" s="3336"/>
      <c r="V47" s="3336">
        <f>I47</f>
        <v>0</v>
      </c>
      <c r="W47" s="3336"/>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71" t="str">
        <f>A48</f>
        <v>比较价值（元/平方米）</v>
      </c>
      <c r="Q48" s="327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265" t="str">
        <f>A49</f>
        <v>估价对象XX用房的比较价值（楼面单价，元/平方米）</v>
      </c>
      <c r="Q49" s="3266"/>
      <c r="R49" s="3335" t="e">
        <f>IF(F1="售价",ROUND(IF(D48="简单平均",AVERAGE(R48:V48),R48*F48+T48*H48+V48*J48),0),ROUND(IF(D48="简单平均",AVERAGE(R48:V48),R48*F48+T48*H48+V48*J48),1))</f>
        <v>#DIV/0!</v>
      </c>
      <c r="S49" s="3335"/>
      <c r="T49" s="3335"/>
      <c r="U49" s="3335"/>
      <c r="V49" s="3335"/>
      <c r="W49" s="3335"/>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估价对象为房地产，为所有。根据《国有土地使用证》[]，估价对象（分摊）出让国有建设用地使用权面积为0平方米，建筑面积为8684.62平方米。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估价对象为房地产,属开发建设的，该项目尚在开发建设中。根据《国有土地使用证》[]，估价对象（分摊）出让国有建设用地使用权面积为0平方米，规划建筑面积为8684.62平方米。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68" t="s">
        <v>2468</v>
      </c>
      <c r="D4" s="3281"/>
      <c r="E4" s="3282" t="s">
        <v>2469</v>
      </c>
      <c r="F4" s="3283"/>
      <c r="G4" s="3268" t="s">
        <v>2470</v>
      </c>
      <c r="H4" s="3281"/>
      <c r="I4" s="3268" t="s">
        <v>2471</v>
      </c>
      <c r="J4" s="3281"/>
      <c r="K4" s="564" t="s">
        <v>2472</v>
      </c>
      <c r="L4" s="2943"/>
      <c r="M4" s="2944"/>
      <c r="N4" s="2944"/>
      <c r="O4" s="2944"/>
      <c r="P4" s="3284" t="s">
        <v>2473</v>
      </c>
      <c r="Q4" s="3285"/>
      <c r="R4" s="3290" t="s">
        <v>2469</v>
      </c>
      <c r="S4" s="3291"/>
      <c r="T4" s="3290" t="s">
        <v>2470</v>
      </c>
      <c r="U4" s="3291"/>
      <c r="V4" s="3277" t="s">
        <v>2471</v>
      </c>
      <c r="W4" s="3277"/>
      <c r="X4" s="1538"/>
      <c r="Y4" s="3290" t="s">
        <v>2473</v>
      </c>
      <c r="Z4" s="3291"/>
      <c r="AA4" s="3278" t="s">
        <v>2469</v>
      </c>
      <c r="AB4" s="3277" t="s">
        <v>2470</v>
      </c>
      <c r="AC4" s="3278" t="s">
        <v>2471</v>
      </c>
    </row>
    <row r="5" spans="1:29" ht="15">
      <c r="A5" s="361"/>
      <c r="B5" s="362"/>
      <c r="C5" s="3298" t="s">
        <v>2364</v>
      </c>
      <c r="D5" s="3299"/>
      <c r="E5" s="3305" t="s">
        <v>2365</v>
      </c>
      <c r="F5" s="3306"/>
      <c r="G5" s="3298" t="s">
        <v>2366</v>
      </c>
      <c r="H5" s="3299"/>
      <c r="I5" s="3298" t="s">
        <v>2367</v>
      </c>
      <c r="J5" s="3299"/>
      <c r="K5" s="564"/>
      <c r="L5" s="2943"/>
      <c r="M5" s="2944"/>
      <c r="N5" s="2944"/>
      <c r="O5" s="2944"/>
      <c r="P5" s="3286"/>
      <c r="Q5" s="3287"/>
      <c r="R5" s="3292"/>
      <c r="S5" s="3293"/>
      <c r="T5" s="3292"/>
      <c r="U5" s="3293"/>
      <c r="V5" s="3277"/>
      <c r="W5" s="3277"/>
      <c r="X5" s="1538"/>
      <c r="Y5" s="3292"/>
      <c r="Z5" s="3293"/>
      <c r="AA5" s="3279"/>
      <c r="AB5" s="3277"/>
      <c r="AC5" s="3279"/>
    </row>
    <row r="6" spans="1:29" ht="15.75" thickBot="1">
      <c r="A6" s="363"/>
      <c r="B6" s="364"/>
      <c r="C6" s="3296" t="s">
        <v>2368</v>
      </c>
      <c r="D6" s="3297"/>
      <c r="E6" s="3303" t="s">
        <v>2368</v>
      </c>
      <c r="F6" s="3304"/>
      <c r="G6" s="3296" t="s">
        <v>2368</v>
      </c>
      <c r="H6" s="3297"/>
      <c r="I6" s="3296" t="s">
        <v>2368</v>
      </c>
      <c r="J6" s="3297"/>
      <c r="K6" s="564" t="s">
        <v>2369</v>
      </c>
      <c r="L6" s="2943"/>
      <c r="M6" s="2944"/>
      <c r="N6" s="2944"/>
      <c r="O6" s="2944"/>
      <c r="P6" s="3288"/>
      <c r="Q6" s="3289"/>
      <c r="R6" s="3292"/>
      <c r="S6" s="3293"/>
      <c r="T6" s="3294"/>
      <c r="U6" s="3295"/>
      <c r="V6" s="3277"/>
      <c r="W6" s="3277"/>
      <c r="X6" s="1538"/>
      <c r="Y6" s="3294"/>
      <c r="Z6" s="3295"/>
      <c r="AA6" s="3280"/>
      <c r="AB6" s="3277"/>
      <c r="AC6" s="3280"/>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300" t="s">
        <v>2371</v>
      </c>
      <c r="Q7" s="3302"/>
      <c r="R7" s="707" t="s">
        <v>17</v>
      </c>
      <c r="S7" s="708">
        <f t="shared" ref="S7:S15" si="0">F7</f>
        <v>0</v>
      </c>
      <c r="T7" s="707" t="s">
        <v>17</v>
      </c>
      <c r="U7" s="708">
        <f t="shared" ref="U7:U15" si="1">H7</f>
        <v>0</v>
      </c>
      <c r="V7" s="707" t="s">
        <v>17</v>
      </c>
      <c r="W7" s="708">
        <f t="shared" ref="W7:W15" si="2">J7</f>
        <v>0</v>
      </c>
      <c r="X7" s="709"/>
      <c r="Y7" s="3300" t="s">
        <v>2371</v>
      </c>
      <c r="Z7" s="3301"/>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300" t="s">
        <v>2374</v>
      </c>
      <c r="Q8" s="3301"/>
      <c r="R8" s="707" t="s">
        <v>17</v>
      </c>
      <c r="S8" s="708">
        <f t="shared" si="0"/>
        <v>0</v>
      </c>
      <c r="T8" s="707" t="s">
        <v>17</v>
      </c>
      <c r="U8" s="708">
        <f t="shared" si="1"/>
        <v>0</v>
      </c>
      <c r="V8" s="707" t="s">
        <v>17</v>
      </c>
      <c r="W8" s="708">
        <f t="shared" si="2"/>
        <v>0</v>
      </c>
      <c r="X8" s="709"/>
      <c r="Y8" s="3300" t="s">
        <v>2374</v>
      </c>
      <c r="Z8" s="3301"/>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70"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70"/>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70"/>
      <c r="Q11" s="1526" t="str">
        <f t="shared" si="6"/>
        <v>容积率</v>
      </c>
      <c r="R11" s="707" t="s">
        <v>17</v>
      </c>
      <c r="S11" s="708" t="e">
        <f t="shared" si="0"/>
        <v>#N/A</v>
      </c>
      <c r="T11" s="707" t="s">
        <v>17</v>
      </c>
      <c r="U11" s="708" t="e">
        <f t="shared" si="1"/>
        <v>#N/A</v>
      </c>
      <c r="V11" s="707" t="s">
        <v>17</v>
      </c>
      <c r="W11" s="708" t="e">
        <f t="shared" si="2"/>
        <v>#N/A</v>
      </c>
      <c r="X11" s="709"/>
      <c r="Y11" s="3161"/>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70"/>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70"/>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70"/>
      <c r="Q14" s="1526">
        <f t="shared" si="6"/>
        <v>111</v>
      </c>
      <c r="R14" s="707" t="s">
        <v>17</v>
      </c>
      <c r="S14" s="708">
        <f t="shared" si="0"/>
        <v>100</v>
      </c>
      <c r="T14" s="707" t="s">
        <v>17</v>
      </c>
      <c r="U14" s="708">
        <f t="shared" si="1"/>
        <v>100</v>
      </c>
      <c r="V14" s="707" t="s">
        <v>17</v>
      </c>
      <c r="W14" s="708">
        <f t="shared" si="2"/>
        <v>100</v>
      </c>
      <c r="X14" s="709"/>
      <c r="Y14" s="3161"/>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41" t="s">
        <v>2382</v>
      </c>
      <c r="Q15" s="1535" t="str">
        <f t="shared" si="6"/>
        <v>商业繁华度</v>
      </c>
      <c r="R15" s="711" t="s">
        <v>17</v>
      </c>
      <c r="S15" s="712">
        <f t="shared" si="0"/>
        <v>100</v>
      </c>
      <c r="T15" s="711" t="s">
        <v>17</v>
      </c>
      <c r="U15" s="712">
        <f t="shared" si="1"/>
        <v>100</v>
      </c>
      <c r="V15" s="711" t="s">
        <v>17</v>
      </c>
      <c r="W15" s="712">
        <f t="shared" si="2"/>
        <v>100</v>
      </c>
      <c r="X15" s="1538"/>
      <c r="Y15" s="3273"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42"/>
      <c r="Q16" s="1535"/>
      <c r="R16" s="711"/>
      <c r="S16" s="712"/>
      <c r="T16" s="711"/>
      <c r="U16" s="712"/>
      <c r="V16" s="711"/>
      <c r="W16" s="712"/>
      <c r="X16" s="1538"/>
      <c r="Y16" s="3274"/>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42"/>
      <c r="Q17" s="1535" t="str">
        <f>B17</f>
        <v>交通便捷度</v>
      </c>
      <c r="R17" s="711" t="s">
        <v>17</v>
      </c>
      <c r="S17" s="712">
        <f>F17</f>
        <v>100</v>
      </c>
      <c r="T17" s="711" t="s">
        <v>17</v>
      </c>
      <c r="U17" s="712">
        <f>H17</f>
        <v>100</v>
      </c>
      <c r="V17" s="711" t="s">
        <v>17</v>
      </c>
      <c r="W17" s="712">
        <f>J17</f>
        <v>100</v>
      </c>
      <c r="X17" s="1538"/>
      <c r="Y17" s="3274"/>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42"/>
      <c r="Q18" s="1535"/>
      <c r="R18" s="711"/>
      <c r="S18" s="712"/>
      <c r="T18" s="711"/>
      <c r="U18" s="712"/>
      <c r="V18" s="711"/>
      <c r="W18" s="712"/>
      <c r="X18" s="1538"/>
      <c r="Y18" s="3274"/>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42"/>
      <c r="Q19" s="1535" t="str">
        <f>B19</f>
        <v>公共配套设施</v>
      </c>
      <c r="R19" s="711" t="s">
        <v>17</v>
      </c>
      <c r="S19" s="712">
        <f>F19</f>
        <v>100</v>
      </c>
      <c r="T19" s="711" t="s">
        <v>17</v>
      </c>
      <c r="U19" s="712">
        <f>H19</f>
        <v>100</v>
      </c>
      <c r="V19" s="711" t="s">
        <v>17</v>
      </c>
      <c r="W19" s="712">
        <f>J19</f>
        <v>100</v>
      </c>
      <c r="X19" s="1538"/>
      <c r="Y19" s="3274"/>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42"/>
      <c r="Q20" s="1535"/>
      <c r="R20" s="711"/>
      <c r="S20" s="712"/>
      <c r="T20" s="711"/>
      <c r="U20" s="712"/>
      <c r="V20" s="711"/>
      <c r="W20" s="712"/>
      <c r="X20" s="1538"/>
      <c r="Y20" s="3274"/>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42"/>
      <c r="Q21" s="1535" t="str">
        <f>B21</f>
        <v>基础设施水平</v>
      </c>
      <c r="R21" s="711" t="s">
        <v>17</v>
      </c>
      <c r="S21" s="712">
        <f>F21</f>
        <v>100</v>
      </c>
      <c r="T21" s="711" t="s">
        <v>17</v>
      </c>
      <c r="U21" s="712">
        <f>H21</f>
        <v>100</v>
      </c>
      <c r="V21" s="711" t="s">
        <v>17</v>
      </c>
      <c r="W21" s="712">
        <f>J21</f>
        <v>100</v>
      </c>
      <c r="X21" s="1538"/>
      <c r="Y21" s="3274"/>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42"/>
      <c r="Q22" s="1535"/>
      <c r="R22" s="711"/>
      <c r="S22" s="712"/>
      <c r="T22" s="711"/>
      <c r="U22" s="712"/>
      <c r="V22" s="711"/>
      <c r="W22" s="712"/>
      <c r="X22" s="1538"/>
      <c r="Y22" s="3274"/>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42"/>
      <c r="Q23" s="1535" t="str">
        <f>B23</f>
        <v>自然及人文环境</v>
      </c>
      <c r="R23" s="711" t="s">
        <v>17</v>
      </c>
      <c r="S23" s="712">
        <f>F23</f>
        <v>100</v>
      </c>
      <c r="T23" s="711" t="s">
        <v>17</v>
      </c>
      <c r="U23" s="712">
        <f>H23</f>
        <v>100</v>
      </c>
      <c r="V23" s="711" t="s">
        <v>17</v>
      </c>
      <c r="W23" s="712">
        <f>J23</f>
        <v>100</v>
      </c>
      <c r="X23" s="1538"/>
      <c r="Y23" s="3274"/>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42"/>
      <c r="Q24" s="1535"/>
      <c r="R24" s="711"/>
      <c r="S24" s="712"/>
      <c r="T24" s="711"/>
      <c r="U24" s="712"/>
      <c r="V24" s="711"/>
      <c r="W24" s="712"/>
      <c r="X24" s="1538"/>
      <c r="Y24" s="3274"/>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42"/>
      <c r="Q25" s="1535" t="str">
        <f t="shared" ref="Q25:Q46" si="11">B25</f>
        <v>临街状况</v>
      </c>
      <c r="R25" s="711" t="s">
        <v>17</v>
      </c>
      <c r="S25" s="712">
        <f>F25</f>
        <v>100</v>
      </c>
      <c r="T25" s="711" t="s">
        <v>17</v>
      </c>
      <c r="U25" s="712">
        <f>H25</f>
        <v>100</v>
      </c>
      <c r="V25" s="711" t="s">
        <v>17</v>
      </c>
      <c r="W25" s="712">
        <f>J25</f>
        <v>100</v>
      </c>
      <c r="X25" s="1538"/>
      <c r="Y25" s="3274"/>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42"/>
      <c r="Q26" s="1535" t="str">
        <f t="shared" si="11"/>
        <v>平面位置/可视性</v>
      </c>
      <c r="R26" s="711" t="s">
        <v>17</v>
      </c>
      <c r="S26" s="712">
        <f>F26</f>
        <v>100</v>
      </c>
      <c r="T26" s="711" t="s">
        <v>17</v>
      </c>
      <c r="U26" s="712">
        <f>H26</f>
        <v>100</v>
      </c>
      <c r="V26" s="711" t="s">
        <v>17</v>
      </c>
      <c r="W26" s="712">
        <f>J26</f>
        <v>100</v>
      </c>
      <c r="X26" s="1538"/>
      <c r="Y26" s="3274"/>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42"/>
      <c r="Q27" s="1526" t="str">
        <f t="shared" si="11"/>
        <v>人流量</v>
      </c>
      <c r="R27" s="707" t="s">
        <v>17</v>
      </c>
      <c r="S27" s="708">
        <f>F27</f>
        <v>100</v>
      </c>
      <c r="T27" s="707" t="s">
        <v>17</v>
      </c>
      <c r="U27" s="708">
        <f>H27</f>
        <v>100</v>
      </c>
      <c r="V27" s="707" t="s">
        <v>17</v>
      </c>
      <c r="W27" s="708">
        <f>J27</f>
        <v>100</v>
      </c>
      <c r="X27" s="709"/>
      <c r="Y27" s="3274"/>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42"/>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74"/>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42"/>
      <c r="Q29" s="1535">
        <f t="shared" si="11"/>
        <v>111</v>
      </c>
      <c r="R29" s="711" t="s">
        <v>17</v>
      </c>
      <c r="S29" s="712">
        <f t="shared" si="12"/>
        <v>100</v>
      </c>
      <c r="T29" s="711" t="s">
        <v>17</v>
      </c>
      <c r="U29" s="712">
        <f t="shared" si="13"/>
        <v>100</v>
      </c>
      <c r="V29" s="711" t="s">
        <v>17</v>
      </c>
      <c r="W29" s="712">
        <f t="shared" si="14"/>
        <v>100</v>
      </c>
      <c r="X29" s="1538"/>
      <c r="Y29" s="3274"/>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42"/>
      <c r="Q30" s="1535">
        <f t="shared" si="11"/>
        <v>111</v>
      </c>
      <c r="R30" s="711" t="s">
        <v>17</v>
      </c>
      <c r="S30" s="712">
        <f t="shared" si="12"/>
        <v>100</v>
      </c>
      <c r="T30" s="711" t="s">
        <v>17</v>
      </c>
      <c r="U30" s="712">
        <f t="shared" si="13"/>
        <v>100</v>
      </c>
      <c r="V30" s="711" t="s">
        <v>17</v>
      </c>
      <c r="W30" s="712">
        <f t="shared" si="14"/>
        <v>100</v>
      </c>
      <c r="X30" s="1538"/>
      <c r="Y30" s="3274"/>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42"/>
      <c r="Q31" s="1535">
        <f t="shared" si="11"/>
        <v>111</v>
      </c>
      <c r="R31" s="711" t="s">
        <v>17</v>
      </c>
      <c r="S31" s="712">
        <f t="shared" si="12"/>
        <v>100</v>
      </c>
      <c r="T31" s="711" t="s">
        <v>17</v>
      </c>
      <c r="U31" s="712">
        <f t="shared" si="13"/>
        <v>100</v>
      </c>
      <c r="V31" s="711" t="s">
        <v>17</v>
      </c>
      <c r="W31" s="712">
        <f t="shared" si="14"/>
        <v>100</v>
      </c>
      <c r="X31" s="1538"/>
      <c r="Y31" s="3274"/>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37" t="s">
        <v>2387</v>
      </c>
      <c r="Q32" s="1535" t="str">
        <f t="shared" si="11"/>
        <v>商业类型</v>
      </c>
      <c r="R32" s="711" t="s">
        <v>17</v>
      </c>
      <c r="S32" s="712">
        <f t="shared" si="12"/>
        <v>100</v>
      </c>
      <c r="T32" s="711" t="s">
        <v>17</v>
      </c>
      <c r="U32" s="712">
        <f t="shared" si="13"/>
        <v>100</v>
      </c>
      <c r="V32" s="711" t="s">
        <v>17</v>
      </c>
      <c r="W32" s="712">
        <f t="shared" si="14"/>
        <v>100</v>
      </c>
      <c r="X32" s="1538"/>
      <c r="Y32" s="3276"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38"/>
      <c r="Q33" s="713" t="str">
        <f t="shared" si="11"/>
        <v>项目建筑规模</v>
      </c>
      <c r="R33" s="714" t="s">
        <v>17</v>
      </c>
      <c r="S33" s="715" t="e">
        <f t="shared" si="12"/>
        <v>#N/A</v>
      </c>
      <c r="T33" s="714" t="s">
        <v>17</v>
      </c>
      <c r="U33" s="715" t="e">
        <f t="shared" si="13"/>
        <v>#N/A</v>
      </c>
      <c r="V33" s="714" t="s">
        <v>17</v>
      </c>
      <c r="W33" s="715" t="e">
        <f t="shared" si="14"/>
        <v>#N/A</v>
      </c>
      <c r="X33" s="716"/>
      <c r="Y33" s="3276"/>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38"/>
      <c r="Q34" s="1535" t="str">
        <f t="shared" si="11"/>
        <v>建筑结构</v>
      </c>
      <c r="R34" s="711" t="s">
        <v>17</v>
      </c>
      <c r="S34" s="712">
        <f t="shared" si="12"/>
        <v>100</v>
      </c>
      <c r="T34" s="711" t="s">
        <v>17</v>
      </c>
      <c r="U34" s="712">
        <f t="shared" si="13"/>
        <v>100</v>
      </c>
      <c r="V34" s="711" t="s">
        <v>17</v>
      </c>
      <c r="W34" s="712">
        <f t="shared" si="14"/>
        <v>100</v>
      </c>
      <c r="X34" s="1538"/>
      <c r="Y34" s="3276"/>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38"/>
      <c r="Q35" s="1535" t="str">
        <f t="shared" si="11"/>
        <v>公共部分装修</v>
      </c>
      <c r="R35" s="711" t="s">
        <v>17</v>
      </c>
      <c r="S35" s="712">
        <f t="shared" si="12"/>
        <v>100</v>
      </c>
      <c r="T35" s="711" t="s">
        <v>17</v>
      </c>
      <c r="U35" s="712">
        <f t="shared" si="13"/>
        <v>100</v>
      </c>
      <c r="V35" s="711" t="s">
        <v>17</v>
      </c>
      <c r="W35" s="712">
        <f t="shared" si="14"/>
        <v>100</v>
      </c>
      <c r="X35" s="1538"/>
      <c r="Y35" s="3276"/>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38"/>
      <c r="Q36" s="1535" t="str">
        <f t="shared" si="11"/>
        <v>成新度</v>
      </c>
      <c r="R36" s="711" t="s">
        <v>17</v>
      </c>
      <c r="S36" s="712" t="e">
        <f t="shared" si="12"/>
        <v>#N/A</v>
      </c>
      <c r="T36" s="711" t="s">
        <v>17</v>
      </c>
      <c r="U36" s="712" t="e">
        <f t="shared" si="13"/>
        <v>#N/A</v>
      </c>
      <c r="V36" s="711" t="s">
        <v>17</v>
      </c>
      <c r="W36" s="712" t="e">
        <f t="shared" si="14"/>
        <v>#N/A</v>
      </c>
      <c r="X36" s="1538"/>
      <c r="Y36" s="3276"/>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38"/>
      <c r="Q37" s="1526" t="str">
        <f t="shared" si="11"/>
        <v>市政基础设施</v>
      </c>
      <c r="R37" s="707" t="s">
        <v>17</v>
      </c>
      <c r="S37" s="708">
        <f t="shared" si="12"/>
        <v>100</v>
      </c>
      <c r="T37" s="707" t="s">
        <v>17</v>
      </c>
      <c r="U37" s="708">
        <f t="shared" si="13"/>
        <v>100</v>
      </c>
      <c r="V37" s="707" t="s">
        <v>17</v>
      </c>
      <c r="W37" s="708">
        <f t="shared" si="14"/>
        <v>100</v>
      </c>
      <c r="X37" s="709"/>
      <c r="Y37" s="3276"/>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38" t="s">
        <v>2387</v>
      </c>
      <c r="Q38" s="1535" t="str">
        <f t="shared" si="11"/>
        <v>业态</v>
      </c>
      <c r="R38" s="711" t="s">
        <v>17</v>
      </c>
      <c r="S38" s="712">
        <f t="shared" si="12"/>
        <v>100</v>
      </c>
      <c r="T38" s="711" t="s">
        <v>17</v>
      </c>
      <c r="U38" s="712">
        <f t="shared" si="13"/>
        <v>100</v>
      </c>
      <c r="V38" s="711" t="s">
        <v>17</v>
      </c>
      <c r="W38" s="712">
        <f t="shared" si="14"/>
        <v>100</v>
      </c>
      <c r="X38" s="1538"/>
      <c r="Y38" s="3276"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38"/>
      <c r="Q39" s="1535" t="str">
        <f t="shared" si="11"/>
        <v>层高</v>
      </c>
      <c r="R39" s="711" t="s">
        <v>17</v>
      </c>
      <c r="S39" s="712">
        <f t="shared" si="12"/>
        <v>100</v>
      </c>
      <c r="T39" s="711" t="s">
        <v>17</v>
      </c>
      <c r="U39" s="712">
        <f t="shared" si="13"/>
        <v>100</v>
      </c>
      <c r="V39" s="711" t="s">
        <v>17</v>
      </c>
      <c r="W39" s="712">
        <f t="shared" si="14"/>
        <v>100</v>
      </c>
      <c r="X39" s="1538"/>
      <c r="Y39" s="3276"/>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38"/>
      <c r="Q40" s="1535" t="str">
        <f t="shared" si="11"/>
        <v>单套建筑面积</v>
      </c>
      <c r="R40" s="711" t="s">
        <v>17</v>
      </c>
      <c r="S40" s="712">
        <f t="shared" si="12"/>
        <v>100</v>
      </c>
      <c r="T40" s="711" t="s">
        <v>17</v>
      </c>
      <c r="U40" s="712">
        <f t="shared" si="13"/>
        <v>100</v>
      </c>
      <c r="V40" s="711" t="s">
        <v>17</v>
      </c>
      <c r="W40" s="712">
        <f t="shared" si="14"/>
        <v>100</v>
      </c>
      <c r="X40" s="1538"/>
      <c r="Y40" s="3276"/>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38"/>
      <c r="Q41" s="713" t="str">
        <f t="shared" si="11"/>
        <v>进深比</v>
      </c>
      <c r="R41" s="714" t="s">
        <v>17</v>
      </c>
      <c r="S41" s="715">
        <f t="shared" si="12"/>
        <v>100</v>
      </c>
      <c r="T41" s="714" t="s">
        <v>17</v>
      </c>
      <c r="U41" s="715">
        <f t="shared" si="13"/>
        <v>100</v>
      </c>
      <c r="V41" s="714" t="s">
        <v>17</v>
      </c>
      <c r="W41" s="715">
        <f t="shared" si="14"/>
        <v>100</v>
      </c>
      <c r="X41" s="716"/>
      <c r="Y41" s="3276"/>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38"/>
      <c r="Q42" s="1535" t="str">
        <f t="shared" si="11"/>
        <v>内部装修</v>
      </c>
      <c r="R42" s="711" t="s">
        <v>17</v>
      </c>
      <c r="S42" s="712">
        <f t="shared" si="12"/>
        <v>100</v>
      </c>
      <c r="T42" s="711" t="s">
        <v>17</v>
      </c>
      <c r="U42" s="712">
        <f t="shared" si="13"/>
        <v>100</v>
      </c>
      <c r="V42" s="711" t="s">
        <v>17</v>
      </c>
      <c r="W42" s="712">
        <f t="shared" si="14"/>
        <v>100</v>
      </c>
      <c r="X42" s="1538"/>
      <c r="Y42" s="3276"/>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38"/>
      <c r="Q43" s="1535" t="str">
        <f t="shared" si="11"/>
        <v>内部装修维护情况</v>
      </c>
      <c r="R43" s="711" t="s">
        <v>17</v>
      </c>
      <c r="S43" s="712">
        <f t="shared" si="12"/>
        <v>100</v>
      </c>
      <c r="T43" s="711" t="s">
        <v>17</v>
      </c>
      <c r="U43" s="712">
        <f t="shared" si="13"/>
        <v>100</v>
      </c>
      <c r="V43" s="711" t="s">
        <v>17</v>
      </c>
      <c r="W43" s="712">
        <f t="shared" si="14"/>
        <v>100</v>
      </c>
      <c r="X43" s="1538"/>
      <c r="Y43" s="3276"/>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38"/>
      <c r="Q44" s="1526">
        <f t="shared" si="11"/>
        <v>111</v>
      </c>
      <c r="R44" s="707" t="s">
        <v>17</v>
      </c>
      <c r="S44" s="708">
        <f t="shared" si="12"/>
        <v>100</v>
      </c>
      <c r="T44" s="707" t="s">
        <v>17</v>
      </c>
      <c r="U44" s="708">
        <f t="shared" si="13"/>
        <v>100</v>
      </c>
      <c r="V44" s="707" t="s">
        <v>17</v>
      </c>
      <c r="W44" s="708">
        <f t="shared" si="14"/>
        <v>100</v>
      </c>
      <c r="X44" s="709"/>
      <c r="Y44" s="3276"/>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38"/>
      <c r="Q45" s="1535">
        <f t="shared" si="11"/>
        <v>111</v>
      </c>
      <c r="R45" s="711" t="s">
        <v>17</v>
      </c>
      <c r="S45" s="712">
        <f t="shared" si="12"/>
        <v>100</v>
      </c>
      <c r="T45" s="711" t="s">
        <v>17</v>
      </c>
      <c r="U45" s="712">
        <f t="shared" si="13"/>
        <v>100</v>
      </c>
      <c r="V45" s="711" t="s">
        <v>17</v>
      </c>
      <c r="W45" s="712">
        <f t="shared" si="14"/>
        <v>100</v>
      </c>
      <c r="X45" s="1538"/>
      <c r="Y45" s="3276"/>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39"/>
      <c r="Q46" s="1535">
        <f t="shared" si="11"/>
        <v>111</v>
      </c>
      <c r="R46" s="711" t="s">
        <v>17</v>
      </c>
      <c r="S46" s="712">
        <f t="shared" si="12"/>
        <v>100</v>
      </c>
      <c r="T46" s="711" t="s">
        <v>17</v>
      </c>
      <c r="U46" s="712">
        <f t="shared" si="13"/>
        <v>100</v>
      </c>
      <c r="V46" s="711" t="s">
        <v>17</v>
      </c>
      <c r="W46" s="712">
        <f t="shared" si="14"/>
        <v>100</v>
      </c>
      <c r="X46" s="1538"/>
      <c r="Y46" s="3340"/>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71" t="str">
        <f>A47</f>
        <v>成交单价（元/平方米）</v>
      </c>
      <c r="Q47" s="3271"/>
      <c r="R47" s="3277">
        <f>E47</f>
        <v>0</v>
      </c>
      <c r="S47" s="3277"/>
      <c r="T47" s="3277">
        <f>G47</f>
        <v>0</v>
      </c>
      <c r="U47" s="3277"/>
      <c r="V47" s="3277">
        <f>I47</f>
        <v>0</v>
      </c>
      <c r="W47" s="3277"/>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71" t="str">
        <f>A48</f>
        <v>比较价值（元/平方米）</v>
      </c>
      <c r="Q48" s="327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265" t="str">
        <f>A49</f>
        <v>估价对象XX用房的比较价值（楼面单价，元/平方米）</v>
      </c>
      <c r="Q49" s="3266"/>
      <c r="R49" s="3335" t="e">
        <f>IF(F1="售价",ROUND(IF(D48="简单平均",AVERAGE(R48:V48),R48*F48+T48*H48+V48*J48),0),ROUND(IF(D48="简单平均",AVERAGE(R48:V48),R48*F48+T48*H48+V48*J48),1))</f>
        <v>#DIV/0!</v>
      </c>
      <c r="S49" s="3335"/>
      <c r="T49" s="3335"/>
      <c r="U49" s="3335"/>
      <c r="V49" s="3335"/>
      <c r="W49" s="3335"/>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68" t="s">
        <v>2468</v>
      </c>
      <c r="D4" s="3281"/>
      <c r="E4" s="3282" t="s">
        <v>2469</v>
      </c>
      <c r="F4" s="3283"/>
      <c r="G4" s="3268" t="s">
        <v>2470</v>
      </c>
      <c r="H4" s="3281"/>
      <c r="I4" s="3268" t="s">
        <v>2471</v>
      </c>
      <c r="J4" s="3281"/>
      <c r="K4" s="564" t="s">
        <v>2472</v>
      </c>
      <c r="L4" s="2943"/>
      <c r="M4" s="2944"/>
      <c r="N4" s="2944"/>
      <c r="O4" s="2944"/>
      <c r="P4" s="3349" t="s">
        <v>2473</v>
      </c>
      <c r="Q4" s="3350"/>
      <c r="R4" s="3353" t="s">
        <v>2469</v>
      </c>
      <c r="S4" s="3354"/>
      <c r="T4" s="3353" t="s">
        <v>2470</v>
      </c>
      <c r="U4" s="3354"/>
      <c r="V4" s="3355" t="s">
        <v>2471</v>
      </c>
      <c r="W4" s="3355"/>
      <c r="X4" s="2143"/>
      <c r="Y4" s="3353" t="s">
        <v>2473</v>
      </c>
      <c r="Z4" s="3354"/>
      <c r="AA4" s="3357" t="s">
        <v>2469</v>
      </c>
      <c r="AB4" s="3357" t="s">
        <v>2470</v>
      </c>
      <c r="AC4" s="3346" t="s">
        <v>2471</v>
      </c>
    </row>
    <row r="5" spans="1:29" ht="15">
      <c r="A5" s="361"/>
      <c r="B5" s="362"/>
      <c r="C5" s="3298" t="s">
        <v>2364</v>
      </c>
      <c r="D5" s="3299"/>
      <c r="E5" s="3305" t="s">
        <v>2365</v>
      </c>
      <c r="F5" s="3306"/>
      <c r="G5" s="3298" t="s">
        <v>2366</v>
      </c>
      <c r="H5" s="3299"/>
      <c r="I5" s="3298" t="s">
        <v>2367</v>
      </c>
      <c r="J5" s="3299"/>
      <c r="K5" s="564"/>
      <c r="L5" s="2943"/>
      <c r="M5" s="2944"/>
      <c r="N5" s="2944"/>
      <c r="O5" s="2944"/>
      <c r="P5" s="3351"/>
      <c r="Q5" s="3287"/>
      <c r="R5" s="3292"/>
      <c r="S5" s="3293"/>
      <c r="T5" s="3292"/>
      <c r="U5" s="3293"/>
      <c r="V5" s="3277"/>
      <c r="W5" s="3277"/>
      <c r="X5" s="1538"/>
      <c r="Y5" s="3292"/>
      <c r="Z5" s="3293"/>
      <c r="AA5" s="3279"/>
      <c r="AB5" s="3279"/>
      <c r="AC5" s="3347"/>
    </row>
    <row r="6" spans="1:29" ht="15.75" thickBot="1">
      <c r="A6" s="363"/>
      <c r="B6" s="364"/>
      <c r="C6" s="3296" t="s">
        <v>2368</v>
      </c>
      <c r="D6" s="3297"/>
      <c r="E6" s="3303" t="s">
        <v>2368</v>
      </c>
      <c r="F6" s="3304"/>
      <c r="G6" s="3296" t="s">
        <v>2368</v>
      </c>
      <c r="H6" s="3297"/>
      <c r="I6" s="3296" t="s">
        <v>2368</v>
      </c>
      <c r="J6" s="3297"/>
      <c r="K6" s="564" t="s">
        <v>2369</v>
      </c>
      <c r="L6" s="2943"/>
      <c r="M6" s="2944"/>
      <c r="N6" s="2944"/>
      <c r="O6" s="2944"/>
      <c r="P6" s="3352"/>
      <c r="Q6" s="3289"/>
      <c r="R6" s="3292"/>
      <c r="S6" s="3293"/>
      <c r="T6" s="3294"/>
      <c r="U6" s="3295"/>
      <c r="V6" s="3277"/>
      <c r="W6" s="3277"/>
      <c r="X6" s="1538"/>
      <c r="Y6" s="3294"/>
      <c r="Z6" s="3295"/>
      <c r="AA6" s="3280"/>
      <c r="AB6" s="3280"/>
      <c r="AC6" s="3348"/>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56" t="s">
        <v>2371</v>
      </c>
      <c r="Q7" s="3302"/>
      <c r="R7" s="707" t="s">
        <v>17</v>
      </c>
      <c r="S7" s="708">
        <f t="shared" ref="S7:S15" si="0">F7</f>
        <v>0</v>
      </c>
      <c r="T7" s="707" t="s">
        <v>17</v>
      </c>
      <c r="U7" s="708">
        <f t="shared" ref="U7:U15" si="1">H7</f>
        <v>0</v>
      </c>
      <c r="V7" s="707" t="s">
        <v>17</v>
      </c>
      <c r="W7" s="708">
        <f t="shared" ref="W7:W15" si="2">J7</f>
        <v>0</v>
      </c>
      <c r="X7" s="709"/>
      <c r="Y7" s="3300" t="s">
        <v>2371</v>
      </c>
      <c r="Z7" s="3301"/>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56" t="s">
        <v>2374</v>
      </c>
      <c r="Q8" s="3301"/>
      <c r="R8" s="707" t="s">
        <v>17</v>
      </c>
      <c r="S8" s="708">
        <f t="shared" si="0"/>
        <v>0</v>
      </c>
      <c r="T8" s="707" t="s">
        <v>17</v>
      </c>
      <c r="U8" s="708">
        <f t="shared" si="1"/>
        <v>0</v>
      </c>
      <c r="V8" s="707" t="s">
        <v>17</v>
      </c>
      <c r="W8" s="708">
        <f t="shared" si="2"/>
        <v>0</v>
      </c>
      <c r="X8" s="709"/>
      <c r="Y8" s="3300" t="s">
        <v>2374</v>
      </c>
      <c r="Z8" s="3301"/>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70"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70"/>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70"/>
      <c r="Q11" s="1526" t="str">
        <f t="shared" si="6"/>
        <v>容积率</v>
      </c>
      <c r="R11" s="707" t="s">
        <v>17</v>
      </c>
      <c r="S11" s="708" t="e">
        <f t="shared" si="0"/>
        <v>#N/A</v>
      </c>
      <c r="T11" s="707" t="s">
        <v>17</v>
      </c>
      <c r="U11" s="708" t="e">
        <f t="shared" si="1"/>
        <v>#N/A</v>
      </c>
      <c r="V11" s="707" t="s">
        <v>17</v>
      </c>
      <c r="W11" s="708" t="e">
        <f t="shared" si="2"/>
        <v>#N/A</v>
      </c>
      <c r="X11" s="709"/>
      <c r="Y11" s="3161"/>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70"/>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70"/>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70"/>
      <c r="Q14" s="1526">
        <f t="shared" si="6"/>
        <v>111</v>
      </c>
      <c r="R14" s="707" t="s">
        <v>17</v>
      </c>
      <c r="S14" s="708">
        <f t="shared" si="0"/>
        <v>100</v>
      </c>
      <c r="T14" s="707" t="s">
        <v>17</v>
      </c>
      <c r="U14" s="708">
        <f t="shared" si="1"/>
        <v>100</v>
      </c>
      <c r="V14" s="707" t="s">
        <v>17</v>
      </c>
      <c r="W14" s="708">
        <f t="shared" si="2"/>
        <v>100</v>
      </c>
      <c r="X14" s="709"/>
      <c r="Y14" s="3161"/>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41" t="s">
        <v>2382</v>
      </c>
      <c r="Q15" s="1535" t="str">
        <f t="shared" si="6"/>
        <v>办公集聚程度</v>
      </c>
      <c r="R15" s="711" t="s">
        <v>17</v>
      </c>
      <c r="S15" s="712">
        <f t="shared" si="0"/>
        <v>100</v>
      </c>
      <c r="T15" s="711" t="s">
        <v>17</v>
      </c>
      <c r="U15" s="712">
        <f t="shared" si="1"/>
        <v>100</v>
      </c>
      <c r="V15" s="711" t="s">
        <v>17</v>
      </c>
      <c r="W15" s="712">
        <f t="shared" si="2"/>
        <v>100</v>
      </c>
      <c r="X15" s="1538"/>
      <c r="Y15" s="3273"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42"/>
      <c r="Q16" s="1535"/>
      <c r="R16" s="711"/>
      <c r="S16" s="712"/>
      <c r="T16" s="711"/>
      <c r="U16" s="712"/>
      <c r="V16" s="711"/>
      <c r="W16" s="712"/>
      <c r="X16" s="1538"/>
      <c r="Y16" s="3274"/>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42"/>
      <c r="Q17" s="1535" t="str">
        <f>B17</f>
        <v>交通便捷度</v>
      </c>
      <c r="R17" s="711" t="s">
        <v>17</v>
      </c>
      <c r="S17" s="712">
        <f>F17</f>
        <v>100</v>
      </c>
      <c r="T17" s="711" t="s">
        <v>17</v>
      </c>
      <c r="U17" s="712">
        <f>H17</f>
        <v>100</v>
      </c>
      <c r="V17" s="711" t="s">
        <v>17</v>
      </c>
      <c r="W17" s="712">
        <f>J17</f>
        <v>100</v>
      </c>
      <c r="X17" s="1538"/>
      <c r="Y17" s="3274"/>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42"/>
      <c r="Q18" s="1535"/>
      <c r="R18" s="711"/>
      <c r="S18" s="712"/>
      <c r="T18" s="711"/>
      <c r="U18" s="712"/>
      <c r="V18" s="711"/>
      <c r="W18" s="712"/>
      <c r="X18" s="1538"/>
      <c r="Y18" s="3274"/>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42"/>
      <c r="Q19" s="1535" t="str">
        <f>B19</f>
        <v>公共配套设施</v>
      </c>
      <c r="R19" s="711" t="s">
        <v>17</v>
      </c>
      <c r="S19" s="712">
        <f>F19</f>
        <v>100</v>
      </c>
      <c r="T19" s="711" t="s">
        <v>17</v>
      </c>
      <c r="U19" s="712">
        <f>H19</f>
        <v>100</v>
      </c>
      <c r="V19" s="711" t="s">
        <v>17</v>
      </c>
      <c r="W19" s="712">
        <f>J19</f>
        <v>100</v>
      </c>
      <c r="X19" s="1538"/>
      <c r="Y19" s="3274"/>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42"/>
      <c r="Q20" s="1535"/>
      <c r="R20" s="711"/>
      <c r="S20" s="712"/>
      <c r="T20" s="711"/>
      <c r="U20" s="712"/>
      <c r="V20" s="711"/>
      <c r="W20" s="712"/>
      <c r="X20" s="1538"/>
      <c r="Y20" s="3274"/>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42"/>
      <c r="Q21" s="1535" t="str">
        <f>B21</f>
        <v>基础设施水平</v>
      </c>
      <c r="R21" s="711" t="s">
        <v>17</v>
      </c>
      <c r="S21" s="712">
        <f>F21</f>
        <v>100</v>
      </c>
      <c r="T21" s="711" t="s">
        <v>17</v>
      </c>
      <c r="U21" s="712">
        <f>H21</f>
        <v>100</v>
      </c>
      <c r="V21" s="711" t="s">
        <v>17</v>
      </c>
      <c r="W21" s="712">
        <f>J21</f>
        <v>100</v>
      </c>
      <c r="X21" s="1538"/>
      <c r="Y21" s="3274"/>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42"/>
      <c r="Q22" s="1535"/>
      <c r="R22" s="711"/>
      <c r="S22" s="712"/>
      <c r="T22" s="711"/>
      <c r="U22" s="712"/>
      <c r="V22" s="711"/>
      <c r="W22" s="712"/>
      <c r="X22" s="1538"/>
      <c r="Y22" s="3274"/>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42"/>
      <c r="Q23" s="1535" t="str">
        <f>B23</f>
        <v>环境质量</v>
      </c>
      <c r="R23" s="711" t="s">
        <v>17</v>
      </c>
      <c r="S23" s="712">
        <f>F23</f>
        <v>100</v>
      </c>
      <c r="T23" s="711" t="s">
        <v>17</v>
      </c>
      <c r="U23" s="712">
        <f>H23</f>
        <v>100</v>
      </c>
      <c r="V23" s="711" t="s">
        <v>17</v>
      </c>
      <c r="W23" s="712">
        <f>J23</f>
        <v>100</v>
      </c>
      <c r="X23" s="1538"/>
      <c r="Y23" s="3274"/>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42"/>
      <c r="Q24" s="1535"/>
      <c r="R24" s="711"/>
      <c r="S24" s="712"/>
      <c r="T24" s="711"/>
      <c r="U24" s="712"/>
      <c r="V24" s="711"/>
      <c r="W24" s="712"/>
      <c r="X24" s="1538"/>
      <c r="Y24" s="3274"/>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42"/>
      <c r="Q25" s="1535" t="str">
        <f>B25</f>
        <v>毗邻道路的类型与等级</v>
      </c>
      <c r="R25" s="711" t="s">
        <v>17</v>
      </c>
      <c r="S25" s="712">
        <f>F25</f>
        <v>100</v>
      </c>
      <c r="T25" s="711" t="s">
        <v>17</v>
      </c>
      <c r="U25" s="712">
        <f>H25</f>
        <v>100</v>
      </c>
      <c r="V25" s="711" t="s">
        <v>17</v>
      </c>
      <c r="W25" s="712">
        <f>J25</f>
        <v>100</v>
      </c>
      <c r="X25" s="1538"/>
      <c r="Y25" s="3274"/>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42"/>
      <c r="Q26" s="1535"/>
      <c r="R26" s="711"/>
      <c r="S26" s="712"/>
      <c r="T26" s="711"/>
      <c r="U26" s="712"/>
      <c r="V26" s="711"/>
      <c r="W26" s="712"/>
      <c r="X26" s="1538"/>
      <c r="Y26" s="3274"/>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42"/>
      <c r="Q27" s="1535" t="str">
        <f t="shared" ref="Q27:Q47" si="11">B27</f>
        <v>楼层</v>
      </c>
      <c r="R27" s="711" t="s">
        <v>17</v>
      </c>
      <c r="S27" s="712">
        <f>F27</f>
        <v>100</v>
      </c>
      <c r="T27" s="711" t="s">
        <v>17</v>
      </c>
      <c r="U27" s="712">
        <f>H27</f>
        <v>100</v>
      </c>
      <c r="V27" s="711" t="s">
        <v>17</v>
      </c>
      <c r="W27" s="712">
        <f>J27</f>
        <v>100</v>
      </c>
      <c r="X27" s="1538"/>
      <c r="Y27" s="3274"/>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42"/>
      <c r="Q28" s="1526" t="str">
        <f t="shared" si="11"/>
        <v>朝向</v>
      </c>
      <c r="R28" s="707" t="s">
        <v>17</v>
      </c>
      <c r="S28" s="708">
        <f>F28</f>
        <v>100</v>
      </c>
      <c r="T28" s="707" t="s">
        <v>17</v>
      </c>
      <c r="U28" s="708">
        <f>H28</f>
        <v>100</v>
      </c>
      <c r="V28" s="707" t="s">
        <v>17</v>
      </c>
      <c r="W28" s="708">
        <f>J28</f>
        <v>100</v>
      </c>
      <c r="X28" s="709"/>
      <c r="Y28" s="3274"/>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42"/>
      <c r="Q29" s="1535">
        <f t="shared" si="11"/>
        <v>111</v>
      </c>
      <c r="R29" s="711" t="s">
        <v>17</v>
      </c>
      <c r="S29" s="712">
        <f t="shared" ref="S29:S47" si="12">F29</f>
        <v>100</v>
      </c>
      <c r="T29" s="711" t="s">
        <v>17</v>
      </c>
      <c r="U29" s="712">
        <f t="shared" ref="U29:U47" si="13">H29</f>
        <v>100</v>
      </c>
      <c r="V29" s="711" t="s">
        <v>17</v>
      </c>
      <c r="W29" s="712">
        <f t="shared" ref="W29:W47" si="14">J29</f>
        <v>100</v>
      </c>
      <c r="X29" s="1538"/>
      <c r="Y29" s="3274"/>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42"/>
      <c r="Q30" s="1535">
        <f t="shared" si="11"/>
        <v>111</v>
      </c>
      <c r="R30" s="711" t="s">
        <v>17</v>
      </c>
      <c r="S30" s="712">
        <f t="shared" si="12"/>
        <v>100</v>
      </c>
      <c r="T30" s="711" t="s">
        <v>17</v>
      </c>
      <c r="U30" s="712">
        <f t="shared" si="13"/>
        <v>100</v>
      </c>
      <c r="V30" s="711" t="s">
        <v>17</v>
      </c>
      <c r="W30" s="712">
        <f t="shared" si="14"/>
        <v>100</v>
      </c>
      <c r="X30" s="1538"/>
      <c r="Y30" s="3274"/>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42"/>
      <c r="Q31" s="1535">
        <f t="shared" si="11"/>
        <v>111</v>
      </c>
      <c r="R31" s="711" t="s">
        <v>17</v>
      </c>
      <c r="S31" s="712">
        <f t="shared" si="12"/>
        <v>100</v>
      </c>
      <c r="T31" s="711" t="s">
        <v>17</v>
      </c>
      <c r="U31" s="712">
        <f t="shared" si="13"/>
        <v>100</v>
      </c>
      <c r="V31" s="711" t="s">
        <v>17</v>
      </c>
      <c r="W31" s="712">
        <f t="shared" si="14"/>
        <v>100</v>
      </c>
      <c r="X31" s="1538"/>
      <c r="Y31" s="3274"/>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42"/>
      <c r="Q32" s="1535">
        <f t="shared" si="11"/>
        <v>111</v>
      </c>
      <c r="R32" s="711" t="s">
        <v>17</v>
      </c>
      <c r="S32" s="712">
        <f t="shared" si="12"/>
        <v>100</v>
      </c>
      <c r="T32" s="711" t="s">
        <v>17</v>
      </c>
      <c r="U32" s="712">
        <f t="shared" si="13"/>
        <v>100</v>
      </c>
      <c r="V32" s="711" t="s">
        <v>17</v>
      </c>
      <c r="W32" s="712">
        <f t="shared" si="14"/>
        <v>100</v>
      </c>
      <c r="X32" s="1538"/>
      <c r="Y32" s="3274"/>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37" t="s">
        <v>2387</v>
      </c>
      <c r="Q33" s="1535" t="str">
        <f t="shared" si="11"/>
        <v>建筑类型</v>
      </c>
      <c r="R33" s="711" t="s">
        <v>17</v>
      </c>
      <c r="S33" s="712">
        <f t="shared" si="12"/>
        <v>100</v>
      </c>
      <c r="T33" s="711" t="s">
        <v>17</v>
      </c>
      <c r="U33" s="712">
        <f t="shared" si="13"/>
        <v>100</v>
      </c>
      <c r="V33" s="711" t="s">
        <v>17</v>
      </c>
      <c r="W33" s="712">
        <f t="shared" si="14"/>
        <v>100</v>
      </c>
      <c r="X33" s="1538"/>
      <c r="Y33" s="3276"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38"/>
      <c r="Q34" s="713" t="str">
        <f t="shared" si="11"/>
        <v>项目建筑规模</v>
      </c>
      <c r="R34" s="714" t="s">
        <v>17</v>
      </c>
      <c r="S34" s="715" t="e">
        <f t="shared" si="12"/>
        <v>#N/A</v>
      </c>
      <c r="T34" s="714" t="s">
        <v>17</v>
      </c>
      <c r="U34" s="715" t="e">
        <f t="shared" si="13"/>
        <v>#N/A</v>
      </c>
      <c r="V34" s="714" t="s">
        <v>17</v>
      </c>
      <c r="W34" s="715" t="e">
        <f t="shared" si="14"/>
        <v>#N/A</v>
      </c>
      <c r="X34" s="716"/>
      <c r="Y34" s="3276"/>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38"/>
      <c r="Q35" s="1535" t="str">
        <f t="shared" si="11"/>
        <v>建筑结构</v>
      </c>
      <c r="R35" s="711" t="s">
        <v>17</v>
      </c>
      <c r="S35" s="712">
        <f t="shared" si="12"/>
        <v>100</v>
      </c>
      <c r="T35" s="711" t="s">
        <v>17</v>
      </c>
      <c r="U35" s="712">
        <f t="shared" si="13"/>
        <v>100</v>
      </c>
      <c r="V35" s="711" t="s">
        <v>17</v>
      </c>
      <c r="W35" s="712">
        <f t="shared" si="14"/>
        <v>100</v>
      </c>
      <c r="X35" s="1538"/>
      <c r="Y35" s="3276"/>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38"/>
      <c r="Q36" s="1535" t="str">
        <f t="shared" si="11"/>
        <v>公共部分装修</v>
      </c>
      <c r="R36" s="711" t="s">
        <v>17</v>
      </c>
      <c r="S36" s="712">
        <f t="shared" si="12"/>
        <v>100</v>
      </c>
      <c r="T36" s="711" t="s">
        <v>17</v>
      </c>
      <c r="U36" s="712">
        <f t="shared" si="13"/>
        <v>100</v>
      </c>
      <c r="V36" s="711" t="s">
        <v>17</v>
      </c>
      <c r="W36" s="712">
        <f t="shared" si="14"/>
        <v>100</v>
      </c>
      <c r="X36" s="1538"/>
      <c r="Y36" s="3276"/>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38"/>
      <c r="Q37" s="1535" t="str">
        <f t="shared" si="11"/>
        <v>成新度</v>
      </c>
      <c r="R37" s="711" t="s">
        <v>17</v>
      </c>
      <c r="S37" s="712" t="e">
        <f t="shared" si="12"/>
        <v>#N/A</v>
      </c>
      <c r="T37" s="711" t="s">
        <v>17</v>
      </c>
      <c r="U37" s="712" t="e">
        <f t="shared" si="13"/>
        <v>#N/A</v>
      </c>
      <c r="V37" s="711" t="s">
        <v>17</v>
      </c>
      <c r="W37" s="712" t="e">
        <f t="shared" si="14"/>
        <v>#N/A</v>
      </c>
      <c r="X37" s="1538"/>
      <c r="Y37" s="3276"/>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38"/>
      <c r="Q38" s="1526" t="str">
        <f t="shared" si="11"/>
        <v>写字楼等级</v>
      </c>
      <c r="R38" s="707" t="s">
        <v>17</v>
      </c>
      <c r="S38" s="708">
        <f t="shared" si="12"/>
        <v>100</v>
      </c>
      <c r="T38" s="707" t="s">
        <v>17</v>
      </c>
      <c r="U38" s="708">
        <f t="shared" si="13"/>
        <v>100</v>
      </c>
      <c r="V38" s="707" t="s">
        <v>17</v>
      </c>
      <c r="W38" s="708">
        <f t="shared" si="14"/>
        <v>100</v>
      </c>
      <c r="X38" s="709"/>
      <c r="Y38" s="3276"/>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38" t="s">
        <v>2387</v>
      </c>
      <c r="Q39" s="1535" t="str">
        <f t="shared" si="11"/>
        <v>物业管理</v>
      </c>
      <c r="R39" s="711" t="s">
        <v>17</v>
      </c>
      <c r="S39" s="712">
        <f t="shared" si="12"/>
        <v>100</v>
      </c>
      <c r="T39" s="711" t="s">
        <v>17</v>
      </c>
      <c r="U39" s="712">
        <f t="shared" si="13"/>
        <v>100</v>
      </c>
      <c r="V39" s="711" t="s">
        <v>17</v>
      </c>
      <c r="W39" s="712">
        <f t="shared" si="14"/>
        <v>100</v>
      </c>
      <c r="X39" s="1538"/>
      <c r="Y39" s="3276"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38"/>
      <c r="Q40" s="1535" t="str">
        <f t="shared" si="11"/>
        <v>市政基础设施</v>
      </c>
      <c r="R40" s="711" t="s">
        <v>17</v>
      </c>
      <c r="S40" s="712">
        <f t="shared" si="12"/>
        <v>100</v>
      </c>
      <c r="T40" s="711" t="s">
        <v>17</v>
      </c>
      <c r="U40" s="712">
        <f t="shared" si="13"/>
        <v>100</v>
      </c>
      <c r="V40" s="711" t="s">
        <v>17</v>
      </c>
      <c r="W40" s="712">
        <f t="shared" si="14"/>
        <v>100</v>
      </c>
      <c r="X40" s="1538"/>
      <c r="Y40" s="3276"/>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38"/>
      <c r="Q41" s="1535" t="str">
        <f t="shared" si="11"/>
        <v>层高</v>
      </c>
      <c r="R41" s="711" t="s">
        <v>17</v>
      </c>
      <c r="S41" s="712">
        <f t="shared" si="12"/>
        <v>100</v>
      </c>
      <c r="T41" s="711" t="s">
        <v>17</v>
      </c>
      <c r="U41" s="712">
        <f t="shared" si="13"/>
        <v>100</v>
      </c>
      <c r="V41" s="711" t="s">
        <v>17</v>
      </c>
      <c r="W41" s="712">
        <f t="shared" si="14"/>
        <v>100</v>
      </c>
      <c r="X41" s="1538"/>
      <c r="Y41" s="3276"/>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38"/>
      <c r="Q42" s="713" t="str">
        <f t="shared" si="11"/>
        <v>单套建筑面积</v>
      </c>
      <c r="R42" s="714" t="s">
        <v>17</v>
      </c>
      <c r="S42" s="715">
        <f t="shared" si="12"/>
        <v>100</v>
      </c>
      <c r="T42" s="714" t="s">
        <v>17</v>
      </c>
      <c r="U42" s="715">
        <f t="shared" si="13"/>
        <v>100</v>
      </c>
      <c r="V42" s="714" t="s">
        <v>17</v>
      </c>
      <c r="W42" s="715">
        <f t="shared" si="14"/>
        <v>100</v>
      </c>
      <c r="X42" s="716"/>
      <c r="Y42" s="3276"/>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38"/>
      <c r="Q43" s="1535" t="str">
        <f t="shared" si="11"/>
        <v>内部装修</v>
      </c>
      <c r="R43" s="711" t="s">
        <v>17</v>
      </c>
      <c r="S43" s="712">
        <f t="shared" si="12"/>
        <v>100</v>
      </c>
      <c r="T43" s="711" t="s">
        <v>17</v>
      </c>
      <c r="U43" s="712">
        <f t="shared" si="13"/>
        <v>100</v>
      </c>
      <c r="V43" s="711" t="s">
        <v>17</v>
      </c>
      <c r="W43" s="712">
        <f t="shared" si="14"/>
        <v>100</v>
      </c>
      <c r="X43" s="1538"/>
      <c r="Y43" s="3276"/>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38"/>
      <c r="Q44" s="1535" t="str">
        <f t="shared" si="11"/>
        <v>内部装修维护情况</v>
      </c>
      <c r="R44" s="711" t="s">
        <v>17</v>
      </c>
      <c r="S44" s="712">
        <f t="shared" si="12"/>
        <v>100</v>
      </c>
      <c r="T44" s="711" t="s">
        <v>17</v>
      </c>
      <c r="U44" s="712">
        <f t="shared" si="13"/>
        <v>100</v>
      </c>
      <c r="V44" s="711" t="s">
        <v>17</v>
      </c>
      <c r="W44" s="712">
        <f t="shared" si="14"/>
        <v>100</v>
      </c>
      <c r="X44" s="1538"/>
      <c r="Y44" s="3276"/>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38"/>
      <c r="Q45" s="1526">
        <f t="shared" si="11"/>
        <v>111</v>
      </c>
      <c r="R45" s="707" t="s">
        <v>17</v>
      </c>
      <c r="S45" s="708">
        <f t="shared" si="12"/>
        <v>100</v>
      </c>
      <c r="T45" s="707" t="s">
        <v>17</v>
      </c>
      <c r="U45" s="708">
        <f t="shared" si="13"/>
        <v>100</v>
      </c>
      <c r="V45" s="707" t="s">
        <v>17</v>
      </c>
      <c r="W45" s="708">
        <f t="shared" si="14"/>
        <v>100</v>
      </c>
      <c r="X45" s="709"/>
      <c r="Y45" s="3276"/>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38"/>
      <c r="Q46" s="1535">
        <f t="shared" si="11"/>
        <v>111</v>
      </c>
      <c r="R46" s="711" t="s">
        <v>17</v>
      </c>
      <c r="S46" s="712">
        <f t="shared" si="12"/>
        <v>100</v>
      </c>
      <c r="T46" s="711" t="s">
        <v>17</v>
      </c>
      <c r="U46" s="712">
        <f t="shared" si="13"/>
        <v>100</v>
      </c>
      <c r="V46" s="711" t="s">
        <v>17</v>
      </c>
      <c r="W46" s="712">
        <f t="shared" si="14"/>
        <v>100</v>
      </c>
      <c r="X46" s="1538"/>
      <c r="Y46" s="3276"/>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39"/>
      <c r="Q47" s="1535">
        <f t="shared" si="11"/>
        <v>111</v>
      </c>
      <c r="R47" s="711" t="s">
        <v>17</v>
      </c>
      <c r="S47" s="712">
        <f t="shared" si="12"/>
        <v>100</v>
      </c>
      <c r="T47" s="711" t="s">
        <v>17</v>
      </c>
      <c r="U47" s="712">
        <f t="shared" si="13"/>
        <v>100</v>
      </c>
      <c r="V47" s="711" t="s">
        <v>17</v>
      </c>
      <c r="W47" s="712">
        <f t="shared" si="14"/>
        <v>100</v>
      </c>
      <c r="X47" s="1538"/>
      <c r="Y47" s="3340"/>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270" t="str">
        <f>A48</f>
        <v>成交单价（元/平方米）</v>
      </c>
      <c r="Q48" s="3271"/>
      <c r="R48" s="3336">
        <f>E48</f>
        <v>0</v>
      </c>
      <c r="S48" s="3336"/>
      <c r="T48" s="3336">
        <f>G48</f>
        <v>0</v>
      </c>
      <c r="U48" s="3336"/>
      <c r="V48" s="3336">
        <f>I48</f>
        <v>0</v>
      </c>
      <c r="W48" s="3336"/>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270" t="str">
        <f>A49</f>
        <v>比较价值（元/平方米）</v>
      </c>
      <c r="Q49" s="327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43" t="str">
        <f>A50</f>
        <v>估价对象XX用房的比较价值（楼面单价，元/平方米）</v>
      </c>
      <c r="Q50" s="3344"/>
      <c r="R50" s="3345" t="e">
        <f>IF(F1="售价",ROUND(IF(D49="简单平均",AVERAGE(R49:V49),R49*F49+T49*H49+V49*J49),0),ROUND(IF(D49="简单平均",AVERAGE(R49:V49),R49*F49+T49*H49+V49*J49),1))</f>
        <v>#DIV/0!</v>
      </c>
      <c r="S50" s="3345"/>
      <c r="T50" s="3345"/>
      <c r="U50" s="3345"/>
      <c r="V50" s="3345"/>
      <c r="W50" s="3345"/>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8684.6199999999972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68" t="s">
        <v>2468</v>
      </c>
      <c r="D4" s="3281"/>
      <c r="E4" s="3282" t="s">
        <v>2469</v>
      </c>
      <c r="F4" s="3283"/>
      <c r="G4" s="3268" t="s">
        <v>2470</v>
      </c>
      <c r="H4" s="3281"/>
      <c r="I4" s="3268" t="s">
        <v>2471</v>
      </c>
      <c r="J4" s="3281"/>
      <c r="K4" s="564" t="s">
        <v>2472</v>
      </c>
      <c r="L4" s="1041"/>
      <c r="M4" s="1042"/>
      <c r="N4" s="1042"/>
      <c r="O4" s="1042"/>
      <c r="P4" s="3284" t="s">
        <v>2473</v>
      </c>
      <c r="Q4" s="3285"/>
      <c r="R4" s="3290" t="s">
        <v>2469</v>
      </c>
      <c r="S4" s="3291"/>
      <c r="T4" s="3290" t="s">
        <v>2470</v>
      </c>
      <c r="U4" s="3291"/>
      <c r="V4" s="3277" t="s">
        <v>2471</v>
      </c>
      <c r="W4" s="3277"/>
      <c r="X4" s="1538"/>
      <c r="Y4" s="3290" t="s">
        <v>2473</v>
      </c>
      <c r="Z4" s="3291"/>
      <c r="AA4" s="3278" t="s">
        <v>2469</v>
      </c>
      <c r="AB4" s="3279" t="s">
        <v>2470</v>
      </c>
      <c r="AC4" s="3278" t="s">
        <v>2471</v>
      </c>
    </row>
    <row r="5" spans="1:29" ht="15">
      <c r="A5" s="361"/>
      <c r="B5" s="362"/>
      <c r="C5" s="3298" t="s">
        <v>2364</v>
      </c>
      <c r="D5" s="3299"/>
      <c r="E5" s="3305" t="s">
        <v>2365</v>
      </c>
      <c r="F5" s="3306"/>
      <c r="G5" s="3298" t="s">
        <v>2366</v>
      </c>
      <c r="H5" s="3299"/>
      <c r="I5" s="3298" t="s">
        <v>2367</v>
      </c>
      <c r="J5" s="3299"/>
      <c r="K5" s="564"/>
      <c r="L5" s="1041"/>
      <c r="M5" s="1042"/>
      <c r="N5" s="1042"/>
      <c r="O5" s="1042"/>
      <c r="P5" s="3286"/>
      <c r="Q5" s="3287"/>
      <c r="R5" s="3292"/>
      <c r="S5" s="3293"/>
      <c r="T5" s="3292"/>
      <c r="U5" s="3293"/>
      <c r="V5" s="3277"/>
      <c r="W5" s="3277"/>
      <c r="X5" s="1538"/>
      <c r="Y5" s="3292"/>
      <c r="Z5" s="3293"/>
      <c r="AA5" s="3279"/>
      <c r="AB5" s="3279"/>
      <c r="AC5" s="3279"/>
    </row>
    <row r="6" spans="1:29" ht="15.75" thickBot="1">
      <c r="A6" s="363"/>
      <c r="B6" s="364"/>
      <c r="C6" s="3296" t="s">
        <v>2368</v>
      </c>
      <c r="D6" s="3297"/>
      <c r="E6" s="3303" t="s">
        <v>2368</v>
      </c>
      <c r="F6" s="3304"/>
      <c r="G6" s="3296" t="s">
        <v>2368</v>
      </c>
      <c r="H6" s="3297"/>
      <c r="I6" s="3296" t="s">
        <v>2368</v>
      </c>
      <c r="J6" s="3297"/>
      <c r="K6" s="564" t="s">
        <v>2369</v>
      </c>
      <c r="L6" s="1041"/>
      <c r="M6" s="1042"/>
      <c r="N6" s="1042"/>
      <c r="O6" s="1042"/>
      <c r="P6" s="3288"/>
      <c r="Q6" s="3289"/>
      <c r="R6" s="3292"/>
      <c r="S6" s="3293"/>
      <c r="T6" s="3294"/>
      <c r="U6" s="3295"/>
      <c r="V6" s="3277"/>
      <c r="W6" s="3277"/>
      <c r="X6" s="1538"/>
      <c r="Y6" s="3294"/>
      <c r="Z6" s="3295"/>
      <c r="AA6" s="3280"/>
      <c r="AB6" s="3280"/>
      <c r="AC6" s="3280"/>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00" t="s">
        <v>2371</v>
      </c>
      <c r="Q7" s="3302"/>
      <c r="R7" s="707" t="s">
        <v>17</v>
      </c>
      <c r="S7" s="708">
        <f t="shared" ref="S7:S15" si="0">F7</f>
        <v>0</v>
      </c>
      <c r="T7" s="707" t="s">
        <v>17</v>
      </c>
      <c r="U7" s="708">
        <f t="shared" ref="U7:U15" si="1">H7</f>
        <v>0</v>
      </c>
      <c r="V7" s="707" t="s">
        <v>17</v>
      </c>
      <c r="W7" s="708">
        <f t="shared" ref="W7:W15" si="2">J7</f>
        <v>0</v>
      </c>
      <c r="X7" s="709"/>
      <c r="Y7" s="3300" t="s">
        <v>2371</v>
      </c>
      <c r="Z7" s="3301"/>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00" t="s">
        <v>2374</v>
      </c>
      <c r="Q8" s="3301"/>
      <c r="R8" s="707" t="s">
        <v>17</v>
      </c>
      <c r="S8" s="708">
        <f t="shared" si="0"/>
        <v>0</v>
      </c>
      <c r="T8" s="707" t="s">
        <v>17</v>
      </c>
      <c r="U8" s="708">
        <f t="shared" si="1"/>
        <v>0</v>
      </c>
      <c r="V8" s="707" t="s">
        <v>17</v>
      </c>
      <c r="W8" s="708">
        <f t="shared" si="2"/>
        <v>0</v>
      </c>
      <c r="X8" s="709"/>
      <c r="Y8" s="3300" t="s">
        <v>2374</v>
      </c>
      <c r="Z8" s="3301"/>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71"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71"/>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71"/>
      <c r="Q11" s="1526" t="str">
        <f t="shared" si="6"/>
        <v>容积率</v>
      </c>
      <c r="R11" s="707" t="s">
        <v>17</v>
      </c>
      <c r="S11" s="708" t="e">
        <f t="shared" si="0"/>
        <v>#N/A</v>
      </c>
      <c r="T11" s="707" t="s">
        <v>17</v>
      </c>
      <c r="U11" s="708" t="e">
        <f t="shared" si="1"/>
        <v>#N/A</v>
      </c>
      <c r="V11" s="707" t="s">
        <v>17</v>
      </c>
      <c r="W11" s="708" t="e">
        <f t="shared" si="2"/>
        <v>#N/A</v>
      </c>
      <c r="X11" s="709"/>
      <c r="Y11" s="3161"/>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71"/>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71"/>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71"/>
      <c r="Q14" s="1526">
        <f t="shared" si="6"/>
        <v>111</v>
      </c>
      <c r="R14" s="707" t="s">
        <v>17</v>
      </c>
      <c r="S14" s="708">
        <f t="shared" si="0"/>
        <v>100</v>
      </c>
      <c r="T14" s="707" t="s">
        <v>17</v>
      </c>
      <c r="U14" s="708">
        <f t="shared" si="1"/>
        <v>100</v>
      </c>
      <c r="V14" s="707" t="s">
        <v>17</v>
      </c>
      <c r="W14" s="708">
        <f t="shared" si="2"/>
        <v>100</v>
      </c>
      <c r="X14" s="709"/>
      <c r="Y14" s="3161"/>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73" t="s">
        <v>2382</v>
      </c>
      <c r="Q15" s="1535" t="str">
        <f t="shared" si="6"/>
        <v>产业集聚程度</v>
      </c>
      <c r="R15" s="711" t="s">
        <v>17</v>
      </c>
      <c r="S15" s="712">
        <f t="shared" si="0"/>
        <v>100</v>
      </c>
      <c r="T15" s="711" t="s">
        <v>17</v>
      </c>
      <c r="U15" s="712">
        <f t="shared" si="1"/>
        <v>100</v>
      </c>
      <c r="V15" s="711" t="s">
        <v>17</v>
      </c>
      <c r="W15" s="712">
        <f t="shared" si="2"/>
        <v>100</v>
      </c>
      <c r="X15" s="1538"/>
      <c r="Y15" s="3273"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74"/>
      <c r="Q16" s="1535"/>
      <c r="R16" s="711"/>
      <c r="S16" s="712"/>
      <c r="T16" s="711"/>
      <c r="U16" s="712"/>
      <c r="V16" s="711"/>
      <c r="W16" s="712"/>
      <c r="X16" s="1538"/>
      <c r="Y16" s="3274"/>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74"/>
      <c r="Q17" s="1535" t="str">
        <f>B17</f>
        <v>交通便捷度</v>
      </c>
      <c r="R17" s="711" t="s">
        <v>17</v>
      </c>
      <c r="S17" s="712">
        <f>F17</f>
        <v>100</v>
      </c>
      <c r="T17" s="711" t="s">
        <v>17</v>
      </c>
      <c r="U17" s="712">
        <f>H17</f>
        <v>100</v>
      </c>
      <c r="V17" s="711" t="s">
        <v>17</v>
      </c>
      <c r="W17" s="712">
        <f>J17</f>
        <v>100</v>
      </c>
      <c r="X17" s="1538"/>
      <c r="Y17" s="3274"/>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74"/>
      <c r="Q18" s="1535"/>
      <c r="R18" s="711"/>
      <c r="S18" s="712"/>
      <c r="T18" s="711"/>
      <c r="U18" s="712"/>
      <c r="V18" s="711"/>
      <c r="W18" s="712"/>
      <c r="X18" s="1538"/>
      <c r="Y18" s="3274"/>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74"/>
      <c r="Q19" s="1535" t="str">
        <f>B19</f>
        <v>公共配套设施</v>
      </c>
      <c r="R19" s="711" t="s">
        <v>17</v>
      </c>
      <c r="S19" s="712">
        <f>F19</f>
        <v>100</v>
      </c>
      <c r="T19" s="711" t="s">
        <v>17</v>
      </c>
      <c r="U19" s="712">
        <f>H19</f>
        <v>100</v>
      </c>
      <c r="V19" s="711" t="s">
        <v>17</v>
      </c>
      <c r="W19" s="712">
        <f>J19</f>
        <v>100</v>
      </c>
      <c r="X19" s="1538"/>
      <c r="Y19" s="3274"/>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74"/>
      <c r="Q20" s="1535"/>
      <c r="R20" s="711"/>
      <c r="S20" s="712"/>
      <c r="T20" s="711"/>
      <c r="U20" s="712"/>
      <c r="V20" s="711"/>
      <c r="W20" s="712"/>
      <c r="X20" s="1538"/>
      <c r="Y20" s="3274"/>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74"/>
      <c r="Q21" s="1535" t="str">
        <f>B21</f>
        <v>基础设施水平</v>
      </c>
      <c r="R21" s="711" t="s">
        <v>17</v>
      </c>
      <c r="S21" s="712">
        <f>F21</f>
        <v>100</v>
      </c>
      <c r="T21" s="711" t="s">
        <v>17</v>
      </c>
      <c r="U21" s="712">
        <f>H21</f>
        <v>100</v>
      </c>
      <c r="V21" s="711" t="s">
        <v>17</v>
      </c>
      <c r="W21" s="712">
        <f>J21</f>
        <v>100</v>
      </c>
      <c r="X21" s="1538"/>
      <c r="Y21" s="3274"/>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74"/>
      <c r="Q22" s="1535"/>
      <c r="R22" s="711"/>
      <c r="S22" s="712"/>
      <c r="T22" s="711"/>
      <c r="U22" s="712"/>
      <c r="V22" s="711"/>
      <c r="W22" s="712"/>
      <c r="X22" s="1538"/>
      <c r="Y22" s="3274"/>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74"/>
      <c r="Q23" s="1535" t="str">
        <f>B23</f>
        <v>环境质量</v>
      </c>
      <c r="R23" s="711" t="s">
        <v>17</v>
      </c>
      <c r="S23" s="712">
        <f>F23</f>
        <v>100</v>
      </c>
      <c r="T23" s="711" t="s">
        <v>17</v>
      </c>
      <c r="U23" s="712">
        <f>H23</f>
        <v>100</v>
      </c>
      <c r="V23" s="711" t="s">
        <v>17</v>
      </c>
      <c r="W23" s="712">
        <f>J23</f>
        <v>100</v>
      </c>
      <c r="X23" s="1538"/>
      <c r="Y23" s="3274"/>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74"/>
      <c r="Q24" s="1535"/>
      <c r="R24" s="711"/>
      <c r="S24" s="712"/>
      <c r="T24" s="711"/>
      <c r="U24" s="712"/>
      <c r="V24" s="711"/>
      <c r="W24" s="712"/>
      <c r="X24" s="1538"/>
      <c r="Y24" s="3274"/>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74"/>
      <c r="Q25" s="1535">
        <f>B25</f>
        <v>111</v>
      </c>
      <c r="R25" s="711" t="s">
        <v>17</v>
      </c>
      <c r="S25" s="712">
        <f>F25</f>
        <v>100</v>
      </c>
      <c r="T25" s="711" t="s">
        <v>17</v>
      </c>
      <c r="U25" s="712">
        <f>H25</f>
        <v>100</v>
      </c>
      <c r="V25" s="711" t="s">
        <v>17</v>
      </c>
      <c r="W25" s="712">
        <f>J25</f>
        <v>100</v>
      </c>
      <c r="X25" s="1538"/>
      <c r="Y25" s="3274"/>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74"/>
      <c r="Q26" s="1535">
        <f t="shared" ref="Q26:Q40" si="11">B26</f>
        <v>111</v>
      </c>
      <c r="R26" s="711" t="s">
        <v>17</v>
      </c>
      <c r="S26" s="712">
        <f>F26</f>
        <v>100</v>
      </c>
      <c r="T26" s="711" t="s">
        <v>17</v>
      </c>
      <c r="U26" s="712">
        <f>H26</f>
        <v>100</v>
      </c>
      <c r="V26" s="711" t="s">
        <v>17</v>
      </c>
      <c r="W26" s="712">
        <f>J26</f>
        <v>100</v>
      </c>
      <c r="X26" s="1538"/>
      <c r="Y26" s="3274"/>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74"/>
      <c r="Q27" s="1526">
        <f t="shared" si="11"/>
        <v>111</v>
      </c>
      <c r="R27" s="707" t="s">
        <v>17</v>
      </c>
      <c r="S27" s="708">
        <f>F27</f>
        <v>100</v>
      </c>
      <c r="T27" s="707" t="s">
        <v>17</v>
      </c>
      <c r="U27" s="708">
        <f>H27</f>
        <v>100</v>
      </c>
      <c r="V27" s="707" t="s">
        <v>17</v>
      </c>
      <c r="W27" s="708">
        <f>J27</f>
        <v>100</v>
      </c>
      <c r="X27" s="709"/>
      <c r="Y27" s="3274"/>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74"/>
      <c r="Q28" s="1535">
        <f t="shared" si="11"/>
        <v>111</v>
      </c>
      <c r="R28" s="711" t="s">
        <v>17</v>
      </c>
      <c r="S28" s="712">
        <f t="shared" ref="S28:S40" si="12">F28</f>
        <v>100</v>
      </c>
      <c r="T28" s="711" t="s">
        <v>17</v>
      </c>
      <c r="U28" s="712">
        <f t="shared" ref="U28:U40" si="13">H28</f>
        <v>100</v>
      </c>
      <c r="V28" s="711" t="s">
        <v>17</v>
      </c>
      <c r="W28" s="712">
        <f t="shared" ref="W28:W40" si="14">J28</f>
        <v>100</v>
      </c>
      <c r="X28" s="1538"/>
      <c r="Y28" s="3274"/>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75" t="s">
        <v>2387</v>
      </c>
      <c r="Q29" s="1535" t="str">
        <f t="shared" si="11"/>
        <v>建筑类型</v>
      </c>
      <c r="R29" s="711" t="s">
        <v>17</v>
      </c>
      <c r="S29" s="712">
        <f t="shared" si="12"/>
        <v>100</v>
      </c>
      <c r="T29" s="711" t="s">
        <v>17</v>
      </c>
      <c r="U29" s="712">
        <f t="shared" si="13"/>
        <v>100</v>
      </c>
      <c r="V29" s="711" t="s">
        <v>17</v>
      </c>
      <c r="W29" s="712">
        <f t="shared" si="14"/>
        <v>100</v>
      </c>
      <c r="X29" s="1538"/>
      <c r="Y29" s="3276"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76"/>
      <c r="Q30" s="713" t="str">
        <f t="shared" si="11"/>
        <v>项目建筑规模</v>
      </c>
      <c r="R30" s="714" t="s">
        <v>17</v>
      </c>
      <c r="S30" s="715" t="e">
        <f t="shared" si="12"/>
        <v>#N/A</v>
      </c>
      <c r="T30" s="714" t="s">
        <v>17</v>
      </c>
      <c r="U30" s="715" t="e">
        <f t="shared" si="13"/>
        <v>#N/A</v>
      </c>
      <c r="V30" s="714" t="s">
        <v>17</v>
      </c>
      <c r="W30" s="715" t="e">
        <f t="shared" si="14"/>
        <v>#N/A</v>
      </c>
      <c r="X30" s="716"/>
      <c r="Y30" s="3276"/>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76"/>
      <c r="Q31" s="1535" t="str">
        <f t="shared" si="11"/>
        <v>建筑结构</v>
      </c>
      <c r="R31" s="711" t="s">
        <v>17</v>
      </c>
      <c r="S31" s="712">
        <f t="shared" si="12"/>
        <v>100</v>
      </c>
      <c r="T31" s="711" t="s">
        <v>17</v>
      </c>
      <c r="U31" s="712">
        <f t="shared" si="13"/>
        <v>100</v>
      </c>
      <c r="V31" s="711" t="s">
        <v>17</v>
      </c>
      <c r="W31" s="712">
        <f t="shared" si="14"/>
        <v>100</v>
      </c>
      <c r="X31" s="1538"/>
      <c r="Y31" s="3276"/>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76"/>
      <c r="Q32" s="1535" t="str">
        <f t="shared" si="11"/>
        <v>公共部分装修</v>
      </c>
      <c r="R32" s="711" t="s">
        <v>17</v>
      </c>
      <c r="S32" s="712">
        <f t="shared" si="12"/>
        <v>100</v>
      </c>
      <c r="T32" s="711" t="s">
        <v>17</v>
      </c>
      <c r="U32" s="712">
        <f t="shared" si="13"/>
        <v>100</v>
      </c>
      <c r="V32" s="711" t="s">
        <v>17</v>
      </c>
      <c r="W32" s="712">
        <f t="shared" si="14"/>
        <v>100</v>
      </c>
      <c r="X32" s="1538"/>
      <c r="Y32" s="3276"/>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76"/>
      <c r="Q33" s="1535" t="str">
        <f t="shared" si="11"/>
        <v>成新度</v>
      </c>
      <c r="R33" s="711" t="s">
        <v>17</v>
      </c>
      <c r="S33" s="712" t="e">
        <f t="shared" si="12"/>
        <v>#N/A</v>
      </c>
      <c r="T33" s="711" t="s">
        <v>17</v>
      </c>
      <c r="U33" s="712" t="e">
        <f t="shared" si="13"/>
        <v>#N/A</v>
      </c>
      <c r="V33" s="711" t="s">
        <v>17</v>
      </c>
      <c r="W33" s="712" t="e">
        <f t="shared" si="14"/>
        <v>#N/A</v>
      </c>
      <c r="X33" s="1538"/>
      <c r="Y33" s="3276"/>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76"/>
      <c r="Q34" s="1526" t="str">
        <f t="shared" si="11"/>
        <v>物业管理</v>
      </c>
      <c r="R34" s="707" t="s">
        <v>17</v>
      </c>
      <c r="S34" s="708">
        <f t="shared" si="12"/>
        <v>100</v>
      </c>
      <c r="T34" s="707" t="s">
        <v>17</v>
      </c>
      <c r="U34" s="708">
        <f t="shared" si="13"/>
        <v>100</v>
      </c>
      <c r="V34" s="707" t="s">
        <v>17</v>
      </c>
      <c r="W34" s="708">
        <f t="shared" si="14"/>
        <v>100</v>
      </c>
      <c r="X34" s="709"/>
      <c r="Y34" s="3276"/>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76" t="s">
        <v>2387</v>
      </c>
      <c r="Q35" s="1535" t="str">
        <f t="shared" si="11"/>
        <v>市政基础设施</v>
      </c>
      <c r="R35" s="711" t="s">
        <v>17</v>
      </c>
      <c r="S35" s="712">
        <f t="shared" si="12"/>
        <v>100</v>
      </c>
      <c r="T35" s="711" t="s">
        <v>17</v>
      </c>
      <c r="U35" s="712">
        <f t="shared" si="13"/>
        <v>100</v>
      </c>
      <c r="V35" s="711" t="s">
        <v>17</v>
      </c>
      <c r="W35" s="712">
        <f t="shared" si="14"/>
        <v>100</v>
      </c>
      <c r="X35" s="1538"/>
      <c r="Y35" s="3276"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76"/>
      <c r="Q36" s="1535" t="str">
        <f t="shared" si="11"/>
        <v>内部装修</v>
      </c>
      <c r="R36" s="711" t="s">
        <v>17</v>
      </c>
      <c r="S36" s="712">
        <f t="shared" si="12"/>
        <v>100</v>
      </c>
      <c r="T36" s="711" t="s">
        <v>17</v>
      </c>
      <c r="U36" s="712">
        <f t="shared" si="13"/>
        <v>100</v>
      </c>
      <c r="V36" s="711" t="s">
        <v>17</v>
      </c>
      <c r="W36" s="712">
        <f t="shared" si="14"/>
        <v>100</v>
      </c>
      <c r="X36" s="1538"/>
      <c r="Y36" s="3276"/>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76"/>
      <c r="Q37" s="1535" t="str">
        <f t="shared" si="11"/>
        <v>内部装修状况</v>
      </c>
      <c r="R37" s="711" t="s">
        <v>17</v>
      </c>
      <c r="S37" s="712">
        <f t="shared" si="12"/>
        <v>100</v>
      </c>
      <c r="T37" s="711" t="s">
        <v>17</v>
      </c>
      <c r="U37" s="712">
        <f t="shared" si="13"/>
        <v>100</v>
      </c>
      <c r="V37" s="711" t="s">
        <v>17</v>
      </c>
      <c r="W37" s="712">
        <f t="shared" si="14"/>
        <v>100</v>
      </c>
      <c r="X37" s="1538"/>
      <c r="Y37" s="3276"/>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76"/>
      <c r="Q38" s="713">
        <f t="shared" si="11"/>
        <v>111</v>
      </c>
      <c r="R38" s="714" t="s">
        <v>17</v>
      </c>
      <c r="S38" s="715">
        <f t="shared" si="12"/>
        <v>100</v>
      </c>
      <c r="T38" s="714" t="s">
        <v>17</v>
      </c>
      <c r="U38" s="715">
        <f t="shared" si="13"/>
        <v>100</v>
      </c>
      <c r="V38" s="714" t="s">
        <v>17</v>
      </c>
      <c r="W38" s="715">
        <f t="shared" si="14"/>
        <v>100</v>
      </c>
      <c r="X38" s="716"/>
      <c r="Y38" s="3276"/>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76"/>
      <c r="Q39" s="1535">
        <f t="shared" si="11"/>
        <v>111</v>
      </c>
      <c r="R39" s="711" t="s">
        <v>17</v>
      </c>
      <c r="S39" s="712">
        <f t="shared" si="12"/>
        <v>100</v>
      </c>
      <c r="T39" s="711" t="s">
        <v>17</v>
      </c>
      <c r="U39" s="712">
        <f t="shared" si="13"/>
        <v>100</v>
      </c>
      <c r="V39" s="711" t="s">
        <v>17</v>
      </c>
      <c r="W39" s="712">
        <f t="shared" si="14"/>
        <v>100</v>
      </c>
      <c r="X39" s="1538"/>
      <c r="Y39" s="3276"/>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40"/>
      <c r="Q40" s="1535">
        <f t="shared" si="11"/>
        <v>111</v>
      </c>
      <c r="R40" s="711" t="s">
        <v>17</v>
      </c>
      <c r="S40" s="712">
        <f t="shared" si="12"/>
        <v>100</v>
      </c>
      <c r="T40" s="711" t="s">
        <v>17</v>
      </c>
      <c r="U40" s="712">
        <f t="shared" si="13"/>
        <v>100</v>
      </c>
      <c r="V40" s="711" t="s">
        <v>17</v>
      </c>
      <c r="W40" s="712">
        <f t="shared" si="14"/>
        <v>100</v>
      </c>
      <c r="X40" s="1538"/>
      <c r="Y40" s="3340"/>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71" t="str">
        <f>A41</f>
        <v>成交单价（元/平方米）</v>
      </c>
      <c r="Q41" s="3271"/>
      <c r="R41" s="3336">
        <f>E41</f>
        <v>0</v>
      </c>
      <c r="S41" s="3336"/>
      <c r="T41" s="3336">
        <f>G41</f>
        <v>0</v>
      </c>
      <c r="U41" s="3336"/>
      <c r="V41" s="3336">
        <f>I41</f>
        <v>0</v>
      </c>
      <c r="W41" s="3336"/>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71" t="str">
        <f>A42</f>
        <v>比较价值（元/平方米）</v>
      </c>
      <c r="Q42" s="327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265" t="str">
        <f>A43</f>
        <v>估价对象XX用房的比较价值（楼面单价，元/平方米）</v>
      </c>
      <c r="Q43" s="3266"/>
      <c r="R43" s="3335" t="e">
        <f>IF(F1="售价",ROUND(IF(D42="简单平均",AVERAGE(R42:V42),R42*F42+T42*H42+V42*J42),0),ROUND(IF(D42="简单平均",AVERAGE(R42:V42),R42*F42+T42*H42+V42*J42),1))</f>
        <v>#DIV/0!</v>
      </c>
      <c r="S43" s="3335"/>
      <c r="T43" s="3335"/>
      <c r="U43" s="3335"/>
      <c r="V43" s="3335"/>
      <c r="W43" s="3335"/>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68" t="s">
        <v>2468</v>
      </c>
      <c r="D4" s="3281"/>
      <c r="E4" s="3282" t="s">
        <v>2469</v>
      </c>
      <c r="F4" s="3283"/>
      <c r="G4" s="3268" t="s">
        <v>2470</v>
      </c>
      <c r="H4" s="3281"/>
      <c r="I4" s="3268" t="s">
        <v>2471</v>
      </c>
      <c r="J4" s="3281"/>
      <c r="K4" s="564" t="s">
        <v>2472</v>
      </c>
      <c r="L4" s="2943"/>
      <c r="M4" s="2944"/>
      <c r="N4" s="2944"/>
      <c r="O4" s="2944"/>
      <c r="P4" s="3284" t="s">
        <v>2473</v>
      </c>
      <c r="Q4" s="3285"/>
      <c r="R4" s="3290" t="s">
        <v>2469</v>
      </c>
      <c r="S4" s="3291"/>
      <c r="T4" s="3290" t="s">
        <v>2470</v>
      </c>
      <c r="U4" s="3291"/>
      <c r="V4" s="3277" t="s">
        <v>2471</v>
      </c>
      <c r="W4" s="3277"/>
      <c r="X4" s="1538"/>
      <c r="Y4" s="3290" t="s">
        <v>2473</v>
      </c>
      <c r="Z4" s="3291"/>
      <c r="AA4" s="3278" t="s">
        <v>2469</v>
      </c>
      <c r="AB4" s="3279" t="s">
        <v>2470</v>
      </c>
      <c r="AC4" s="3278" t="s">
        <v>2471</v>
      </c>
    </row>
    <row r="5" spans="1:29" ht="15">
      <c r="A5" s="361"/>
      <c r="B5" s="362"/>
      <c r="C5" s="3298" t="s">
        <v>2364</v>
      </c>
      <c r="D5" s="3299"/>
      <c r="E5" s="3305" t="s">
        <v>2365</v>
      </c>
      <c r="F5" s="3306"/>
      <c r="G5" s="3298" t="s">
        <v>2366</v>
      </c>
      <c r="H5" s="3299"/>
      <c r="I5" s="3298" t="s">
        <v>2367</v>
      </c>
      <c r="J5" s="3299"/>
      <c r="K5" s="564"/>
      <c r="L5" s="2943"/>
      <c r="M5" s="2944"/>
      <c r="N5" s="2944"/>
      <c r="O5" s="2944"/>
      <c r="P5" s="3286"/>
      <c r="Q5" s="3287"/>
      <c r="R5" s="3292"/>
      <c r="S5" s="3293"/>
      <c r="T5" s="3292"/>
      <c r="U5" s="3293"/>
      <c r="V5" s="3277"/>
      <c r="W5" s="3277"/>
      <c r="X5" s="1538"/>
      <c r="Y5" s="3292"/>
      <c r="Z5" s="3293"/>
      <c r="AA5" s="3279"/>
      <c r="AB5" s="3279"/>
      <c r="AC5" s="3279"/>
    </row>
    <row r="6" spans="1:29" ht="15.75" thickBot="1">
      <c r="A6" s="363"/>
      <c r="B6" s="364"/>
      <c r="C6" s="3296" t="s">
        <v>2368</v>
      </c>
      <c r="D6" s="3297"/>
      <c r="E6" s="3303" t="s">
        <v>2368</v>
      </c>
      <c r="F6" s="3304"/>
      <c r="G6" s="3296" t="s">
        <v>2368</v>
      </c>
      <c r="H6" s="3297"/>
      <c r="I6" s="3296" t="s">
        <v>2368</v>
      </c>
      <c r="J6" s="3297"/>
      <c r="K6" s="564" t="s">
        <v>2369</v>
      </c>
      <c r="L6" s="2943"/>
      <c r="M6" s="2944"/>
      <c r="N6" s="2944"/>
      <c r="O6" s="2944"/>
      <c r="P6" s="3288"/>
      <c r="Q6" s="3289"/>
      <c r="R6" s="3292"/>
      <c r="S6" s="3293"/>
      <c r="T6" s="3294"/>
      <c r="U6" s="3295"/>
      <c r="V6" s="3277"/>
      <c r="W6" s="3277"/>
      <c r="X6" s="1538"/>
      <c r="Y6" s="3294"/>
      <c r="Z6" s="3295"/>
      <c r="AA6" s="3280"/>
      <c r="AB6" s="3280"/>
      <c r="AC6" s="3280"/>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300" t="s">
        <v>2371</v>
      </c>
      <c r="Q7" s="3302"/>
      <c r="R7" s="707" t="s">
        <v>17</v>
      </c>
      <c r="S7" s="708">
        <f t="shared" ref="S7:S14" si="0">F7</f>
        <v>0</v>
      </c>
      <c r="T7" s="707" t="s">
        <v>17</v>
      </c>
      <c r="U7" s="708">
        <f t="shared" ref="U7:U14" si="1">H7</f>
        <v>0</v>
      </c>
      <c r="V7" s="707" t="s">
        <v>17</v>
      </c>
      <c r="W7" s="708">
        <f t="shared" ref="W7:W14" si="2">J7</f>
        <v>0</v>
      </c>
      <c r="X7" s="709"/>
      <c r="Y7" s="3300" t="s">
        <v>2371</v>
      </c>
      <c r="Z7" s="3301"/>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300" t="s">
        <v>2374</v>
      </c>
      <c r="Q8" s="3301"/>
      <c r="R8" s="707" t="s">
        <v>17</v>
      </c>
      <c r="S8" s="708">
        <f t="shared" si="0"/>
        <v>0</v>
      </c>
      <c r="T8" s="707" t="s">
        <v>17</v>
      </c>
      <c r="U8" s="708">
        <f t="shared" si="1"/>
        <v>0</v>
      </c>
      <c r="V8" s="707" t="s">
        <v>17</v>
      </c>
      <c r="W8" s="708">
        <f t="shared" si="2"/>
        <v>0</v>
      </c>
      <c r="X8" s="709"/>
      <c r="Y8" s="3300" t="s">
        <v>2374</v>
      </c>
      <c r="Z8" s="3301"/>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71" t="s">
        <v>2377</v>
      </c>
      <c r="Q9" s="1526" t="str">
        <f t="shared" ref="Q9:Q14" si="6">B9</f>
        <v>用途</v>
      </c>
      <c r="R9" s="707" t="s">
        <v>17</v>
      </c>
      <c r="S9" s="708">
        <f t="shared" si="0"/>
        <v>100</v>
      </c>
      <c r="T9" s="707" t="s">
        <v>17</v>
      </c>
      <c r="U9" s="708">
        <f t="shared" si="1"/>
        <v>100</v>
      </c>
      <c r="V9" s="707" t="s">
        <v>17</v>
      </c>
      <c r="W9" s="708">
        <f t="shared" si="2"/>
        <v>100</v>
      </c>
      <c r="X9" s="709"/>
      <c r="Y9" s="3161"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71"/>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71"/>
      <c r="Q11" s="1526">
        <f t="shared" si="6"/>
        <v>111</v>
      </c>
      <c r="R11" s="707" t="s">
        <v>17</v>
      </c>
      <c r="S11" s="708">
        <f t="shared" si="0"/>
        <v>100</v>
      </c>
      <c r="T11" s="707" t="s">
        <v>17</v>
      </c>
      <c r="U11" s="708">
        <f t="shared" si="1"/>
        <v>100</v>
      </c>
      <c r="V11" s="707" t="s">
        <v>17</v>
      </c>
      <c r="W11" s="708">
        <f t="shared" si="2"/>
        <v>100</v>
      </c>
      <c r="X11" s="709"/>
      <c r="Y11" s="3161"/>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71"/>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71"/>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73" t="s">
        <v>2382</v>
      </c>
      <c r="Q14" s="1535" t="str">
        <f t="shared" si="6"/>
        <v>交通便捷度</v>
      </c>
      <c r="R14" s="711" t="s">
        <v>17</v>
      </c>
      <c r="S14" s="712">
        <f t="shared" si="0"/>
        <v>100</v>
      </c>
      <c r="T14" s="711" t="s">
        <v>17</v>
      </c>
      <c r="U14" s="712">
        <f t="shared" si="1"/>
        <v>100</v>
      </c>
      <c r="V14" s="711" t="s">
        <v>17</v>
      </c>
      <c r="W14" s="712">
        <f t="shared" si="2"/>
        <v>100</v>
      </c>
      <c r="X14" s="1538"/>
      <c r="Y14" s="3273"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74"/>
      <c r="Q15" s="1535"/>
      <c r="R15" s="711"/>
      <c r="S15" s="712"/>
      <c r="T15" s="711"/>
      <c r="U15" s="712"/>
      <c r="V15" s="711"/>
      <c r="W15" s="712"/>
      <c r="X15" s="1538"/>
      <c r="Y15" s="3274"/>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74"/>
      <c r="Q16" s="1535" t="str">
        <f>B16</f>
        <v>公共配套设施</v>
      </c>
      <c r="R16" s="711" t="s">
        <v>17</v>
      </c>
      <c r="S16" s="712">
        <f>F16</f>
        <v>100</v>
      </c>
      <c r="T16" s="711" t="s">
        <v>17</v>
      </c>
      <c r="U16" s="712">
        <f>H16</f>
        <v>100</v>
      </c>
      <c r="V16" s="711" t="s">
        <v>17</v>
      </c>
      <c r="W16" s="712">
        <f>J16</f>
        <v>100</v>
      </c>
      <c r="X16" s="1538"/>
      <c r="Y16" s="3274"/>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74"/>
      <c r="Q17" s="1535"/>
      <c r="R17" s="711"/>
      <c r="S17" s="712"/>
      <c r="T17" s="711"/>
      <c r="U17" s="712"/>
      <c r="V17" s="711"/>
      <c r="W17" s="712"/>
      <c r="X17" s="1538"/>
      <c r="Y17" s="3274"/>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74"/>
      <c r="Q18" s="1535" t="str">
        <f>B18</f>
        <v>基础设施水平</v>
      </c>
      <c r="R18" s="711" t="s">
        <v>17</v>
      </c>
      <c r="S18" s="712">
        <f>F18</f>
        <v>100</v>
      </c>
      <c r="T18" s="711" t="s">
        <v>17</v>
      </c>
      <c r="U18" s="712">
        <f>H18</f>
        <v>100</v>
      </c>
      <c r="V18" s="711" t="s">
        <v>17</v>
      </c>
      <c r="W18" s="712">
        <f>J18</f>
        <v>100</v>
      </c>
      <c r="X18" s="1538"/>
      <c r="Y18" s="3274"/>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74"/>
      <c r="Q19" s="1535"/>
      <c r="R19" s="711"/>
      <c r="S19" s="712"/>
      <c r="T19" s="711"/>
      <c r="U19" s="712"/>
      <c r="V19" s="711"/>
      <c r="W19" s="712"/>
      <c r="X19" s="1538"/>
      <c r="Y19" s="3274"/>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74"/>
      <c r="Q20" s="1535" t="str">
        <f>B20</f>
        <v>自然及人文环境</v>
      </c>
      <c r="R20" s="711" t="s">
        <v>17</v>
      </c>
      <c r="S20" s="712">
        <f>F20</f>
        <v>100</v>
      </c>
      <c r="T20" s="711" t="s">
        <v>17</v>
      </c>
      <c r="U20" s="712">
        <f>H20</f>
        <v>100</v>
      </c>
      <c r="V20" s="711" t="s">
        <v>17</v>
      </c>
      <c r="W20" s="712">
        <f>J20</f>
        <v>100</v>
      </c>
      <c r="X20" s="1538"/>
      <c r="Y20" s="3274"/>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74"/>
      <c r="Q21" s="1535"/>
      <c r="R21" s="711"/>
      <c r="S21" s="712"/>
      <c r="T21" s="711"/>
      <c r="U21" s="712"/>
      <c r="V21" s="711"/>
      <c r="W21" s="712"/>
      <c r="X21" s="1538"/>
      <c r="Y21" s="3274"/>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74"/>
      <c r="Q22" s="1535" t="str">
        <f>B22</f>
        <v>楼层</v>
      </c>
      <c r="R22" s="711" t="s">
        <v>17</v>
      </c>
      <c r="S22" s="712">
        <f>F22</f>
        <v>100</v>
      </c>
      <c r="T22" s="711" t="s">
        <v>17</v>
      </c>
      <c r="U22" s="712">
        <f>H22</f>
        <v>100</v>
      </c>
      <c r="V22" s="711" t="s">
        <v>17</v>
      </c>
      <c r="W22" s="712">
        <f>J22</f>
        <v>100</v>
      </c>
      <c r="X22" s="1538"/>
      <c r="Y22" s="3274"/>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74"/>
      <c r="Q23" s="1535">
        <f>B23</f>
        <v>111</v>
      </c>
      <c r="R23" s="711" t="s">
        <v>17</v>
      </c>
      <c r="S23" s="712">
        <f>F23</f>
        <v>100</v>
      </c>
      <c r="T23" s="711" t="s">
        <v>17</v>
      </c>
      <c r="U23" s="712">
        <f>H23</f>
        <v>100</v>
      </c>
      <c r="V23" s="711" t="s">
        <v>17</v>
      </c>
      <c r="W23" s="712">
        <f>J23</f>
        <v>100</v>
      </c>
      <c r="X23" s="1538"/>
      <c r="Y23" s="3274"/>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74"/>
      <c r="Q24" s="1535">
        <f t="shared" ref="Q24:Q36" si="11">B24</f>
        <v>111</v>
      </c>
      <c r="R24" s="711" t="s">
        <v>17</v>
      </c>
      <c r="S24" s="712">
        <f>F24</f>
        <v>100</v>
      </c>
      <c r="T24" s="711" t="s">
        <v>17</v>
      </c>
      <c r="U24" s="712">
        <f>H24</f>
        <v>100</v>
      </c>
      <c r="V24" s="711" t="s">
        <v>17</v>
      </c>
      <c r="W24" s="712">
        <f>J24</f>
        <v>100</v>
      </c>
      <c r="X24" s="1538"/>
      <c r="Y24" s="3274"/>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74"/>
      <c r="Q25" s="1526">
        <f t="shared" si="11"/>
        <v>111</v>
      </c>
      <c r="R25" s="707" t="s">
        <v>17</v>
      </c>
      <c r="S25" s="708">
        <f>F25</f>
        <v>100</v>
      </c>
      <c r="T25" s="707" t="s">
        <v>17</v>
      </c>
      <c r="U25" s="708">
        <f>H25</f>
        <v>100</v>
      </c>
      <c r="V25" s="707" t="s">
        <v>17</v>
      </c>
      <c r="W25" s="708">
        <f>J25</f>
        <v>100</v>
      </c>
      <c r="X25" s="709"/>
      <c r="Y25" s="3274"/>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75"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276"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276"/>
      <c r="Q27" s="713" t="str">
        <f t="shared" si="11"/>
        <v>项目停车位配比</v>
      </c>
      <c r="R27" s="714" t="s">
        <v>17</v>
      </c>
      <c r="S27" s="715">
        <f t="shared" si="12"/>
        <v>100</v>
      </c>
      <c r="T27" s="714" t="s">
        <v>17</v>
      </c>
      <c r="U27" s="715">
        <f t="shared" si="13"/>
        <v>100</v>
      </c>
      <c r="V27" s="714" t="s">
        <v>17</v>
      </c>
      <c r="W27" s="715">
        <f t="shared" si="14"/>
        <v>100</v>
      </c>
      <c r="X27" s="716"/>
      <c r="Y27" s="3276"/>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276"/>
      <c r="Q28" s="1535" t="str">
        <f t="shared" si="11"/>
        <v>公共部分装修</v>
      </c>
      <c r="R28" s="711" t="s">
        <v>17</v>
      </c>
      <c r="S28" s="712">
        <f t="shared" si="12"/>
        <v>100</v>
      </c>
      <c r="T28" s="711" t="s">
        <v>17</v>
      </c>
      <c r="U28" s="712">
        <f t="shared" si="13"/>
        <v>100</v>
      </c>
      <c r="V28" s="711" t="s">
        <v>17</v>
      </c>
      <c r="W28" s="712">
        <f t="shared" si="14"/>
        <v>100</v>
      </c>
      <c r="X28" s="1538"/>
      <c r="Y28" s="3276"/>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276"/>
      <c r="Q29" s="1535" t="str">
        <f t="shared" si="11"/>
        <v>成新率</v>
      </c>
      <c r="R29" s="711" t="s">
        <v>17</v>
      </c>
      <c r="S29" s="712" t="e">
        <f t="shared" si="12"/>
        <v>#N/A</v>
      </c>
      <c r="T29" s="711" t="s">
        <v>17</v>
      </c>
      <c r="U29" s="712" t="e">
        <f t="shared" si="13"/>
        <v>#N/A</v>
      </c>
      <c r="V29" s="711" t="s">
        <v>17</v>
      </c>
      <c r="W29" s="712" t="e">
        <f t="shared" si="14"/>
        <v>#N/A</v>
      </c>
      <c r="X29" s="1538"/>
      <c r="Y29" s="3276"/>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276"/>
      <c r="Q30" s="1535" t="str">
        <f t="shared" si="11"/>
        <v>物业等级</v>
      </c>
      <c r="R30" s="711" t="s">
        <v>17</v>
      </c>
      <c r="S30" s="712">
        <f t="shared" si="12"/>
        <v>100</v>
      </c>
      <c r="T30" s="711" t="s">
        <v>17</v>
      </c>
      <c r="U30" s="712">
        <f t="shared" si="13"/>
        <v>100</v>
      </c>
      <c r="V30" s="711" t="s">
        <v>17</v>
      </c>
      <c r="W30" s="712">
        <f t="shared" si="14"/>
        <v>100</v>
      </c>
      <c r="X30" s="1538"/>
      <c r="Y30" s="3276"/>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276"/>
      <c r="Q31" s="1526" t="str">
        <f t="shared" si="11"/>
        <v>停车位面积</v>
      </c>
      <c r="R31" s="707" t="s">
        <v>17</v>
      </c>
      <c r="S31" s="708" t="e">
        <f t="shared" si="12"/>
        <v>#N/A</v>
      </c>
      <c r="T31" s="707" t="s">
        <v>17</v>
      </c>
      <c r="U31" s="708" t="e">
        <f t="shared" si="13"/>
        <v>#N/A</v>
      </c>
      <c r="V31" s="707" t="s">
        <v>17</v>
      </c>
      <c r="W31" s="708" t="e">
        <f t="shared" si="14"/>
        <v>#N/A</v>
      </c>
      <c r="X31" s="709"/>
      <c r="Y31" s="3276"/>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276" t="s">
        <v>2387</v>
      </c>
      <c r="Q32" s="1535" t="str">
        <f t="shared" si="11"/>
        <v>车位类型</v>
      </c>
      <c r="R32" s="711" t="s">
        <v>17</v>
      </c>
      <c r="S32" s="712">
        <f t="shared" si="12"/>
        <v>100</v>
      </c>
      <c r="T32" s="711" t="s">
        <v>17</v>
      </c>
      <c r="U32" s="712">
        <f t="shared" si="13"/>
        <v>100</v>
      </c>
      <c r="V32" s="711" t="s">
        <v>17</v>
      </c>
      <c r="W32" s="712">
        <f t="shared" si="14"/>
        <v>100</v>
      </c>
      <c r="X32" s="1538"/>
      <c r="Y32" s="3276"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276"/>
      <c r="Q33" s="1535" t="str">
        <f t="shared" si="11"/>
        <v>是否直接入户</v>
      </c>
      <c r="R33" s="711" t="s">
        <v>17</v>
      </c>
      <c r="S33" s="712">
        <f t="shared" si="12"/>
        <v>100</v>
      </c>
      <c r="T33" s="711" t="s">
        <v>17</v>
      </c>
      <c r="U33" s="712">
        <f t="shared" si="13"/>
        <v>100</v>
      </c>
      <c r="V33" s="711" t="s">
        <v>17</v>
      </c>
      <c r="W33" s="712">
        <f t="shared" si="14"/>
        <v>100</v>
      </c>
      <c r="X33" s="1538"/>
      <c r="Y33" s="3276"/>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276"/>
      <c r="Q34" s="1535">
        <f t="shared" si="11"/>
        <v>111</v>
      </c>
      <c r="R34" s="711" t="s">
        <v>17</v>
      </c>
      <c r="S34" s="712">
        <f t="shared" si="12"/>
        <v>100</v>
      </c>
      <c r="T34" s="711" t="s">
        <v>17</v>
      </c>
      <c r="U34" s="712">
        <f t="shared" si="13"/>
        <v>100</v>
      </c>
      <c r="V34" s="711" t="s">
        <v>17</v>
      </c>
      <c r="W34" s="712">
        <f t="shared" si="14"/>
        <v>100</v>
      </c>
      <c r="X34" s="1538"/>
      <c r="Y34" s="3276"/>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276"/>
      <c r="Q35" s="713">
        <f t="shared" si="11"/>
        <v>111</v>
      </c>
      <c r="R35" s="714" t="s">
        <v>17</v>
      </c>
      <c r="S35" s="715">
        <f t="shared" si="12"/>
        <v>100</v>
      </c>
      <c r="T35" s="714" t="s">
        <v>17</v>
      </c>
      <c r="U35" s="715">
        <f t="shared" si="13"/>
        <v>100</v>
      </c>
      <c r="V35" s="714" t="s">
        <v>17</v>
      </c>
      <c r="W35" s="715">
        <f t="shared" si="14"/>
        <v>100</v>
      </c>
      <c r="X35" s="716"/>
      <c r="Y35" s="3276"/>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276"/>
      <c r="Q36" s="1535">
        <f t="shared" si="11"/>
        <v>111</v>
      </c>
      <c r="R36" s="711" t="s">
        <v>17</v>
      </c>
      <c r="S36" s="712">
        <f t="shared" si="12"/>
        <v>100</v>
      </c>
      <c r="T36" s="711" t="s">
        <v>17</v>
      </c>
      <c r="U36" s="712">
        <f t="shared" si="13"/>
        <v>100</v>
      </c>
      <c r="V36" s="711" t="s">
        <v>17</v>
      </c>
      <c r="W36" s="712">
        <f t="shared" si="14"/>
        <v>100</v>
      </c>
      <c r="X36" s="1538"/>
      <c r="Y36" s="3276"/>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71" t="str">
        <f>A37</f>
        <v>成交单价</v>
      </c>
      <c r="Q37" s="3271"/>
      <c r="R37" s="3336">
        <f>E37</f>
        <v>0</v>
      </c>
      <c r="S37" s="3336"/>
      <c r="T37" s="3336">
        <f>G37</f>
        <v>0</v>
      </c>
      <c r="U37" s="3336"/>
      <c r="V37" s="3336">
        <f>I37</f>
        <v>0</v>
      </c>
      <c r="W37" s="3336"/>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71" t="str">
        <f>A38</f>
        <v>比较价值（元/平方米）</v>
      </c>
      <c r="Q38" s="327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265" t="str">
        <f>A39</f>
        <v>估价对象XX用房的比较价值（楼面单价，元/平方米）</v>
      </c>
      <c r="Q39" s="3266"/>
      <c r="R39" s="3358" t="e">
        <f>IF(F1="售价",ROUND(IF(D38="简单平均",AVERAGE(R38:W38),R38*F38+T38*H38+V38*J38),0),ROUND(IF(D38="简单平均",AVERAGE(R38:V38),R38*F38+T38*H38+V38*J38),1))</f>
        <v>#DIV/0!</v>
      </c>
      <c r="S39" s="3358"/>
      <c r="T39" s="3358"/>
      <c r="U39" s="3358"/>
      <c r="V39" s="3358"/>
      <c r="W39" s="3358"/>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8" t="s">
        <v>2468</v>
      </c>
      <c r="D4" s="3281"/>
      <c r="E4" s="3282" t="s">
        <v>2469</v>
      </c>
      <c r="F4" s="3283"/>
      <c r="G4" s="3268" t="s">
        <v>2470</v>
      </c>
      <c r="H4" s="3281"/>
      <c r="I4" s="3268" t="s">
        <v>2471</v>
      </c>
      <c r="J4" s="3281"/>
      <c r="K4" s="564" t="s">
        <v>2472</v>
      </c>
      <c r="L4" s="2943"/>
      <c r="M4" s="2944"/>
      <c r="N4" s="2944"/>
      <c r="O4" s="2944"/>
      <c r="P4" s="3284" t="s">
        <v>2473</v>
      </c>
      <c r="Q4" s="3285"/>
      <c r="R4" s="3290" t="s">
        <v>2469</v>
      </c>
      <c r="S4" s="3291"/>
      <c r="T4" s="3290" t="s">
        <v>2470</v>
      </c>
      <c r="U4" s="3291"/>
      <c r="V4" s="3277" t="s">
        <v>2471</v>
      </c>
      <c r="W4" s="3277"/>
      <c r="X4" s="1538"/>
      <c r="Y4" s="3290" t="s">
        <v>2473</v>
      </c>
      <c r="Z4" s="3291"/>
      <c r="AA4" s="3278" t="s">
        <v>2469</v>
      </c>
      <c r="AB4" s="3279" t="s">
        <v>2470</v>
      </c>
      <c r="AC4" s="3278" t="s">
        <v>2471</v>
      </c>
    </row>
    <row r="5" spans="1:29" ht="15">
      <c r="A5" s="361"/>
      <c r="B5" s="362"/>
      <c r="C5" s="3298" t="s">
        <v>2364</v>
      </c>
      <c r="D5" s="3299"/>
      <c r="E5" s="3305" t="s">
        <v>2365</v>
      </c>
      <c r="F5" s="3306"/>
      <c r="G5" s="3298" t="s">
        <v>2366</v>
      </c>
      <c r="H5" s="3299"/>
      <c r="I5" s="3298" t="s">
        <v>2367</v>
      </c>
      <c r="J5" s="3299"/>
      <c r="K5" s="564"/>
      <c r="L5" s="2943"/>
      <c r="M5" s="2944"/>
      <c r="N5" s="2944"/>
      <c r="O5" s="2944"/>
      <c r="P5" s="3286"/>
      <c r="Q5" s="3287"/>
      <c r="R5" s="3292"/>
      <c r="S5" s="3293"/>
      <c r="T5" s="3292"/>
      <c r="U5" s="3293"/>
      <c r="V5" s="3277"/>
      <c r="W5" s="3277"/>
      <c r="X5" s="1538"/>
      <c r="Y5" s="3292"/>
      <c r="Z5" s="3293"/>
      <c r="AA5" s="3279"/>
      <c r="AB5" s="3279"/>
      <c r="AC5" s="3279"/>
    </row>
    <row r="6" spans="1:29" ht="15.75" thickBot="1">
      <c r="A6" s="363"/>
      <c r="B6" s="364"/>
      <c r="C6" s="3296" t="s">
        <v>2368</v>
      </c>
      <c r="D6" s="3297"/>
      <c r="E6" s="3303" t="s">
        <v>2368</v>
      </c>
      <c r="F6" s="3304"/>
      <c r="G6" s="3296" t="s">
        <v>2368</v>
      </c>
      <c r="H6" s="3297"/>
      <c r="I6" s="3296" t="s">
        <v>2368</v>
      </c>
      <c r="J6" s="3297"/>
      <c r="K6" s="564" t="s">
        <v>2369</v>
      </c>
      <c r="L6" s="2943"/>
      <c r="M6" s="2944"/>
      <c r="N6" s="2944"/>
      <c r="O6" s="2944"/>
      <c r="P6" s="3288"/>
      <c r="Q6" s="3289"/>
      <c r="R6" s="3292"/>
      <c r="S6" s="3293"/>
      <c r="T6" s="3294"/>
      <c r="U6" s="3295"/>
      <c r="V6" s="3277"/>
      <c r="W6" s="3277"/>
      <c r="X6" s="1538"/>
      <c r="Y6" s="3294"/>
      <c r="Z6" s="3295"/>
      <c r="AA6" s="3280"/>
      <c r="AB6" s="3280"/>
      <c r="AC6" s="3280"/>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300" t="s">
        <v>2371</v>
      </c>
      <c r="Q7" s="3302"/>
      <c r="R7" s="707" t="s">
        <v>17</v>
      </c>
      <c r="S7" s="708">
        <f t="shared" ref="S7:S14" si="0">F7</f>
        <v>0</v>
      </c>
      <c r="T7" s="707" t="s">
        <v>17</v>
      </c>
      <c r="U7" s="708">
        <f t="shared" ref="U7:U14" si="1">H7</f>
        <v>0</v>
      </c>
      <c r="V7" s="707" t="s">
        <v>17</v>
      </c>
      <c r="W7" s="708">
        <f t="shared" ref="W7:W14" si="2">J7</f>
        <v>0</v>
      </c>
      <c r="X7" s="709"/>
      <c r="Y7" s="3300" t="s">
        <v>2371</v>
      </c>
      <c r="Z7" s="3301"/>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300" t="s">
        <v>2374</v>
      </c>
      <c r="Q8" s="3301"/>
      <c r="R8" s="707" t="s">
        <v>17</v>
      </c>
      <c r="S8" s="708">
        <f t="shared" si="0"/>
        <v>0</v>
      </c>
      <c r="T8" s="707" t="s">
        <v>17</v>
      </c>
      <c r="U8" s="708">
        <f t="shared" si="1"/>
        <v>0</v>
      </c>
      <c r="V8" s="707" t="s">
        <v>17</v>
      </c>
      <c r="W8" s="708">
        <f t="shared" si="2"/>
        <v>0</v>
      </c>
      <c r="X8" s="709"/>
      <c r="Y8" s="3300" t="s">
        <v>2374</v>
      </c>
      <c r="Z8" s="3301"/>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71" t="s">
        <v>2377</v>
      </c>
      <c r="Q9" s="1526" t="str">
        <f t="shared" ref="Q9:Q14" si="6">B9</f>
        <v>用途</v>
      </c>
      <c r="R9" s="707" t="s">
        <v>17</v>
      </c>
      <c r="S9" s="708">
        <f t="shared" si="0"/>
        <v>100</v>
      </c>
      <c r="T9" s="707" t="s">
        <v>17</v>
      </c>
      <c r="U9" s="708">
        <f t="shared" si="1"/>
        <v>100</v>
      </c>
      <c r="V9" s="707" t="s">
        <v>17</v>
      </c>
      <c r="W9" s="708">
        <f t="shared" si="2"/>
        <v>100</v>
      </c>
      <c r="X9" s="709"/>
      <c r="Y9" s="3161"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71"/>
      <c r="Q10" s="1526" t="str">
        <f t="shared" si="6"/>
        <v>土地使用年限（年）</v>
      </c>
      <c r="R10" s="707" t="s">
        <v>17</v>
      </c>
      <c r="S10" s="708">
        <f t="shared" si="0"/>
        <v>100</v>
      </c>
      <c r="T10" s="707" t="s">
        <v>17</v>
      </c>
      <c r="U10" s="708">
        <f t="shared" si="1"/>
        <v>100</v>
      </c>
      <c r="V10" s="707" t="s">
        <v>17</v>
      </c>
      <c r="W10" s="708">
        <f t="shared" si="2"/>
        <v>100</v>
      </c>
      <c r="X10" s="709"/>
      <c r="Y10" s="3161"/>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71"/>
      <c r="Q11" s="1526">
        <f t="shared" si="6"/>
        <v>111</v>
      </c>
      <c r="R11" s="707" t="s">
        <v>17</v>
      </c>
      <c r="S11" s="708">
        <f t="shared" si="0"/>
        <v>100</v>
      </c>
      <c r="T11" s="707" t="s">
        <v>17</v>
      </c>
      <c r="U11" s="708">
        <f t="shared" si="1"/>
        <v>100</v>
      </c>
      <c r="V11" s="707" t="s">
        <v>17</v>
      </c>
      <c r="W11" s="708">
        <f t="shared" si="2"/>
        <v>100</v>
      </c>
      <c r="X11" s="709"/>
      <c r="Y11" s="3161"/>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71"/>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71"/>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73" t="s">
        <v>2382</v>
      </c>
      <c r="Q14" s="1535" t="str">
        <f t="shared" si="6"/>
        <v>交通便捷度</v>
      </c>
      <c r="R14" s="711" t="s">
        <v>17</v>
      </c>
      <c r="S14" s="712">
        <f t="shared" si="0"/>
        <v>100</v>
      </c>
      <c r="T14" s="711" t="s">
        <v>17</v>
      </c>
      <c r="U14" s="712">
        <f t="shared" si="1"/>
        <v>100</v>
      </c>
      <c r="V14" s="711" t="s">
        <v>17</v>
      </c>
      <c r="W14" s="712">
        <f t="shared" si="2"/>
        <v>100</v>
      </c>
      <c r="X14" s="1538"/>
      <c r="Y14" s="3273"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74"/>
      <c r="Q15" s="1535"/>
      <c r="R15" s="711"/>
      <c r="S15" s="712"/>
      <c r="T15" s="711"/>
      <c r="U15" s="712"/>
      <c r="V15" s="711"/>
      <c r="W15" s="712"/>
      <c r="X15" s="1538"/>
      <c r="Y15" s="3274"/>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74"/>
      <c r="Q16" s="1535" t="str">
        <f>B16</f>
        <v>公共配套设施</v>
      </c>
      <c r="R16" s="711" t="s">
        <v>17</v>
      </c>
      <c r="S16" s="712">
        <f>F16</f>
        <v>100</v>
      </c>
      <c r="T16" s="711" t="s">
        <v>17</v>
      </c>
      <c r="U16" s="712">
        <f>H16</f>
        <v>100</v>
      </c>
      <c r="V16" s="711" t="s">
        <v>17</v>
      </c>
      <c r="W16" s="712">
        <f>J16</f>
        <v>100</v>
      </c>
      <c r="X16" s="1538"/>
      <c r="Y16" s="3274"/>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74"/>
      <c r="Q17" s="1535"/>
      <c r="R17" s="711"/>
      <c r="S17" s="712"/>
      <c r="T17" s="711"/>
      <c r="U17" s="712"/>
      <c r="V17" s="711"/>
      <c r="W17" s="712"/>
      <c r="X17" s="1538"/>
      <c r="Y17" s="3274"/>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74"/>
      <c r="Q18" s="1535" t="str">
        <f>B18</f>
        <v>基础设施水平</v>
      </c>
      <c r="R18" s="711" t="s">
        <v>17</v>
      </c>
      <c r="S18" s="712">
        <f>F18</f>
        <v>100</v>
      </c>
      <c r="T18" s="711" t="s">
        <v>17</v>
      </c>
      <c r="U18" s="712">
        <f>H18</f>
        <v>100</v>
      </c>
      <c r="V18" s="711" t="s">
        <v>17</v>
      </c>
      <c r="W18" s="712">
        <f>J18</f>
        <v>100</v>
      </c>
      <c r="X18" s="1538"/>
      <c r="Y18" s="3274"/>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74"/>
      <c r="Q19" s="1535"/>
      <c r="R19" s="711"/>
      <c r="S19" s="712"/>
      <c r="T19" s="711"/>
      <c r="U19" s="712"/>
      <c r="V19" s="711"/>
      <c r="W19" s="712"/>
      <c r="X19" s="1538"/>
      <c r="Y19" s="3274"/>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74"/>
      <c r="Q20" s="1535" t="str">
        <f>B20</f>
        <v>自然及人文环境</v>
      </c>
      <c r="R20" s="711" t="s">
        <v>17</v>
      </c>
      <c r="S20" s="712">
        <f>F20</f>
        <v>100</v>
      </c>
      <c r="T20" s="711" t="s">
        <v>17</v>
      </c>
      <c r="U20" s="712">
        <f>H20</f>
        <v>100</v>
      </c>
      <c r="V20" s="711" t="s">
        <v>17</v>
      </c>
      <c r="W20" s="712">
        <f>J20</f>
        <v>100</v>
      </c>
      <c r="X20" s="1538"/>
      <c r="Y20" s="3274"/>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74"/>
      <c r="Q21" s="1535"/>
      <c r="R21" s="711"/>
      <c r="S21" s="712"/>
      <c r="T21" s="711"/>
      <c r="U21" s="712"/>
      <c r="V21" s="711"/>
      <c r="W21" s="712"/>
      <c r="X21" s="1538"/>
      <c r="Y21" s="3274"/>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74"/>
      <c r="Q22" s="1535" t="str">
        <f>B22</f>
        <v>楼层</v>
      </c>
      <c r="R22" s="711" t="s">
        <v>17</v>
      </c>
      <c r="S22" s="712">
        <f>F22</f>
        <v>100</v>
      </c>
      <c r="T22" s="711" t="s">
        <v>17</v>
      </c>
      <c r="U22" s="712">
        <f>H22</f>
        <v>100</v>
      </c>
      <c r="V22" s="711" t="s">
        <v>17</v>
      </c>
      <c r="W22" s="712">
        <f>J22</f>
        <v>100</v>
      </c>
      <c r="X22" s="1538"/>
      <c r="Y22" s="3274"/>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74"/>
      <c r="Q23" s="1535">
        <f>B23</f>
        <v>111</v>
      </c>
      <c r="R23" s="711" t="s">
        <v>17</v>
      </c>
      <c r="S23" s="712">
        <f>F23</f>
        <v>100</v>
      </c>
      <c r="T23" s="711" t="s">
        <v>17</v>
      </c>
      <c r="U23" s="712">
        <f>H23</f>
        <v>100</v>
      </c>
      <c r="V23" s="711" t="s">
        <v>17</v>
      </c>
      <c r="W23" s="712">
        <f>J23</f>
        <v>100</v>
      </c>
      <c r="X23" s="1538"/>
      <c r="Y23" s="3274"/>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74"/>
      <c r="Q24" s="1535">
        <f t="shared" ref="Q24:Q34" si="11">B24</f>
        <v>111</v>
      </c>
      <c r="R24" s="711" t="s">
        <v>17</v>
      </c>
      <c r="S24" s="712">
        <f>F24</f>
        <v>100</v>
      </c>
      <c r="T24" s="711" t="s">
        <v>17</v>
      </c>
      <c r="U24" s="712">
        <f>H24</f>
        <v>100</v>
      </c>
      <c r="V24" s="711" t="s">
        <v>17</v>
      </c>
      <c r="W24" s="712">
        <f>J24</f>
        <v>100</v>
      </c>
      <c r="X24" s="1538"/>
      <c r="Y24" s="3274"/>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74"/>
      <c r="Q25" s="1526">
        <f t="shared" si="11"/>
        <v>111</v>
      </c>
      <c r="R25" s="707" t="s">
        <v>17</v>
      </c>
      <c r="S25" s="708">
        <f>F25</f>
        <v>100</v>
      </c>
      <c r="T25" s="707" t="s">
        <v>17</v>
      </c>
      <c r="U25" s="708">
        <f>H25</f>
        <v>100</v>
      </c>
      <c r="V25" s="707" t="s">
        <v>17</v>
      </c>
      <c r="W25" s="708">
        <f>J25</f>
        <v>100</v>
      </c>
      <c r="X25" s="709"/>
      <c r="Y25" s="3274"/>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75"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276"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276"/>
      <c r="Q27" s="713" t="str">
        <f t="shared" si="11"/>
        <v>成新率</v>
      </c>
      <c r="R27" s="714" t="s">
        <v>17</v>
      </c>
      <c r="S27" s="715" t="e">
        <f t="shared" si="12"/>
        <v>#N/A</v>
      </c>
      <c r="T27" s="714" t="s">
        <v>17</v>
      </c>
      <c r="U27" s="715" t="e">
        <f t="shared" si="13"/>
        <v>#N/A</v>
      </c>
      <c r="V27" s="714" t="s">
        <v>17</v>
      </c>
      <c r="W27" s="715" t="e">
        <f t="shared" si="14"/>
        <v>#N/A</v>
      </c>
      <c r="X27" s="716"/>
      <c r="Y27" s="3276"/>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276"/>
      <c r="Q28" s="1535" t="str">
        <f t="shared" si="11"/>
        <v>物业等级</v>
      </c>
      <c r="R28" s="711" t="s">
        <v>17</v>
      </c>
      <c r="S28" s="712">
        <f t="shared" si="12"/>
        <v>100</v>
      </c>
      <c r="T28" s="711" t="s">
        <v>17</v>
      </c>
      <c r="U28" s="712">
        <f t="shared" si="13"/>
        <v>100</v>
      </c>
      <c r="V28" s="711" t="s">
        <v>17</v>
      </c>
      <c r="W28" s="712">
        <f t="shared" si="14"/>
        <v>100</v>
      </c>
      <c r="X28" s="1538"/>
      <c r="Y28" s="3276"/>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276"/>
      <c r="Q29" s="1535" t="str">
        <f t="shared" si="11"/>
        <v>有无电梯</v>
      </c>
      <c r="R29" s="711" t="s">
        <v>17</v>
      </c>
      <c r="S29" s="712">
        <f t="shared" si="12"/>
        <v>100</v>
      </c>
      <c r="T29" s="711" t="s">
        <v>17</v>
      </c>
      <c r="U29" s="712">
        <f t="shared" si="13"/>
        <v>100</v>
      </c>
      <c r="V29" s="711" t="s">
        <v>17</v>
      </c>
      <c r="W29" s="712">
        <f t="shared" si="14"/>
        <v>100</v>
      </c>
      <c r="X29" s="1538"/>
      <c r="Y29" s="3276"/>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276"/>
      <c r="Q30" s="1535" t="str">
        <f t="shared" si="11"/>
        <v>建筑面积</v>
      </c>
      <c r="R30" s="711" t="s">
        <v>17</v>
      </c>
      <c r="S30" s="712" t="e">
        <f t="shared" si="12"/>
        <v>#N/A</v>
      </c>
      <c r="T30" s="711" t="s">
        <v>17</v>
      </c>
      <c r="U30" s="712" t="e">
        <f t="shared" si="13"/>
        <v>#N/A</v>
      </c>
      <c r="V30" s="711" t="s">
        <v>17</v>
      </c>
      <c r="W30" s="712" t="e">
        <f t="shared" si="14"/>
        <v>#N/A</v>
      </c>
      <c r="X30" s="1538"/>
      <c r="Y30" s="3276"/>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276"/>
      <c r="Q31" s="1526" t="str">
        <f t="shared" si="11"/>
        <v>是否封闭</v>
      </c>
      <c r="R31" s="707" t="s">
        <v>17</v>
      </c>
      <c r="S31" s="708">
        <f t="shared" si="12"/>
        <v>100</v>
      </c>
      <c r="T31" s="707" t="s">
        <v>17</v>
      </c>
      <c r="U31" s="708">
        <f t="shared" si="13"/>
        <v>100</v>
      </c>
      <c r="V31" s="707" t="s">
        <v>17</v>
      </c>
      <c r="W31" s="708">
        <f t="shared" si="14"/>
        <v>100</v>
      </c>
      <c r="X31" s="709"/>
      <c r="Y31" s="3276"/>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276" t="s">
        <v>2387</v>
      </c>
      <c r="Q32" s="1535">
        <f t="shared" si="11"/>
        <v>111</v>
      </c>
      <c r="R32" s="711" t="s">
        <v>17</v>
      </c>
      <c r="S32" s="712">
        <f t="shared" si="12"/>
        <v>100</v>
      </c>
      <c r="T32" s="711" t="s">
        <v>17</v>
      </c>
      <c r="U32" s="712">
        <f t="shared" si="13"/>
        <v>100</v>
      </c>
      <c r="V32" s="711" t="s">
        <v>17</v>
      </c>
      <c r="W32" s="712">
        <f t="shared" si="14"/>
        <v>100</v>
      </c>
      <c r="X32" s="1538"/>
      <c r="Y32" s="3276"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276"/>
      <c r="Q33" s="1535">
        <f t="shared" si="11"/>
        <v>111</v>
      </c>
      <c r="R33" s="711" t="s">
        <v>17</v>
      </c>
      <c r="S33" s="712">
        <f t="shared" si="12"/>
        <v>100</v>
      </c>
      <c r="T33" s="711" t="s">
        <v>17</v>
      </c>
      <c r="U33" s="712">
        <f t="shared" si="13"/>
        <v>100</v>
      </c>
      <c r="V33" s="711" t="s">
        <v>17</v>
      </c>
      <c r="W33" s="712">
        <f t="shared" si="14"/>
        <v>100</v>
      </c>
      <c r="X33" s="1538"/>
      <c r="Y33" s="3276"/>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276"/>
      <c r="Q34" s="1535">
        <f t="shared" si="11"/>
        <v>111</v>
      </c>
      <c r="R34" s="711" t="s">
        <v>17</v>
      </c>
      <c r="S34" s="712">
        <f t="shared" si="12"/>
        <v>100</v>
      </c>
      <c r="T34" s="711" t="s">
        <v>17</v>
      </c>
      <c r="U34" s="712">
        <f t="shared" si="13"/>
        <v>100</v>
      </c>
      <c r="V34" s="711" t="s">
        <v>17</v>
      </c>
      <c r="W34" s="712">
        <f t="shared" si="14"/>
        <v>100</v>
      </c>
      <c r="X34" s="1538"/>
      <c r="Y34" s="3276"/>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71" t="str">
        <f>A35</f>
        <v>成交单价（元/平方米）</v>
      </c>
      <c r="Q35" s="3271"/>
      <c r="R35" s="3336">
        <f>E35</f>
        <v>0</v>
      </c>
      <c r="S35" s="3336"/>
      <c r="T35" s="3336">
        <f>G35</f>
        <v>0</v>
      </c>
      <c r="U35" s="3336"/>
      <c r="V35" s="3336">
        <f>I35</f>
        <v>0</v>
      </c>
      <c r="W35" s="3336"/>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71" t="str">
        <f>A36</f>
        <v>比较价值（元/平方米）</v>
      </c>
      <c r="Q36" s="327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265" t="str">
        <f>A37</f>
        <v>估价对象XX用房的比较价值（楼面单价，元/平方米）</v>
      </c>
      <c r="Q37" s="3266"/>
      <c r="R37" s="3358" t="e">
        <f>IF(F1="售价",ROUND(IF(D36="简单平均",AVERAGE(R36:W36),R36*F36+T36*H36+V36*J36),0),ROUND(IF(D36="简单平均",AVERAGE(R36:V36),R36*F36+T36*H36+V36*J36),1))</f>
        <v>#DIV/0!</v>
      </c>
      <c r="S37" s="3358"/>
      <c r="T37" s="3358"/>
      <c r="U37" s="3358"/>
      <c r="V37" s="3358"/>
      <c r="W37" s="3358"/>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8" t="s">
        <v>2468</v>
      </c>
      <c r="D4" s="3281"/>
      <c r="E4" s="3282" t="s">
        <v>2469</v>
      </c>
      <c r="F4" s="3283"/>
      <c r="G4" s="3268" t="s">
        <v>2470</v>
      </c>
      <c r="H4" s="3281"/>
      <c r="I4" s="3268" t="s">
        <v>2471</v>
      </c>
      <c r="J4" s="3281"/>
      <c r="K4" s="564" t="s">
        <v>2472</v>
      </c>
      <c r="L4" s="2943"/>
      <c r="M4" s="2944"/>
      <c r="N4" s="2944"/>
      <c r="O4" s="2944"/>
      <c r="P4" s="3284" t="s">
        <v>2473</v>
      </c>
      <c r="Q4" s="3285"/>
      <c r="R4" s="3290" t="s">
        <v>2469</v>
      </c>
      <c r="S4" s="3291"/>
      <c r="T4" s="3290" t="s">
        <v>2470</v>
      </c>
      <c r="U4" s="3291"/>
      <c r="V4" s="3277" t="s">
        <v>2471</v>
      </c>
      <c r="W4" s="3277"/>
      <c r="X4" s="1538"/>
      <c r="Y4" s="3290" t="s">
        <v>2473</v>
      </c>
      <c r="Z4" s="3291"/>
      <c r="AA4" s="3278" t="s">
        <v>2469</v>
      </c>
      <c r="AB4" s="3279" t="s">
        <v>2470</v>
      </c>
      <c r="AC4" s="3278" t="s">
        <v>2471</v>
      </c>
    </row>
    <row r="5" spans="1:29" ht="15">
      <c r="A5" s="361"/>
      <c r="B5" s="362"/>
      <c r="C5" s="3298" t="s">
        <v>2364</v>
      </c>
      <c r="D5" s="3299"/>
      <c r="E5" s="3305" t="s">
        <v>2365</v>
      </c>
      <c r="F5" s="3306"/>
      <c r="G5" s="3298" t="s">
        <v>2366</v>
      </c>
      <c r="H5" s="3299"/>
      <c r="I5" s="3298" t="s">
        <v>2367</v>
      </c>
      <c r="J5" s="3299"/>
      <c r="K5" s="564"/>
      <c r="L5" s="2943"/>
      <c r="M5" s="2944"/>
      <c r="N5" s="2944"/>
      <c r="O5" s="2944"/>
      <c r="P5" s="3286"/>
      <c r="Q5" s="3287"/>
      <c r="R5" s="3292"/>
      <c r="S5" s="3293"/>
      <c r="T5" s="3292"/>
      <c r="U5" s="3293"/>
      <c r="V5" s="3277"/>
      <c r="W5" s="3277"/>
      <c r="X5" s="1538"/>
      <c r="Y5" s="3292"/>
      <c r="Z5" s="3293"/>
      <c r="AA5" s="3279"/>
      <c r="AB5" s="3279"/>
      <c r="AC5" s="3279"/>
    </row>
    <row r="6" spans="1:29" ht="15.75" thickBot="1">
      <c r="A6" s="363"/>
      <c r="B6" s="364"/>
      <c r="C6" s="3359" t="s">
        <v>2619</v>
      </c>
      <c r="D6" s="3360"/>
      <c r="E6" s="3361" t="s">
        <v>2619</v>
      </c>
      <c r="F6" s="3362"/>
      <c r="G6" s="3359" t="s">
        <v>2619</v>
      </c>
      <c r="H6" s="3360"/>
      <c r="I6" s="3359" t="s">
        <v>2619</v>
      </c>
      <c r="J6" s="3360"/>
      <c r="K6" s="564" t="s">
        <v>2369</v>
      </c>
      <c r="L6" s="2943"/>
      <c r="M6" s="2944"/>
      <c r="N6" s="2944"/>
      <c r="O6" s="2944"/>
      <c r="P6" s="3288"/>
      <c r="Q6" s="3289"/>
      <c r="R6" s="3292"/>
      <c r="S6" s="3293"/>
      <c r="T6" s="3294"/>
      <c r="U6" s="3295"/>
      <c r="V6" s="3277"/>
      <c r="W6" s="3277"/>
      <c r="X6" s="1538"/>
      <c r="Y6" s="3294"/>
      <c r="Z6" s="3295"/>
      <c r="AA6" s="3280"/>
      <c r="AB6" s="3280"/>
      <c r="AC6" s="3280"/>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300" t="s">
        <v>2371</v>
      </c>
      <c r="Q7" s="3302"/>
      <c r="R7" s="707" t="s">
        <v>17</v>
      </c>
      <c r="S7" s="708">
        <f t="shared" ref="S7:S15" si="0">F7</f>
        <v>0</v>
      </c>
      <c r="T7" s="707" t="s">
        <v>17</v>
      </c>
      <c r="U7" s="708">
        <f t="shared" ref="U7:U15" si="1">H7</f>
        <v>0</v>
      </c>
      <c r="V7" s="707" t="s">
        <v>17</v>
      </c>
      <c r="W7" s="708">
        <f t="shared" ref="W7:W15" si="2">J7</f>
        <v>0</v>
      </c>
      <c r="X7" s="709"/>
      <c r="Y7" s="3300" t="s">
        <v>2371</v>
      </c>
      <c r="Z7" s="3301"/>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300" t="s">
        <v>2374</v>
      </c>
      <c r="Q8" s="3301"/>
      <c r="R8" s="707" t="s">
        <v>17</v>
      </c>
      <c r="S8" s="708">
        <f t="shared" si="0"/>
        <v>0</v>
      </c>
      <c r="T8" s="707" t="s">
        <v>17</v>
      </c>
      <c r="U8" s="708">
        <f t="shared" si="1"/>
        <v>0</v>
      </c>
      <c r="V8" s="707" t="s">
        <v>17</v>
      </c>
      <c r="W8" s="708">
        <f t="shared" si="2"/>
        <v>0</v>
      </c>
      <c r="X8" s="709"/>
      <c r="Y8" s="3300" t="s">
        <v>2374</v>
      </c>
      <c r="Z8" s="3301"/>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71" t="s">
        <v>2377</v>
      </c>
      <c r="Q9" s="1526" t="str">
        <f t="shared" ref="Q9:Q15" si="6">B9</f>
        <v>用途</v>
      </c>
      <c r="R9" s="707" t="s">
        <v>17</v>
      </c>
      <c r="S9" s="708">
        <f t="shared" si="0"/>
        <v>100</v>
      </c>
      <c r="T9" s="707" t="s">
        <v>17</v>
      </c>
      <c r="U9" s="708">
        <f t="shared" si="1"/>
        <v>100</v>
      </c>
      <c r="V9" s="707" t="s">
        <v>17</v>
      </c>
      <c r="W9" s="708">
        <f t="shared" si="2"/>
        <v>100</v>
      </c>
      <c r="X9" s="709"/>
      <c r="Y9" s="3161"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122</v>
      </c>
      <c r="G10" s="388"/>
      <c r="H10" s="129">
        <f>ROUND(100/'数据-取费表'!G16,0)</f>
        <v>122</v>
      </c>
      <c r="I10" s="388"/>
      <c r="J10" s="129">
        <f>ROUND(100/'数据-取费表'!G16,0)</f>
        <v>122</v>
      </c>
      <c r="K10" s="625"/>
      <c r="L10" s="2947"/>
      <c r="M10" s="2948"/>
      <c r="N10" s="2948"/>
      <c r="O10" s="3001"/>
      <c r="P10" s="3271"/>
      <c r="Q10" s="1526" t="str">
        <f t="shared" si="6"/>
        <v>土地使用年限（年）</v>
      </c>
      <c r="R10" s="707" t="s">
        <v>17</v>
      </c>
      <c r="S10" s="708">
        <f t="shared" si="0"/>
        <v>122</v>
      </c>
      <c r="T10" s="707" t="s">
        <v>17</v>
      </c>
      <c r="U10" s="708">
        <f t="shared" si="1"/>
        <v>122</v>
      </c>
      <c r="V10" s="707" t="s">
        <v>17</v>
      </c>
      <c r="W10" s="708">
        <f t="shared" si="2"/>
        <v>122</v>
      </c>
      <c r="X10" s="709"/>
      <c r="Y10" s="3161"/>
      <c r="Z10" s="54" t="str">
        <f t="shared" si="7"/>
        <v>土地使用年限（年）</v>
      </c>
      <c r="AA10" s="710">
        <f t="shared" si="3"/>
        <v>0.81967213114754101</v>
      </c>
      <c r="AB10" s="710">
        <f t="shared" si="4"/>
        <v>0.81967213114754101</v>
      </c>
      <c r="AC10" s="710">
        <f t="shared" si="5"/>
        <v>0.81967213114754101</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71"/>
      <c r="Q11" s="1526" t="str">
        <f t="shared" si="6"/>
        <v>容积率</v>
      </c>
      <c r="R11" s="707" t="s">
        <v>17</v>
      </c>
      <c r="S11" s="708" t="e">
        <f t="shared" si="0"/>
        <v>#N/A</v>
      </c>
      <c r="T11" s="707" t="s">
        <v>17</v>
      </c>
      <c r="U11" s="708" t="e">
        <f t="shared" si="1"/>
        <v>#N/A</v>
      </c>
      <c r="V11" s="707" t="s">
        <v>17</v>
      </c>
      <c r="W11" s="708" t="e">
        <f t="shared" si="2"/>
        <v>#N/A</v>
      </c>
      <c r="X11" s="709"/>
      <c r="Y11" s="3161"/>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71"/>
      <c r="Q12" s="1526">
        <f t="shared" si="6"/>
        <v>111</v>
      </c>
      <c r="R12" s="707" t="s">
        <v>17</v>
      </c>
      <c r="S12" s="708">
        <f t="shared" si="0"/>
        <v>100</v>
      </c>
      <c r="T12" s="707" t="s">
        <v>17</v>
      </c>
      <c r="U12" s="708">
        <f t="shared" si="1"/>
        <v>100</v>
      </c>
      <c r="V12" s="707" t="s">
        <v>17</v>
      </c>
      <c r="W12" s="708">
        <f t="shared" si="2"/>
        <v>100</v>
      </c>
      <c r="X12" s="709"/>
      <c r="Y12" s="3161"/>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71"/>
      <c r="Q13" s="1526">
        <f t="shared" si="6"/>
        <v>111</v>
      </c>
      <c r="R13" s="707" t="s">
        <v>17</v>
      </c>
      <c r="S13" s="708">
        <f t="shared" si="0"/>
        <v>100</v>
      </c>
      <c r="T13" s="707" t="s">
        <v>17</v>
      </c>
      <c r="U13" s="708">
        <f t="shared" si="1"/>
        <v>100</v>
      </c>
      <c r="V13" s="707" t="s">
        <v>17</v>
      </c>
      <c r="W13" s="708">
        <f t="shared" si="2"/>
        <v>100</v>
      </c>
      <c r="X13" s="709"/>
      <c r="Y13" s="3161"/>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71"/>
      <c r="Q14" s="1526">
        <f t="shared" si="6"/>
        <v>111</v>
      </c>
      <c r="R14" s="707" t="s">
        <v>17</v>
      </c>
      <c r="S14" s="708">
        <f t="shared" si="0"/>
        <v>100</v>
      </c>
      <c r="T14" s="707" t="s">
        <v>17</v>
      </c>
      <c r="U14" s="708">
        <f t="shared" si="1"/>
        <v>100</v>
      </c>
      <c r="V14" s="707" t="s">
        <v>17</v>
      </c>
      <c r="W14" s="708">
        <f t="shared" si="2"/>
        <v>100</v>
      </c>
      <c r="X14" s="709"/>
      <c r="Y14" s="3161"/>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73" t="s">
        <v>2382</v>
      </c>
      <c r="Q15" s="1535" t="str">
        <f t="shared" si="6"/>
        <v>产业集聚程度</v>
      </c>
      <c r="R15" s="711" t="s">
        <v>17</v>
      </c>
      <c r="S15" s="712">
        <f t="shared" si="0"/>
        <v>100</v>
      </c>
      <c r="T15" s="711" t="s">
        <v>17</v>
      </c>
      <c r="U15" s="712">
        <f t="shared" si="1"/>
        <v>100</v>
      </c>
      <c r="V15" s="711" t="s">
        <v>17</v>
      </c>
      <c r="W15" s="712">
        <f t="shared" si="2"/>
        <v>100</v>
      </c>
      <c r="X15" s="1538"/>
      <c r="Y15" s="3273"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74"/>
      <c r="Q16" s="1535"/>
      <c r="R16" s="711"/>
      <c r="S16" s="712"/>
      <c r="T16" s="711"/>
      <c r="U16" s="712"/>
      <c r="V16" s="711"/>
      <c r="W16" s="712"/>
      <c r="X16" s="1538"/>
      <c r="Y16" s="3274"/>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74"/>
      <c r="Q17" s="1535" t="str">
        <f>B17</f>
        <v>交通便捷度</v>
      </c>
      <c r="R17" s="711" t="s">
        <v>17</v>
      </c>
      <c r="S17" s="712">
        <f>F17</f>
        <v>100</v>
      </c>
      <c r="T17" s="711" t="s">
        <v>17</v>
      </c>
      <c r="U17" s="712">
        <f>H17</f>
        <v>100</v>
      </c>
      <c r="V17" s="711" t="s">
        <v>17</v>
      </c>
      <c r="W17" s="712">
        <f>J17</f>
        <v>100</v>
      </c>
      <c r="X17" s="1538"/>
      <c r="Y17" s="3274"/>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74"/>
      <c r="Q18" s="1535"/>
      <c r="R18" s="711"/>
      <c r="S18" s="712"/>
      <c r="T18" s="711"/>
      <c r="U18" s="712"/>
      <c r="V18" s="711"/>
      <c r="W18" s="712"/>
      <c r="X18" s="1538"/>
      <c r="Y18" s="3274"/>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74"/>
      <c r="Q19" s="1535" t="str">
        <f t="shared" ref="Q19:Q33" si="8">B19</f>
        <v>区域土地利用方向</v>
      </c>
      <c r="R19" s="711" t="s">
        <v>17</v>
      </c>
      <c r="S19" s="712">
        <f>F19</f>
        <v>100</v>
      </c>
      <c r="T19" s="711" t="s">
        <v>17</v>
      </c>
      <c r="U19" s="712">
        <f>H19</f>
        <v>100</v>
      </c>
      <c r="V19" s="711" t="s">
        <v>17</v>
      </c>
      <c r="W19" s="712">
        <f>J19</f>
        <v>100</v>
      </c>
      <c r="X19" s="1538"/>
      <c r="Y19" s="3274"/>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74"/>
      <c r="Q20" s="1535"/>
      <c r="R20" s="711"/>
      <c r="S20" s="712"/>
      <c r="T20" s="711"/>
      <c r="U20" s="712"/>
      <c r="V20" s="711"/>
      <c r="W20" s="712"/>
      <c r="X20" s="1538"/>
      <c r="Y20" s="3274"/>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74"/>
      <c r="Q21" s="1535" t="str">
        <f t="shared" si="8"/>
        <v>环境状况</v>
      </c>
      <c r="R21" s="711" t="s">
        <v>17</v>
      </c>
      <c r="S21" s="712">
        <f>F21</f>
        <v>100</v>
      </c>
      <c r="T21" s="711" t="s">
        <v>17</v>
      </c>
      <c r="U21" s="712">
        <f>H21</f>
        <v>100</v>
      </c>
      <c r="V21" s="711" t="s">
        <v>17</v>
      </c>
      <c r="W21" s="712">
        <f>J21</f>
        <v>100</v>
      </c>
      <c r="X21" s="1538"/>
      <c r="Y21" s="3274"/>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74"/>
      <c r="Q22" s="1535"/>
      <c r="R22" s="711"/>
      <c r="S22" s="712"/>
      <c r="T22" s="711"/>
      <c r="U22" s="712"/>
      <c r="V22" s="711"/>
      <c r="W22" s="712"/>
      <c r="X22" s="1538"/>
      <c r="Y22" s="3274"/>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74"/>
      <c r="Q23" s="1526" t="str">
        <f t="shared" si="8"/>
        <v>公共配套设施</v>
      </c>
      <c r="R23" s="707" t="s">
        <v>17</v>
      </c>
      <c r="S23" s="708">
        <f>F23</f>
        <v>100</v>
      </c>
      <c r="T23" s="707" t="s">
        <v>17</v>
      </c>
      <c r="U23" s="708">
        <f>H23</f>
        <v>100</v>
      </c>
      <c r="V23" s="707" t="s">
        <v>17</v>
      </c>
      <c r="W23" s="708">
        <f>J23</f>
        <v>100</v>
      </c>
      <c r="X23" s="709"/>
      <c r="Y23" s="3274"/>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74"/>
      <c r="Q24" s="1526"/>
      <c r="R24" s="707"/>
      <c r="S24" s="708"/>
      <c r="T24" s="707"/>
      <c r="U24" s="708"/>
      <c r="V24" s="707"/>
      <c r="W24" s="708"/>
      <c r="X24" s="709"/>
      <c r="Y24" s="3274"/>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74"/>
      <c r="Q25" s="1526" t="str">
        <f t="shared" ref="Q25" si="9">B25</f>
        <v>基础设施水平</v>
      </c>
      <c r="R25" s="707" t="s">
        <v>17</v>
      </c>
      <c r="S25" s="708">
        <f>F25</f>
        <v>100</v>
      </c>
      <c r="T25" s="707" t="s">
        <v>17</v>
      </c>
      <c r="U25" s="708">
        <f>H25</f>
        <v>100</v>
      </c>
      <c r="V25" s="707" t="s">
        <v>17</v>
      </c>
      <c r="W25" s="708">
        <f>J25</f>
        <v>100</v>
      </c>
      <c r="X25" s="709"/>
      <c r="Y25" s="3274"/>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74"/>
      <c r="Q26" s="1526"/>
      <c r="R26" s="707"/>
      <c r="S26" s="708"/>
      <c r="T26" s="707"/>
      <c r="U26" s="708"/>
      <c r="V26" s="707"/>
      <c r="W26" s="708"/>
      <c r="X26" s="709"/>
      <c r="Y26" s="3274"/>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74"/>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74"/>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74"/>
      <c r="Q28" s="1535" t="str">
        <f t="shared" si="8"/>
        <v>毗邻道路的类型与等级</v>
      </c>
      <c r="R28" s="711" t="s">
        <v>17</v>
      </c>
      <c r="S28" s="712">
        <f t="shared" si="10"/>
        <v>100</v>
      </c>
      <c r="T28" s="711" t="s">
        <v>17</v>
      </c>
      <c r="U28" s="712">
        <f t="shared" si="11"/>
        <v>100</v>
      </c>
      <c r="V28" s="711" t="s">
        <v>17</v>
      </c>
      <c r="W28" s="712">
        <f t="shared" si="12"/>
        <v>100</v>
      </c>
      <c r="X28" s="1538"/>
      <c r="Y28" s="3274"/>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74"/>
      <c r="Q29" s="1535"/>
      <c r="R29" s="711"/>
      <c r="S29" s="712"/>
      <c r="T29" s="711"/>
      <c r="U29" s="712"/>
      <c r="V29" s="711"/>
      <c r="W29" s="712"/>
      <c r="X29" s="1538"/>
      <c r="Y29" s="3274"/>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74"/>
      <c r="Q30" s="1535" t="str">
        <f t="shared" si="8"/>
        <v>土地级别</v>
      </c>
      <c r="R30" s="711" t="s">
        <v>17</v>
      </c>
      <c r="S30" s="712">
        <f t="shared" si="10"/>
        <v>100</v>
      </c>
      <c r="T30" s="711" t="s">
        <v>17</v>
      </c>
      <c r="U30" s="712">
        <f t="shared" si="11"/>
        <v>100</v>
      </c>
      <c r="V30" s="711" t="s">
        <v>17</v>
      </c>
      <c r="W30" s="712">
        <f t="shared" si="12"/>
        <v>100</v>
      </c>
      <c r="X30" s="1538"/>
      <c r="Y30" s="3274"/>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74"/>
      <c r="Q31" s="1535">
        <f t="shared" si="8"/>
        <v>111</v>
      </c>
      <c r="R31" s="711" t="s">
        <v>17</v>
      </c>
      <c r="S31" s="712">
        <f t="shared" si="10"/>
        <v>100</v>
      </c>
      <c r="T31" s="711" t="s">
        <v>17</v>
      </c>
      <c r="U31" s="712">
        <f t="shared" si="11"/>
        <v>100</v>
      </c>
      <c r="V31" s="711" t="s">
        <v>17</v>
      </c>
      <c r="W31" s="712">
        <f t="shared" si="12"/>
        <v>100</v>
      </c>
      <c r="X31" s="1538"/>
      <c r="Y31" s="3274"/>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75" t="s">
        <v>2387</v>
      </c>
      <c r="Q32" s="1535">
        <f t="shared" si="8"/>
        <v>111</v>
      </c>
      <c r="R32" s="711" t="s">
        <v>17</v>
      </c>
      <c r="S32" s="712">
        <f t="shared" si="10"/>
        <v>100</v>
      </c>
      <c r="T32" s="711" t="s">
        <v>17</v>
      </c>
      <c r="U32" s="712">
        <f t="shared" si="11"/>
        <v>100</v>
      </c>
      <c r="V32" s="711" t="s">
        <v>17</v>
      </c>
      <c r="W32" s="712">
        <f t="shared" si="12"/>
        <v>100</v>
      </c>
      <c r="X32" s="1538"/>
      <c r="Y32" s="3276"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276"/>
      <c r="Q33" s="1535">
        <f t="shared" si="8"/>
        <v>111</v>
      </c>
      <c r="R33" s="714" t="s">
        <v>17</v>
      </c>
      <c r="S33" s="715">
        <f t="shared" si="10"/>
        <v>100</v>
      </c>
      <c r="T33" s="714" t="s">
        <v>17</v>
      </c>
      <c r="U33" s="715">
        <f t="shared" si="11"/>
        <v>100</v>
      </c>
      <c r="V33" s="714" t="s">
        <v>17</v>
      </c>
      <c r="W33" s="715">
        <f t="shared" si="12"/>
        <v>100</v>
      </c>
      <c r="X33" s="716"/>
      <c r="Y33" s="3276"/>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276"/>
      <c r="Q34" s="1535" t="str">
        <f>B34</f>
        <v>宗地面积</v>
      </c>
      <c r="R34" s="711" t="s">
        <v>17</v>
      </c>
      <c r="S34" s="712" t="e">
        <f t="shared" si="10"/>
        <v>#N/A</v>
      </c>
      <c r="T34" s="711" t="s">
        <v>17</v>
      </c>
      <c r="U34" s="712" t="e">
        <f t="shared" si="11"/>
        <v>#N/A</v>
      </c>
      <c r="V34" s="711" t="s">
        <v>17</v>
      </c>
      <c r="W34" s="712" t="e">
        <f t="shared" si="12"/>
        <v>#N/A</v>
      </c>
      <c r="X34" s="1538"/>
      <c r="Y34" s="3276"/>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276"/>
      <c r="Q35" s="1535" t="str">
        <f t="shared" ref="Q35:Q40" si="14">B35</f>
        <v>宗地形状</v>
      </c>
      <c r="R35" s="711" t="s">
        <v>17</v>
      </c>
      <c r="S35" s="712">
        <f t="shared" si="10"/>
        <v>100</v>
      </c>
      <c r="T35" s="711" t="s">
        <v>17</v>
      </c>
      <c r="U35" s="712">
        <f t="shared" si="11"/>
        <v>100</v>
      </c>
      <c r="V35" s="711" t="s">
        <v>17</v>
      </c>
      <c r="W35" s="712">
        <f t="shared" si="12"/>
        <v>100</v>
      </c>
      <c r="X35" s="1538"/>
      <c r="Y35" s="3276"/>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276"/>
      <c r="Q36" s="1535" t="str">
        <f t="shared" si="14"/>
        <v>宗地开发程度</v>
      </c>
      <c r="R36" s="707" t="s">
        <v>17</v>
      </c>
      <c r="S36" s="708">
        <f t="shared" si="10"/>
        <v>100</v>
      </c>
      <c r="T36" s="707" t="s">
        <v>17</v>
      </c>
      <c r="U36" s="708">
        <f t="shared" si="11"/>
        <v>100</v>
      </c>
      <c r="V36" s="707" t="s">
        <v>17</v>
      </c>
      <c r="W36" s="708">
        <f t="shared" si="12"/>
        <v>100</v>
      </c>
      <c r="X36" s="709"/>
      <c r="Y36" s="3276"/>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276" t="s">
        <v>2387</v>
      </c>
      <c r="Q37" s="1535" t="str">
        <f t="shared" si="14"/>
        <v>工程地质条件</v>
      </c>
      <c r="R37" s="711" t="s">
        <v>17</v>
      </c>
      <c r="S37" s="712">
        <f t="shared" si="10"/>
        <v>100</v>
      </c>
      <c r="T37" s="711" t="s">
        <v>17</v>
      </c>
      <c r="U37" s="712">
        <f t="shared" si="11"/>
        <v>100</v>
      </c>
      <c r="V37" s="711" t="s">
        <v>17</v>
      </c>
      <c r="W37" s="712">
        <f t="shared" si="12"/>
        <v>100</v>
      </c>
      <c r="X37" s="1538"/>
      <c r="Y37" s="3276"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276"/>
      <c r="Q38" s="1535">
        <f t="shared" si="14"/>
        <v>111</v>
      </c>
      <c r="R38" s="711" t="s">
        <v>17</v>
      </c>
      <c r="S38" s="712">
        <f t="shared" si="10"/>
        <v>100</v>
      </c>
      <c r="T38" s="711" t="s">
        <v>17</v>
      </c>
      <c r="U38" s="712">
        <f t="shared" si="11"/>
        <v>100</v>
      </c>
      <c r="V38" s="711" t="s">
        <v>17</v>
      </c>
      <c r="W38" s="712">
        <f t="shared" si="12"/>
        <v>100</v>
      </c>
      <c r="X38" s="1538"/>
      <c r="Y38" s="3276"/>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276"/>
      <c r="Q39" s="1535">
        <f t="shared" si="14"/>
        <v>111</v>
      </c>
      <c r="R39" s="711" t="s">
        <v>17</v>
      </c>
      <c r="S39" s="712">
        <f t="shared" si="10"/>
        <v>100</v>
      </c>
      <c r="T39" s="711" t="s">
        <v>17</v>
      </c>
      <c r="U39" s="712">
        <f t="shared" si="11"/>
        <v>100</v>
      </c>
      <c r="V39" s="711" t="s">
        <v>17</v>
      </c>
      <c r="W39" s="712">
        <f t="shared" si="12"/>
        <v>100</v>
      </c>
      <c r="X39" s="1538"/>
      <c r="Y39" s="3276"/>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276"/>
      <c r="Q40" s="1535">
        <f t="shared" si="14"/>
        <v>111</v>
      </c>
      <c r="R40" s="714" t="s">
        <v>17</v>
      </c>
      <c r="S40" s="715">
        <f t="shared" si="10"/>
        <v>100</v>
      </c>
      <c r="T40" s="714" t="s">
        <v>17</v>
      </c>
      <c r="U40" s="715">
        <f t="shared" si="11"/>
        <v>100</v>
      </c>
      <c r="V40" s="714" t="s">
        <v>17</v>
      </c>
      <c r="W40" s="715">
        <f t="shared" si="12"/>
        <v>100</v>
      </c>
      <c r="X40" s="716"/>
      <c r="Y40" s="3276"/>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71" t="str">
        <f>A41</f>
        <v>成交单价</v>
      </c>
      <c r="Q41" s="3271"/>
      <c r="R41" s="3277">
        <f>E41</f>
        <v>0</v>
      </c>
      <c r="S41" s="3277"/>
      <c r="T41" s="3277">
        <f>G41</f>
        <v>0</v>
      </c>
      <c r="U41" s="3277"/>
      <c r="V41" s="3277">
        <f>I41</f>
        <v>0</v>
      </c>
      <c r="W41" s="3277"/>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71" t="str">
        <f>A42</f>
        <v>比较价值（元/平方米）</v>
      </c>
      <c r="Q42" s="3271"/>
      <c r="R42" s="3264" t="e">
        <f>ROUND(PRODUCT(R41,AA7:AA40),0)</f>
        <v>#DIV/0!</v>
      </c>
      <c r="S42" s="3264"/>
      <c r="T42" s="3264" t="e">
        <f>ROUND(PRODUCT(T41,AB7:AB40),0)</f>
        <v>#DIV/0!</v>
      </c>
      <c r="U42" s="3264"/>
      <c r="V42" s="3264" t="e">
        <f>ROUND(PRODUCT(V41,AC7:AC40),0)</f>
        <v>#DIV/0!</v>
      </c>
      <c r="W42" s="3264"/>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265" t="str">
        <f>A43</f>
        <v>估价对象XX用房的比较价值（楼面单价，元/平方米）</v>
      </c>
      <c r="Q43" s="3266"/>
      <c r="R43" s="3267" t="e">
        <f>ROUND(IF(D42="简单平均",AVERAGE(R42:W42),R42*F42+T42*H42+V42*J42),0)</f>
        <v>#DIV/0!</v>
      </c>
      <c r="S43" s="3267"/>
      <c r="T43" s="3267"/>
      <c r="U43" s="3267"/>
      <c r="V43" s="3267"/>
      <c r="W43" s="3267"/>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68" t="s">
        <v>2586</v>
      </c>
      <c r="H50" s="3269"/>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8528.739999999998</v>
      </c>
      <c r="F51" s="644" t="e">
        <f t="shared" ref="F51:F60" si="15">ROUND(B51*E51/10000,0)</f>
        <v>#DIV/0!</v>
      </c>
      <c r="G51" s="3270"/>
      <c r="H51" s="3271"/>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272"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272"/>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272"/>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272"/>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155.88</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0</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66"/>
      <c r="B4" s="3367"/>
      <c r="C4" s="3367"/>
      <c r="D4" s="3368"/>
      <c r="E4" s="3368"/>
      <c r="F4" s="3368"/>
      <c r="G4" s="3368"/>
      <c r="H4" s="3368"/>
      <c r="I4" s="3368"/>
      <c r="J4" s="3369"/>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70"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71"/>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63" t="s">
        <v>2662</v>
      </c>
      <c r="X8" s="3364"/>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71"/>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65"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1"/>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6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1"/>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65"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70"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65"/>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2"/>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65"/>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72"/>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73"/>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70" t="s">
        <v>2705</v>
      </c>
      <c r="B16" s="2208" t="s">
        <v>2706</v>
      </c>
      <c r="C16" s="2370" t="e">
        <f>ROUND(IF(F17="与级别开发程度一致",0,(G17-E17)/C17),0)</f>
        <v>#DIV/0!</v>
      </c>
      <c r="D16" s="3386" t="s">
        <v>2710</v>
      </c>
      <c r="E16" s="3387"/>
      <c r="F16" s="3386" t="s">
        <v>2707</v>
      </c>
      <c r="G16" s="3387"/>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74"/>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83"/>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88"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84"/>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84"/>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84"/>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84"/>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85"/>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85"/>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75" t="s">
        <v>2793</v>
      </c>
      <c r="B90" s="3375"/>
      <c r="C90" s="3375"/>
      <c r="D90" s="3375"/>
      <c r="E90" s="3375"/>
      <c r="F90" s="3375"/>
      <c r="G90" s="3375"/>
      <c r="H90" s="3375"/>
      <c r="I90" s="3375"/>
      <c r="J90" s="3375"/>
      <c r="K90" s="2342"/>
      <c r="L90" s="2342"/>
      <c r="M90" s="2342"/>
      <c r="N90" s="2342"/>
    </row>
    <row r="91" spans="1:37">
      <c r="A91" s="3377" t="s">
        <v>2794</v>
      </c>
      <c r="B91" s="3377" t="s">
        <v>2795</v>
      </c>
      <c r="C91" s="2296" t="s">
        <v>2796</v>
      </c>
      <c r="D91" s="2297"/>
      <c r="E91" s="2297"/>
      <c r="F91" s="2297"/>
      <c r="G91" s="2297"/>
      <c r="H91" s="2297"/>
      <c r="I91" s="2297"/>
      <c r="J91" s="2343"/>
      <c r="K91" s="2344"/>
      <c r="L91" s="2344"/>
      <c r="M91" s="2344"/>
      <c r="N91" s="2344"/>
    </row>
    <row r="92" spans="1:37">
      <c r="A92" s="3377"/>
      <c r="B92" s="3377"/>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78"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9"/>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8"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79"/>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79"/>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79"/>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79"/>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79"/>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79"/>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79"/>
      <c r="B108" s="3381"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0"/>
      <c r="B109" s="3382"/>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76" t="s">
        <v>2801</v>
      </c>
      <c r="B110" s="3376"/>
      <c r="C110" s="3376"/>
      <c r="D110" s="3376"/>
      <c r="E110" s="3376"/>
      <c r="F110" s="3376"/>
      <c r="G110" s="3376"/>
      <c r="H110" s="3376"/>
      <c r="I110" s="3376"/>
      <c r="J110" s="3376"/>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89" t="s">
        <v>183</v>
      </c>
      <c r="B18" s="818" t="s">
        <v>560</v>
      </c>
      <c r="C18" s="819" t="s">
        <v>561</v>
      </c>
      <c r="D18" s="820"/>
      <c r="E18" s="818">
        <v>1</v>
      </c>
      <c r="F18" s="821" t="s">
        <v>562</v>
      </c>
      <c r="G18" s="822"/>
      <c r="H18" s="814"/>
      <c r="I18" s="814"/>
    </row>
    <row r="19" spans="1:9" s="823" customFormat="1" ht="19.5" customHeight="1">
      <c r="A19" s="3389"/>
      <c r="B19" s="3389" t="s">
        <v>563</v>
      </c>
      <c r="C19" s="819" t="s">
        <v>564</v>
      </c>
      <c r="D19" s="820"/>
      <c r="E19" s="818">
        <v>0.9</v>
      </c>
      <c r="F19" s="821" t="s">
        <v>565</v>
      </c>
      <c r="G19" s="822"/>
      <c r="H19" s="814"/>
      <c r="I19" s="814"/>
    </row>
    <row r="20" spans="1:9" s="823" customFormat="1" ht="19.5" customHeight="1">
      <c r="A20" s="3389"/>
      <c r="B20" s="3389"/>
      <c r="C20" s="819" t="s">
        <v>566</v>
      </c>
      <c r="D20" s="820"/>
      <c r="E20" s="818">
        <v>1.1000000000000001</v>
      </c>
      <c r="F20" s="821" t="s">
        <v>567</v>
      </c>
      <c r="G20" s="822"/>
      <c r="H20" s="814"/>
      <c r="I20" s="814"/>
    </row>
    <row r="21" spans="1:9" s="823" customFormat="1" ht="19.5" customHeight="1">
      <c r="A21" s="3389"/>
      <c r="B21" s="3389"/>
      <c r="C21" s="819" t="s">
        <v>568</v>
      </c>
      <c r="D21" s="820"/>
      <c r="E21" s="818">
        <v>0.8</v>
      </c>
      <c r="F21" s="821" t="s">
        <v>569</v>
      </c>
      <c r="G21" s="822"/>
      <c r="H21" s="814"/>
      <c r="I21" s="814"/>
    </row>
    <row r="22" spans="1:9" s="823" customFormat="1" ht="19.5" customHeight="1">
      <c r="A22" s="3389"/>
      <c r="B22" s="3389"/>
      <c r="C22" s="819" t="s">
        <v>570</v>
      </c>
      <c r="D22" s="820"/>
      <c r="E22" s="818">
        <v>0.5</v>
      </c>
      <c r="F22" s="821"/>
      <c r="G22" s="822"/>
      <c r="H22" s="814"/>
      <c r="I22" s="814"/>
    </row>
    <row r="23" spans="1:9" s="823" customFormat="1" ht="19.5" customHeight="1">
      <c r="A23" s="3389" t="s">
        <v>184</v>
      </c>
      <c r="B23" s="818" t="s">
        <v>560</v>
      </c>
      <c r="C23" s="819" t="s">
        <v>571</v>
      </c>
      <c r="D23" s="820"/>
      <c r="E23" s="818">
        <v>1</v>
      </c>
      <c r="F23" s="821" t="s">
        <v>572</v>
      </c>
      <c r="G23" s="822"/>
      <c r="H23" s="814"/>
      <c r="I23" s="814"/>
    </row>
    <row r="24" spans="1:9" s="823" customFormat="1" ht="19.5" customHeight="1">
      <c r="A24" s="3389"/>
      <c r="B24" s="3389" t="s">
        <v>563</v>
      </c>
      <c r="C24" s="819" t="s">
        <v>573</v>
      </c>
      <c r="D24" s="820"/>
      <c r="E24" s="818">
        <v>0.5</v>
      </c>
      <c r="F24" s="821"/>
      <c r="G24" s="822"/>
      <c r="H24" s="814"/>
      <c r="I24" s="814"/>
    </row>
    <row r="25" spans="1:9" s="823" customFormat="1" ht="19.5" customHeight="1">
      <c r="A25" s="3389"/>
      <c r="B25" s="3389"/>
      <c r="C25" s="819" t="s">
        <v>574</v>
      </c>
      <c r="D25" s="820"/>
      <c r="E25" s="818">
        <v>1.1000000000000001</v>
      </c>
      <c r="F25" s="821"/>
      <c r="G25" s="822"/>
      <c r="H25" s="814"/>
      <c r="I25" s="814"/>
    </row>
    <row r="26" spans="1:9" s="823" customFormat="1" ht="19.5" customHeight="1">
      <c r="A26" s="3389"/>
      <c r="B26" s="3389"/>
      <c r="C26" s="819" t="s">
        <v>575</v>
      </c>
      <c r="D26" s="820"/>
      <c r="E26" s="818">
        <v>1.1000000000000001</v>
      </c>
      <c r="F26" s="821"/>
      <c r="G26" s="822"/>
      <c r="H26" s="814"/>
      <c r="I26" s="814"/>
    </row>
    <row r="27" spans="1:9" s="823" customFormat="1" ht="19.5" customHeight="1">
      <c r="A27" s="3389"/>
      <c r="B27" s="3389"/>
      <c r="C27" s="819" t="s">
        <v>576</v>
      </c>
      <c r="D27" s="820"/>
      <c r="E27" s="818">
        <v>0.9</v>
      </c>
      <c r="F27" s="821" t="s">
        <v>577</v>
      </c>
      <c r="G27" s="822"/>
      <c r="H27" s="814"/>
      <c r="I27" s="814"/>
    </row>
    <row r="28" spans="1:9" s="823" customFormat="1" ht="19.5" customHeight="1">
      <c r="A28" s="3389"/>
      <c r="B28" s="3389"/>
      <c r="C28" s="819" t="s">
        <v>578</v>
      </c>
      <c r="D28" s="820"/>
      <c r="E28" s="818">
        <v>0.9</v>
      </c>
      <c r="F28" s="821" t="s">
        <v>579</v>
      </c>
      <c r="G28" s="822"/>
      <c r="H28" s="814"/>
      <c r="I28" s="814"/>
    </row>
    <row r="29" spans="1:9" s="823" customFormat="1" ht="19.5" customHeight="1">
      <c r="A29" s="3389"/>
      <c r="B29" s="3389"/>
      <c r="C29" s="819" t="s">
        <v>580</v>
      </c>
      <c r="D29" s="820"/>
      <c r="E29" s="818">
        <v>0.9</v>
      </c>
      <c r="F29" s="821" t="s">
        <v>581</v>
      </c>
      <c r="G29" s="822"/>
      <c r="H29" s="814"/>
      <c r="I29" s="814"/>
    </row>
    <row r="30" spans="1:9" s="823" customFormat="1" ht="19.5" customHeight="1">
      <c r="A30" s="3389"/>
      <c r="B30" s="3389"/>
      <c r="C30" s="819" t="s">
        <v>582</v>
      </c>
      <c r="D30" s="820"/>
      <c r="E30" s="818">
        <v>0.9</v>
      </c>
      <c r="F30" s="821" t="s">
        <v>583</v>
      </c>
      <c r="G30" s="822"/>
      <c r="H30" s="814"/>
      <c r="I30" s="814"/>
    </row>
    <row r="31" spans="1:9" s="823" customFormat="1" ht="19.5" customHeight="1">
      <c r="A31" s="3389"/>
      <c r="B31" s="3389"/>
      <c r="C31" s="819" t="s">
        <v>584</v>
      </c>
      <c r="D31" s="820"/>
      <c r="E31" s="818">
        <v>0.8</v>
      </c>
      <c r="F31" s="821" t="s">
        <v>585</v>
      </c>
      <c r="G31" s="822"/>
      <c r="H31" s="814"/>
      <c r="I31" s="814"/>
    </row>
    <row r="32" spans="1:9" s="823" customFormat="1" ht="19.5" customHeight="1">
      <c r="A32" s="3389"/>
      <c r="B32" s="3389"/>
      <c r="C32" s="819" t="s">
        <v>586</v>
      </c>
      <c r="D32" s="820"/>
      <c r="E32" s="818">
        <v>0.8</v>
      </c>
      <c r="F32" s="821" t="s">
        <v>587</v>
      </c>
      <c r="G32" s="822"/>
      <c r="H32" s="814"/>
      <c r="I32" s="814"/>
    </row>
    <row r="33" spans="1:9" s="823" customFormat="1" ht="19.5" customHeight="1">
      <c r="A33" s="3389" t="s">
        <v>185</v>
      </c>
      <c r="B33" s="818" t="s">
        <v>560</v>
      </c>
      <c r="C33" s="819" t="s">
        <v>588</v>
      </c>
      <c r="D33" s="820"/>
      <c r="E33" s="818">
        <v>1</v>
      </c>
      <c r="F33" s="821" t="s">
        <v>589</v>
      </c>
      <c r="G33" s="822"/>
      <c r="H33" s="814"/>
      <c r="I33" s="814"/>
    </row>
    <row r="34" spans="1:9" s="823" customFormat="1" ht="19.5" customHeight="1">
      <c r="A34" s="3389"/>
      <c r="B34" s="818" t="s">
        <v>563</v>
      </c>
      <c r="C34" s="819" t="s">
        <v>590</v>
      </c>
      <c r="D34" s="820"/>
      <c r="E34" s="818">
        <v>1.5</v>
      </c>
      <c r="F34" s="821" t="s">
        <v>591</v>
      </c>
      <c r="G34" s="822"/>
      <c r="H34" s="814"/>
      <c r="I34" s="814"/>
    </row>
    <row r="35" spans="1:9" s="823" customFormat="1" ht="19.5" customHeight="1">
      <c r="A35" s="3389" t="s">
        <v>186</v>
      </c>
      <c r="B35" s="818" t="s">
        <v>560</v>
      </c>
      <c r="C35" s="819" t="s">
        <v>592</v>
      </c>
      <c r="D35" s="820"/>
      <c r="E35" s="818">
        <v>1</v>
      </c>
      <c r="F35" s="821" t="s">
        <v>593</v>
      </c>
      <c r="G35" s="822"/>
      <c r="H35" s="814"/>
      <c r="I35" s="814"/>
    </row>
    <row r="36" spans="1:9" s="823" customFormat="1" ht="19.5" customHeight="1">
      <c r="A36" s="3389"/>
      <c r="B36" s="3389" t="s">
        <v>563</v>
      </c>
      <c r="C36" s="819" t="s">
        <v>594</v>
      </c>
      <c r="D36" s="820"/>
      <c r="E36" s="818">
        <v>1</v>
      </c>
      <c r="F36" s="821" t="s">
        <v>595</v>
      </c>
      <c r="G36" s="822"/>
      <c r="H36" s="814"/>
      <c r="I36" s="814"/>
    </row>
    <row r="37" spans="1:9" s="823" customFormat="1" ht="19.5" customHeight="1">
      <c r="A37" s="3389"/>
      <c r="B37" s="3389"/>
      <c r="C37" s="819" t="s">
        <v>596</v>
      </c>
      <c r="D37" s="820"/>
      <c r="E37" s="818">
        <v>1.5</v>
      </c>
      <c r="F37" s="821" t="s">
        <v>597</v>
      </c>
      <c r="G37" s="822"/>
      <c r="H37" s="814"/>
      <c r="I37" s="814"/>
    </row>
    <row r="38" spans="1:9" s="823" customFormat="1" ht="19.5" customHeight="1">
      <c r="A38" s="3389"/>
      <c r="B38" s="3389"/>
      <c r="C38" s="819" t="s">
        <v>598</v>
      </c>
      <c r="D38" s="820"/>
      <c r="E38" s="818">
        <v>1</v>
      </c>
      <c r="F38" s="821" t="s">
        <v>599</v>
      </c>
      <c r="G38" s="822"/>
      <c r="H38" s="814"/>
      <c r="I38" s="814"/>
    </row>
    <row r="39" spans="1:9" s="823" customFormat="1" ht="19.5" customHeight="1">
      <c r="A39" s="3389"/>
      <c r="B39" s="338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89" t="s">
        <v>614</v>
      </c>
      <c r="C61" s="754" t="s">
        <v>615</v>
      </c>
      <c r="D61" s="754" t="s">
        <v>616</v>
      </c>
      <c r="E61" s="831">
        <v>0.5</v>
      </c>
      <c r="F61" s="818">
        <v>80</v>
      </c>
    </row>
    <row r="62" spans="1:8" s="814" customFormat="1" ht="24">
      <c r="A62" s="818">
        <v>2</v>
      </c>
      <c r="B62" s="3389"/>
      <c r="C62" s="754" t="s">
        <v>617</v>
      </c>
      <c r="D62" s="754" t="s">
        <v>618</v>
      </c>
      <c r="E62" s="831">
        <v>0.5</v>
      </c>
      <c r="F62" s="818">
        <v>80</v>
      </c>
    </row>
    <row r="63" spans="1:8" s="814" customFormat="1" ht="36">
      <c r="A63" s="818">
        <v>3</v>
      </c>
      <c r="B63" s="3389"/>
      <c r="C63" s="754" t="s">
        <v>619</v>
      </c>
      <c r="D63" s="754" t="s">
        <v>620</v>
      </c>
      <c r="E63" s="831">
        <v>0.5</v>
      </c>
      <c r="F63" s="818">
        <v>80</v>
      </c>
    </row>
    <row r="64" spans="1:8" s="814" customFormat="1" ht="36">
      <c r="A64" s="818">
        <v>4</v>
      </c>
      <c r="B64" s="3389"/>
      <c r="C64" s="754" t="s">
        <v>621</v>
      </c>
      <c r="D64" s="754" t="s">
        <v>622</v>
      </c>
      <c r="E64" s="831">
        <v>0.4</v>
      </c>
      <c r="F64" s="818">
        <v>60</v>
      </c>
    </row>
    <row r="65" spans="1:6" s="814" customFormat="1" ht="36">
      <c r="A65" s="818">
        <v>5</v>
      </c>
      <c r="B65" s="3389"/>
      <c r="C65" s="754" t="s">
        <v>623</v>
      </c>
      <c r="D65" s="754" t="s">
        <v>624</v>
      </c>
      <c r="E65" s="831">
        <v>0.2</v>
      </c>
      <c r="F65" s="818">
        <v>30</v>
      </c>
    </row>
    <row r="66" spans="1:6" s="814" customFormat="1" ht="36">
      <c r="A66" s="818">
        <v>6</v>
      </c>
      <c r="B66" s="3389"/>
      <c r="C66" s="754" t="s">
        <v>625</v>
      </c>
      <c r="D66" s="754" t="s">
        <v>626</v>
      </c>
      <c r="E66" s="831">
        <v>0.3</v>
      </c>
      <c r="F66" s="818">
        <v>50</v>
      </c>
    </row>
    <row r="67" spans="1:6" s="814" customFormat="1" ht="36">
      <c r="A67" s="818">
        <v>7</v>
      </c>
      <c r="B67" s="3389"/>
      <c r="C67" s="754" t="s">
        <v>627</v>
      </c>
      <c r="D67" s="754" t="s">
        <v>628</v>
      </c>
      <c r="E67" s="831">
        <v>0.2</v>
      </c>
      <c r="F67" s="818">
        <v>30</v>
      </c>
    </row>
    <row r="68" spans="1:6" s="814" customFormat="1" ht="36">
      <c r="A68" s="818">
        <v>8</v>
      </c>
      <c r="B68" s="3389"/>
      <c r="C68" s="754" t="s">
        <v>629</v>
      </c>
      <c r="D68" s="754" t="s">
        <v>630</v>
      </c>
      <c r="E68" s="831">
        <v>0.2</v>
      </c>
      <c r="F68" s="818">
        <v>30</v>
      </c>
    </row>
    <row r="69" spans="1:6" s="814" customFormat="1" ht="36">
      <c r="A69" s="818">
        <v>9</v>
      </c>
      <c r="B69" s="3389"/>
      <c r="C69" s="754" t="s">
        <v>631</v>
      </c>
      <c r="D69" s="754" t="s">
        <v>632</v>
      </c>
      <c r="E69" s="831">
        <v>0.2</v>
      </c>
      <c r="F69" s="818">
        <v>30</v>
      </c>
    </row>
    <row r="70" spans="1:6" s="814" customFormat="1" ht="48">
      <c r="A70" s="818">
        <v>10</v>
      </c>
      <c r="B70" s="3389"/>
      <c r="C70" s="754" t="s">
        <v>633</v>
      </c>
      <c r="D70" s="754" t="s">
        <v>634</v>
      </c>
      <c r="E70" s="831">
        <v>0.2</v>
      </c>
      <c r="F70" s="818">
        <v>30</v>
      </c>
    </row>
    <row r="71" spans="1:6" s="814" customFormat="1" ht="48">
      <c r="A71" s="818">
        <v>11</v>
      </c>
      <c r="B71" s="3389"/>
      <c r="C71" s="754" t="s">
        <v>635</v>
      </c>
      <c r="D71" s="754" t="s">
        <v>636</v>
      </c>
      <c r="E71" s="831">
        <v>0.2</v>
      </c>
      <c r="F71" s="818">
        <v>30</v>
      </c>
    </row>
    <row r="72" spans="1:6" s="814" customFormat="1" ht="36">
      <c r="A72" s="818">
        <v>12</v>
      </c>
      <c r="B72" s="3389"/>
      <c r="C72" s="754" t="s">
        <v>637</v>
      </c>
      <c r="D72" s="754" t="s">
        <v>638</v>
      </c>
      <c r="E72" s="831">
        <v>0.5</v>
      </c>
      <c r="F72" s="818">
        <v>80</v>
      </c>
    </row>
    <row r="73" spans="1:6" s="814" customFormat="1" ht="24">
      <c r="A73" s="818">
        <v>13</v>
      </c>
      <c r="B73" s="3389"/>
      <c r="C73" s="754" t="s">
        <v>639</v>
      </c>
      <c r="D73" s="754" t="s">
        <v>640</v>
      </c>
      <c r="E73" s="831">
        <v>0.4</v>
      </c>
      <c r="F73" s="818">
        <v>60</v>
      </c>
    </row>
    <row r="74" spans="1:6" s="814" customFormat="1" ht="24">
      <c r="A74" s="818">
        <v>14</v>
      </c>
      <c r="B74" s="3389"/>
      <c r="C74" s="754" t="s">
        <v>641</v>
      </c>
      <c r="D74" s="754" t="s">
        <v>642</v>
      </c>
      <c r="E74" s="831">
        <v>0.2</v>
      </c>
      <c r="F74" s="818">
        <v>30</v>
      </c>
    </row>
    <row r="75" spans="1:6" s="814" customFormat="1" ht="24">
      <c r="A75" s="818">
        <v>15</v>
      </c>
      <c r="B75" s="3389"/>
      <c r="C75" s="754" t="s">
        <v>643</v>
      </c>
      <c r="D75" s="754" t="s">
        <v>644</v>
      </c>
      <c r="E75" s="831">
        <v>0.2</v>
      </c>
      <c r="F75" s="818">
        <v>30</v>
      </c>
    </row>
    <row r="76" spans="1:6" s="814" customFormat="1" ht="24">
      <c r="A76" s="818">
        <v>16</v>
      </c>
      <c r="B76" s="3389" t="s">
        <v>645</v>
      </c>
      <c r="C76" s="754" t="s">
        <v>646</v>
      </c>
      <c r="D76" s="754" t="s">
        <v>647</v>
      </c>
      <c r="E76" s="831">
        <v>0.5</v>
      </c>
      <c r="F76" s="818">
        <v>80</v>
      </c>
    </row>
    <row r="77" spans="1:6" s="814" customFormat="1" ht="24">
      <c r="A77" s="818">
        <v>17</v>
      </c>
      <c r="B77" s="3389"/>
      <c r="C77" s="754" t="s">
        <v>648</v>
      </c>
      <c r="D77" s="754" t="s">
        <v>649</v>
      </c>
      <c r="E77" s="831">
        <v>0.5</v>
      </c>
      <c r="F77" s="818">
        <v>80</v>
      </c>
    </row>
    <row r="78" spans="1:6" s="814" customFormat="1" ht="24">
      <c r="A78" s="818">
        <v>18</v>
      </c>
      <c r="B78" s="3389"/>
      <c r="C78" s="754" t="s">
        <v>650</v>
      </c>
      <c r="D78" s="754" t="s">
        <v>651</v>
      </c>
      <c r="E78" s="831">
        <v>0.2</v>
      </c>
      <c r="F78" s="818">
        <v>30</v>
      </c>
    </row>
    <row r="79" spans="1:6" s="814" customFormat="1" ht="24">
      <c r="A79" s="818">
        <v>19</v>
      </c>
      <c r="B79" s="3389"/>
      <c r="C79" s="754" t="s">
        <v>652</v>
      </c>
      <c r="D79" s="754" t="s">
        <v>653</v>
      </c>
      <c r="E79" s="831">
        <v>0.5</v>
      </c>
      <c r="F79" s="818">
        <v>80</v>
      </c>
    </row>
    <row r="80" spans="1:6" s="814" customFormat="1" ht="36">
      <c r="A80" s="818">
        <v>20</v>
      </c>
      <c r="B80" s="3389"/>
      <c r="C80" s="754" t="s">
        <v>654</v>
      </c>
      <c r="D80" s="754" t="s">
        <v>655</v>
      </c>
      <c r="E80" s="831">
        <v>0.2</v>
      </c>
      <c r="F80" s="818">
        <v>30</v>
      </c>
    </row>
    <row r="81" spans="1:6" s="814" customFormat="1" ht="36">
      <c r="A81" s="818">
        <v>21</v>
      </c>
      <c r="B81" s="3389"/>
      <c r="C81" s="754" t="s">
        <v>656</v>
      </c>
      <c r="D81" s="754" t="s">
        <v>657</v>
      </c>
      <c r="E81" s="831">
        <v>0.2</v>
      </c>
      <c r="F81" s="818">
        <v>30</v>
      </c>
    </row>
    <row r="82" spans="1:6" s="814" customFormat="1" ht="48">
      <c r="A82" s="818">
        <v>22</v>
      </c>
      <c r="B82" s="3389"/>
      <c r="C82" s="754" t="s">
        <v>658</v>
      </c>
      <c r="D82" s="754" t="s">
        <v>659</v>
      </c>
      <c r="E82" s="831">
        <v>0.2</v>
      </c>
      <c r="F82" s="818">
        <v>30</v>
      </c>
    </row>
    <row r="83" spans="1:6" s="814" customFormat="1" ht="48">
      <c r="A83" s="818">
        <v>23</v>
      </c>
      <c r="B83" s="3389"/>
      <c r="C83" s="754" t="s">
        <v>660</v>
      </c>
      <c r="D83" s="754" t="s">
        <v>661</v>
      </c>
      <c r="E83" s="831">
        <v>0.2</v>
      </c>
      <c r="F83" s="818">
        <v>30</v>
      </c>
    </row>
    <row r="84" spans="1:6" s="814" customFormat="1" ht="36">
      <c r="A84" s="818">
        <v>24</v>
      </c>
      <c r="B84" s="3389"/>
      <c r="C84" s="754" t="s">
        <v>662</v>
      </c>
      <c r="D84" s="754" t="s">
        <v>663</v>
      </c>
      <c r="E84" s="831">
        <v>0.2</v>
      </c>
      <c r="F84" s="818">
        <v>30</v>
      </c>
    </row>
    <row r="85" spans="1:6" s="814" customFormat="1" ht="36">
      <c r="A85" s="818">
        <v>25</v>
      </c>
      <c r="B85" s="3389"/>
      <c r="C85" s="754" t="s">
        <v>664</v>
      </c>
      <c r="D85" s="754" t="s">
        <v>665</v>
      </c>
      <c r="E85" s="831">
        <v>0.5</v>
      </c>
      <c r="F85" s="818">
        <v>80</v>
      </c>
    </row>
    <row r="86" spans="1:6" s="814" customFormat="1" ht="36">
      <c r="A86" s="818">
        <v>26</v>
      </c>
      <c r="B86" s="3389"/>
      <c r="C86" s="754" t="s">
        <v>666</v>
      </c>
      <c r="D86" s="754" t="s">
        <v>667</v>
      </c>
      <c r="E86" s="831">
        <v>0.2</v>
      </c>
      <c r="F86" s="818">
        <v>30</v>
      </c>
    </row>
    <row r="87" spans="1:6" s="814" customFormat="1" ht="36">
      <c r="A87" s="818">
        <v>27</v>
      </c>
      <c r="B87" s="3389"/>
      <c r="C87" s="754" t="s">
        <v>668</v>
      </c>
      <c r="D87" s="754" t="s">
        <v>669</v>
      </c>
      <c r="E87" s="831">
        <v>0.2</v>
      </c>
      <c r="F87" s="818">
        <v>30</v>
      </c>
    </row>
    <row r="88" spans="1:6" s="814" customFormat="1" ht="36">
      <c r="A88" s="818">
        <v>28</v>
      </c>
      <c r="B88" s="3389"/>
      <c r="C88" s="754" t="s">
        <v>670</v>
      </c>
      <c r="D88" s="754" t="s">
        <v>671</v>
      </c>
      <c r="E88" s="831">
        <v>0.2</v>
      </c>
      <c r="F88" s="818">
        <v>30</v>
      </c>
    </row>
    <row r="89" spans="1:6" s="814" customFormat="1" ht="24">
      <c r="A89" s="818">
        <v>29</v>
      </c>
      <c r="B89" s="3389"/>
      <c r="C89" s="754" t="s">
        <v>672</v>
      </c>
      <c r="D89" s="754" t="s">
        <v>673</v>
      </c>
      <c r="E89" s="831">
        <v>0.2</v>
      </c>
      <c r="F89" s="818">
        <v>30</v>
      </c>
    </row>
    <row r="90" spans="1:6" s="814" customFormat="1" ht="24">
      <c r="A90" s="818">
        <v>30</v>
      </c>
      <c r="B90" s="3389"/>
      <c r="C90" s="754" t="s">
        <v>674</v>
      </c>
      <c r="D90" s="754" t="s">
        <v>675</v>
      </c>
      <c r="E90" s="831">
        <v>0.2</v>
      </c>
      <c r="F90" s="818">
        <v>30</v>
      </c>
    </row>
    <row r="91" spans="1:6" s="814" customFormat="1" ht="36">
      <c r="A91" s="818">
        <v>31</v>
      </c>
      <c r="B91" s="3389"/>
      <c r="C91" s="754" t="s">
        <v>676</v>
      </c>
      <c r="D91" s="754" t="s">
        <v>677</v>
      </c>
      <c r="E91" s="831">
        <v>0.2</v>
      </c>
      <c r="F91" s="818">
        <v>30</v>
      </c>
    </row>
    <row r="92" spans="1:6" s="814" customFormat="1" ht="24">
      <c r="A92" s="818">
        <v>32</v>
      </c>
      <c r="B92" s="3389" t="s">
        <v>678</v>
      </c>
      <c r="C92" s="818" t="s">
        <v>679</v>
      </c>
      <c r="D92" s="754" t="s">
        <v>680</v>
      </c>
      <c r="E92" s="831">
        <v>0.2</v>
      </c>
      <c r="F92" s="818">
        <v>30</v>
      </c>
    </row>
    <row r="93" spans="1:6" s="814" customFormat="1" ht="36">
      <c r="A93" s="818">
        <v>33</v>
      </c>
      <c r="B93" s="3389"/>
      <c r="C93" s="818" t="s">
        <v>681</v>
      </c>
      <c r="D93" s="754" t="s">
        <v>682</v>
      </c>
      <c r="E93" s="831">
        <v>0.2</v>
      </c>
      <c r="F93" s="818">
        <v>30</v>
      </c>
    </row>
    <row r="94" spans="1:6" s="814" customFormat="1" ht="48">
      <c r="A94" s="818">
        <v>34</v>
      </c>
      <c r="B94" s="3389"/>
      <c r="C94" s="818" t="s">
        <v>683</v>
      </c>
      <c r="D94" s="754" t="s">
        <v>684</v>
      </c>
      <c r="E94" s="831">
        <v>0.2</v>
      </c>
      <c r="F94" s="818">
        <v>30</v>
      </c>
    </row>
    <row r="95" spans="1:6" s="814" customFormat="1" ht="36">
      <c r="A95" s="818">
        <v>35</v>
      </c>
      <c r="B95" s="3389"/>
      <c r="C95" s="818" t="s">
        <v>685</v>
      </c>
      <c r="D95" s="754" t="s">
        <v>686</v>
      </c>
      <c r="E95" s="831">
        <v>0.2</v>
      </c>
      <c r="F95" s="818">
        <v>30</v>
      </c>
    </row>
    <row r="96" spans="1:6" s="814" customFormat="1" ht="48">
      <c r="A96" s="818">
        <v>36</v>
      </c>
      <c r="B96" s="3389"/>
      <c r="C96" s="754" t="s">
        <v>687</v>
      </c>
      <c r="D96" s="754" t="s">
        <v>688</v>
      </c>
      <c r="E96" s="831">
        <v>0.2</v>
      </c>
      <c r="F96" s="818">
        <v>30</v>
      </c>
    </row>
    <row r="97" spans="1:6" s="814" customFormat="1" ht="36">
      <c r="A97" s="818">
        <v>37</v>
      </c>
      <c r="B97" s="3389"/>
      <c r="C97" s="818" t="s">
        <v>689</v>
      </c>
      <c r="D97" s="754" t="s">
        <v>690</v>
      </c>
      <c r="E97" s="831">
        <v>0.2</v>
      </c>
      <c r="F97" s="818">
        <v>30</v>
      </c>
    </row>
    <row r="98" spans="1:6" s="814" customFormat="1" ht="36">
      <c r="A98" s="818">
        <v>38</v>
      </c>
      <c r="B98" s="3389"/>
      <c r="C98" s="818" t="s">
        <v>691</v>
      </c>
      <c r="D98" s="754" t="s">
        <v>692</v>
      </c>
      <c r="E98" s="831">
        <v>0.2</v>
      </c>
      <c r="F98" s="818">
        <v>30</v>
      </c>
    </row>
    <row r="99" spans="1:6" s="814" customFormat="1" ht="36">
      <c r="A99" s="818">
        <v>39</v>
      </c>
      <c r="B99" s="3389" t="s">
        <v>693</v>
      </c>
      <c r="C99" s="818" t="s">
        <v>694</v>
      </c>
      <c r="D99" s="754" t="s">
        <v>695</v>
      </c>
      <c r="E99" s="831">
        <v>0.3</v>
      </c>
      <c r="F99" s="818">
        <v>50</v>
      </c>
    </row>
    <row r="100" spans="1:6" s="814" customFormat="1" ht="24">
      <c r="A100" s="818">
        <v>40</v>
      </c>
      <c r="B100" s="3389"/>
      <c r="C100" s="818" t="s">
        <v>696</v>
      </c>
      <c r="D100" s="754" t="s">
        <v>697</v>
      </c>
      <c r="E100" s="831">
        <v>0.2</v>
      </c>
      <c r="F100" s="818">
        <v>30</v>
      </c>
    </row>
    <row r="101" spans="1:6" s="814" customFormat="1" ht="36">
      <c r="A101" s="818">
        <v>41</v>
      </c>
      <c r="B101" s="3389"/>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89" t="s">
        <v>708</v>
      </c>
      <c r="C105" s="818" t="s">
        <v>709</v>
      </c>
      <c r="D105" s="754" t="s">
        <v>710</v>
      </c>
      <c r="E105" s="831">
        <v>0.2</v>
      </c>
      <c r="F105" s="818">
        <v>30</v>
      </c>
    </row>
    <row r="106" spans="1:6" s="814" customFormat="1" ht="36">
      <c r="A106" s="818">
        <v>46</v>
      </c>
      <c r="B106" s="3389"/>
      <c r="C106" s="818" t="s">
        <v>711</v>
      </c>
      <c r="D106" s="754" t="s">
        <v>712</v>
      </c>
      <c r="E106" s="831">
        <v>0.2</v>
      </c>
      <c r="F106" s="818">
        <v>30</v>
      </c>
    </row>
    <row r="107" spans="1:6" s="814" customFormat="1" ht="36">
      <c r="A107" s="818">
        <v>47</v>
      </c>
      <c r="B107" s="3389" t="s">
        <v>713</v>
      </c>
      <c r="C107" s="818" t="s">
        <v>714</v>
      </c>
      <c r="D107" s="754" t="s">
        <v>715</v>
      </c>
      <c r="E107" s="831">
        <v>0.3</v>
      </c>
      <c r="F107" s="818">
        <v>50</v>
      </c>
    </row>
    <row r="108" spans="1:6" s="814" customFormat="1" ht="36">
      <c r="A108" s="818">
        <v>48</v>
      </c>
      <c r="B108" s="338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89" t="s">
        <v>724</v>
      </c>
      <c r="C111" s="818" t="s">
        <v>725</v>
      </c>
      <c r="D111" s="754" t="s">
        <v>726</v>
      </c>
      <c r="E111" s="831">
        <v>0.2</v>
      </c>
      <c r="F111" s="818">
        <v>30</v>
      </c>
    </row>
    <row r="112" spans="1:6" s="814" customFormat="1" ht="24">
      <c r="A112" s="818">
        <v>52</v>
      </c>
      <c r="B112" s="3389"/>
      <c r="C112" s="818" t="s">
        <v>727</v>
      </c>
      <c r="D112" s="754" t="s">
        <v>728</v>
      </c>
      <c r="E112" s="831">
        <v>0.2</v>
      </c>
      <c r="F112" s="818">
        <v>30</v>
      </c>
    </row>
    <row r="113" spans="1:6" s="814" customFormat="1" ht="24">
      <c r="A113" s="818">
        <v>53</v>
      </c>
      <c r="B113" s="3389"/>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89" t="s">
        <v>737</v>
      </c>
      <c r="C116" s="818" t="s">
        <v>738</v>
      </c>
      <c r="D116" s="754" t="s">
        <v>739</v>
      </c>
      <c r="E116" s="831">
        <v>0.2</v>
      </c>
      <c r="F116" s="818">
        <v>30</v>
      </c>
    </row>
    <row r="117" spans="1:6" ht="36">
      <c r="A117" s="818">
        <v>57</v>
      </c>
      <c r="B117" s="3389"/>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7"/>
      <c r="B4" s="3071" t="s">
        <v>1595</v>
      </c>
      <c r="C4" s="3071"/>
      <c r="D4" s="3071"/>
      <c r="E4" s="1677"/>
    </row>
    <row r="5" spans="1:5" ht="16.5" thickTop="1">
      <c r="A5" s="1675"/>
      <c r="B5" s="3069" t="s">
        <v>1587</v>
      </c>
      <c r="C5" s="1678" t="s">
        <v>1588</v>
      </c>
      <c r="D5" s="956">
        <f ca="1">结果表!H101</f>
        <v>12368</v>
      </c>
      <c r="E5" s="1675"/>
    </row>
    <row r="6" spans="1:5" ht="15.75">
      <c r="A6" s="1675"/>
      <c r="B6" s="3069"/>
      <c r="C6" s="1678" t="s">
        <v>1589</v>
      </c>
      <c r="D6" s="956" t="str">
        <f ca="1">NUMBERSTRING(INT(D5*10000),2)&amp;"元整"</f>
        <v>壹亿贰仟叁佰陆拾捌万元整</v>
      </c>
      <c r="E6" s="1675"/>
    </row>
    <row r="7" spans="1:5" ht="15.75">
      <c r="A7" s="1675"/>
      <c r="B7" s="3074"/>
      <c r="C7" s="1679" t="s">
        <v>1590</v>
      </c>
      <c r="D7" s="957">
        <f ca="1">结果表!H102</f>
        <v>14241</v>
      </c>
      <c r="E7" s="1675"/>
    </row>
    <row r="8" spans="1:5" ht="15.75">
      <c r="A8" s="1675"/>
      <c r="B8" s="3075" t="str">
        <f>结果表!E103</f>
        <v>2.估价师知悉的法定优先受偿款</v>
      </c>
      <c r="C8" s="1680" t="s">
        <v>1591</v>
      </c>
      <c r="D8" s="957">
        <f>结果表!H103</f>
        <v>0</v>
      </c>
      <c r="E8" s="1675"/>
    </row>
    <row r="9" spans="1:5" ht="15.75">
      <c r="A9" s="1675"/>
      <c r="B9" s="3077"/>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68" t="str">
        <f>结果表!E107</f>
        <v>3.房地产抵押价值</v>
      </c>
      <c r="C13" s="1683" t="s">
        <v>1588</v>
      </c>
      <c r="D13" s="959">
        <f ca="1">结果表!H107</f>
        <v>12368</v>
      </c>
      <c r="E13" s="1675"/>
    </row>
    <row r="14" spans="1:5" ht="15.75">
      <c r="A14" s="1675"/>
      <c r="B14" s="3069"/>
      <c r="C14" s="1678" t="s">
        <v>1589</v>
      </c>
      <c r="D14" s="956" t="str">
        <f ca="1">NUMBERSTRING(INT(D13*10000),2)&amp;"元整"</f>
        <v>壹亿贰仟叁佰陆拾捌万元整</v>
      </c>
      <c r="E14" s="1675"/>
    </row>
    <row r="15" spans="1:5" ht="15">
      <c r="A15" s="1675"/>
      <c r="B15" s="3074"/>
      <c r="C15" s="1679" t="s">
        <v>1599</v>
      </c>
      <c r="D15" s="965">
        <f ca="1">结果表!H108</f>
        <v>14241</v>
      </c>
      <c r="E15" s="1675"/>
    </row>
    <row r="16" spans="1:5" ht="15">
      <c r="A16" s="1675"/>
      <c r="B16" s="3075" t="str">
        <f>结果表!E109</f>
        <v>——</v>
      </c>
      <c r="C16" s="1683" t="s">
        <v>1600</v>
      </c>
      <c r="D16" s="1684" t="str">
        <f>结果表!H109</f>
        <v>——</v>
      </c>
      <c r="E16" s="1675"/>
    </row>
    <row r="17" spans="1:5" ht="15.75">
      <c r="A17" s="1675"/>
      <c r="B17" s="3076"/>
      <c r="C17" s="1678" t="s">
        <v>1601</v>
      </c>
      <c r="D17" s="956" t="e">
        <f>NUMBERSTRING(INT(D16*10000),2)&amp;"元整"</f>
        <v>#VALUE!</v>
      </c>
      <c r="E17" s="1675"/>
    </row>
    <row r="18" spans="1:5" ht="15">
      <c r="A18" s="1675"/>
      <c r="B18" s="3077"/>
      <c r="C18" s="1679" t="s">
        <v>1590</v>
      </c>
      <c r="D18" s="965" t="str">
        <f>结果表!H110</f>
        <v>——</v>
      </c>
      <c r="E18" s="1675"/>
    </row>
    <row r="19" spans="1:5" ht="15.75">
      <c r="A19" s="1675"/>
      <c r="B19" s="3068" t="str">
        <f>结果表!E111</f>
        <v>——</v>
      </c>
      <c r="C19" s="1683" t="s">
        <v>1588</v>
      </c>
      <c r="D19" s="957" t="str">
        <f>结果表!H111</f>
        <v>——</v>
      </c>
      <c r="E19" s="1675"/>
    </row>
    <row r="20" spans="1:5" ht="15.75">
      <c r="A20" s="1675"/>
      <c r="B20" s="3069"/>
      <c r="C20" s="1678" t="s">
        <v>1601</v>
      </c>
      <c r="D20" s="956" t="e">
        <f>NUMBERSTRING(INT(D19*10000),2)&amp;"元整"</f>
        <v>#VALUE!</v>
      </c>
      <c r="E20" s="1675"/>
    </row>
    <row r="21" spans="1:5" ht="15.75" thickBot="1">
      <c r="A21" s="1675"/>
      <c r="B21" s="3070"/>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5" t="s">
        <v>1117</v>
      </c>
      <c r="C1" s="3395"/>
      <c r="D1" s="3395"/>
      <c r="E1" s="3395"/>
      <c r="F1" s="3395"/>
      <c r="G1" s="3394" t="s">
        <v>1118</v>
      </c>
      <c r="H1" s="3394"/>
      <c r="I1" s="3394"/>
      <c r="J1" s="3394"/>
      <c r="K1" s="3394"/>
      <c r="L1" s="3394"/>
      <c r="N1" s="3394" t="s">
        <v>1119</v>
      </c>
      <c r="O1" s="3394"/>
      <c r="P1" s="3394"/>
      <c r="Q1" s="3394"/>
      <c r="S1" s="3394" t="s">
        <v>1120</v>
      </c>
      <c r="T1" s="3394"/>
      <c r="U1" s="3394"/>
      <c r="V1" s="3394"/>
      <c r="X1" s="3393" t="s">
        <v>1121</v>
      </c>
      <c r="Y1" s="3394"/>
      <c r="Z1" s="3394"/>
      <c r="AA1" s="3394"/>
      <c r="AB1" s="3394"/>
      <c r="AD1" s="3393" t="s">
        <v>1122</v>
      </c>
      <c r="AE1" s="3394"/>
      <c r="AF1" s="3394"/>
      <c r="AG1" s="3394"/>
      <c r="AH1" s="3394"/>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91">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91"/>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91"/>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400"/>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96">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91"/>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91"/>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400"/>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96">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91"/>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91"/>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92"/>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90">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91"/>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91"/>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92"/>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90">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91"/>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91"/>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92"/>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97">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98"/>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98"/>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399"/>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90">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91"/>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91"/>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92"/>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90">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91">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91">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92">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90">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91">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91">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92">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90">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91">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91">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92">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90">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91">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91">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92">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90">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91">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91">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92">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90">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91">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91">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92">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90">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91">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91">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92">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90">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91">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91">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92">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90">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91">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91">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92">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90">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91">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91">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92">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404" t="s">
        <v>2827</v>
      </c>
      <c r="D1" s="3405"/>
      <c r="E1" s="3405"/>
      <c r="F1" s="3405"/>
      <c r="G1" s="3405"/>
      <c r="H1" s="3405"/>
      <c r="I1" s="3405"/>
      <c r="J1" s="3405"/>
      <c r="K1" s="3405"/>
      <c r="L1" s="3405"/>
      <c r="M1" s="3405"/>
      <c r="N1" s="3405"/>
      <c r="O1" s="3405"/>
      <c r="P1" s="3405"/>
      <c r="Q1" s="3405"/>
      <c r="R1" s="3405"/>
      <c r="S1" s="3406"/>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401" t="s">
        <v>33</v>
      </c>
      <c r="D22" s="3402"/>
      <c r="E22" s="3402"/>
      <c r="F22" s="3402"/>
      <c r="G22" s="3402"/>
      <c r="H22" s="3402"/>
      <c r="I22" s="3402"/>
      <c r="J22" s="3402"/>
      <c r="K22" s="3402"/>
      <c r="L22" s="3402"/>
      <c r="M22" s="3402"/>
      <c r="N22" s="3402"/>
      <c r="O22" s="3402"/>
      <c r="P22" s="3402"/>
      <c r="Q22" s="3403"/>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34585</v>
      </c>
      <c r="C2" s="2" t="s">
        <v>133</v>
      </c>
      <c r="D2" s="202"/>
      <c r="E2" s="202"/>
      <c r="F2" s="202"/>
      <c r="G2" s="202"/>
    </row>
    <row r="3" spans="1:7" s="203" customFormat="1" ht="18" customHeight="1" thickBot="1">
      <c r="A3" s="206" t="s">
        <v>85</v>
      </c>
      <c r="B3" s="207">
        <f ca="1">ROUND(B2*10000/'数据-汇总表'!E3,0)</f>
        <v>39823</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94</v>
      </c>
      <c r="D10" s="951">
        <f>'数据-汇总表'!E6</f>
        <v>8684.6199999999972</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156</v>
      </c>
      <c r="D19" s="955">
        <f>'数据-汇总表'!E3</f>
        <v>8684.6199999999972</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4277</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4277</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30077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4240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3908</v>
      </c>
      <c r="D34" s="220"/>
      <c r="E34" s="223"/>
      <c r="F34" s="260">
        <f>IF('数据-取费表'!B24=0,1,'数据-取费表'!N16)</f>
        <v>1</v>
      </c>
      <c r="G34" s="222" t="s">
        <v>116</v>
      </c>
    </row>
    <row r="35" spans="1:7" ht="13.5" customHeight="1">
      <c r="A35" s="885" t="s">
        <v>796</v>
      </c>
      <c r="B35" s="218" t="s">
        <v>60</v>
      </c>
      <c r="C35" s="223">
        <f>ROUND(C34*F35,0)</f>
        <v>117</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156</v>
      </c>
      <c r="D37" s="220">
        <f>'数据-汇总表'!E3</f>
        <v>8684.6199999999972</v>
      </c>
      <c r="E37" s="252">
        <f>'数据-取费表'!B35</f>
        <v>180</v>
      </c>
      <c r="F37" s="262"/>
      <c r="G37" s="264" t="s">
        <v>119</v>
      </c>
    </row>
    <row r="38" spans="1:7" ht="13.5" customHeight="1">
      <c r="A38" s="885" t="s">
        <v>799</v>
      </c>
      <c r="B38" s="218" t="s">
        <v>63</v>
      </c>
      <c r="C38" s="223">
        <f>ROUND(C34*F38,0)</f>
        <v>59</v>
      </c>
      <c r="D38" s="223"/>
      <c r="E38" s="223"/>
      <c r="F38" s="262">
        <f>'数据-取费表'!B36</f>
        <v>1.4999999999999999E-2</v>
      </c>
      <c r="G38" s="222" t="s">
        <v>117</v>
      </c>
    </row>
    <row r="39" spans="1:7" s="217" customFormat="1" ht="13.5" customHeight="1">
      <c r="A39" s="882" t="s">
        <v>783</v>
      </c>
      <c r="B39" s="213" t="s">
        <v>104</v>
      </c>
      <c r="C39" s="235">
        <f>ROUND(C33*F20,0)</f>
        <v>85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205</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201</v>
      </c>
      <c r="D42" s="241"/>
      <c r="E42" s="241"/>
      <c r="F42" s="242"/>
      <c r="G42" s="3261" t="s">
        <v>121</v>
      </c>
    </row>
    <row r="43" spans="1:7" ht="13.5" customHeight="1">
      <c r="A43" s="885" t="s">
        <v>792</v>
      </c>
      <c r="B43" s="218" t="s">
        <v>1032</v>
      </c>
      <c r="C43" s="241">
        <f ca="1">ROUND(IF('数据-取费表'!B22&lt;=1,C39*F22*'数据-取费表'!B21/2,C39*(POWER((1+F22),'数据-取费表'!B21/2)-1)),0)</f>
        <v>4</v>
      </c>
      <c r="D43" s="241"/>
      <c r="E43" s="241"/>
      <c r="F43" s="242"/>
      <c r="G43" s="3262"/>
    </row>
    <row r="44" spans="1:7" ht="13.5" customHeight="1">
      <c r="A44" s="885" t="s">
        <v>793</v>
      </c>
      <c r="B44" s="218" t="s">
        <v>1034</v>
      </c>
      <c r="C44" s="241">
        <f ca="1">ROUND(IF('数据-取费表'!B22&lt;=1,C40*F22*'数据-取费表'!B21/2,C40*(POWER((1+F22),'数据-取费表'!B21/2)-1)),4)</f>
        <v>1E-3</v>
      </c>
      <c r="D44" s="241"/>
      <c r="E44" s="241"/>
      <c r="F44" s="242"/>
      <c r="G44" s="3263"/>
    </row>
    <row r="45" spans="1:7" s="217" customFormat="1" ht="13.5" customHeight="1">
      <c r="A45" s="882" t="s">
        <v>786</v>
      </c>
      <c r="B45" s="247" t="s">
        <v>112</v>
      </c>
      <c r="C45" s="248">
        <f>C46</f>
        <v>865</v>
      </c>
      <c r="D45" s="238">
        <f>C47</f>
        <v>4.0000000000000001E-3</v>
      </c>
      <c r="E45" s="239" t="s">
        <v>129</v>
      </c>
      <c r="F45" s="249"/>
      <c r="G45" s="250" t="s">
        <v>1040</v>
      </c>
    </row>
    <row r="46" spans="1:7" s="217" customFormat="1" ht="13.5" customHeight="1">
      <c r="A46" s="885" t="s">
        <v>794</v>
      </c>
      <c r="B46" s="251" t="s">
        <v>1033</v>
      </c>
      <c r="C46" s="252">
        <f>ROUND((C33+C39)*F27,0)</f>
        <v>865</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5854</v>
      </c>
      <c r="D49" s="235"/>
      <c r="E49" s="235"/>
      <c r="F49" s="267"/>
      <c r="G49" s="237" t="s">
        <v>1041</v>
      </c>
    </row>
    <row r="50" spans="1:7" s="261" customFormat="1" ht="24">
      <c r="A50" s="882" t="s">
        <v>789</v>
      </c>
      <c r="B50" s="213" t="s">
        <v>124</v>
      </c>
      <c r="C50" s="235"/>
      <c r="D50" s="235"/>
      <c r="E50" s="235"/>
      <c r="F50" s="267">
        <f>IF('数据-取费表'!B24=0,'数据-取费表'!N16,1)</f>
        <v>0.77</v>
      </c>
      <c r="G50" s="250" t="s">
        <v>125</v>
      </c>
    </row>
    <row r="51" spans="1:7" ht="16.5" customHeight="1">
      <c r="A51" s="882" t="s">
        <v>790</v>
      </c>
      <c r="B51" s="213" t="s">
        <v>132</v>
      </c>
      <c r="C51" s="235">
        <f ca="1">ROUND(C49*F50,0)</f>
        <v>4508</v>
      </c>
      <c r="D51" s="235"/>
      <c r="E51" s="235"/>
      <c r="F51" s="267"/>
      <c r="G51" s="237" t="s">
        <v>64</v>
      </c>
    </row>
    <row r="52" spans="1:7" s="211" customFormat="1" ht="16.5" thickBot="1">
      <c r="A52" s="268" t="s">
        <v>65</v>
      </c>
      <c r="B52" s="269"/>
      <c r="C52" s="270">
        <f ca="1">C31+C51</f>
        <v>34585</v>
      </c>
      <c r="D52" s="269"/>
      <c r="E52" s="269"/>
      <c r="F52" s="269"/>
      <c r="G52" s="271"/>
    </row>
    <row r="55" spans="1:7" ht="15">
      <c r="B55" s="273" t="s">
        <v>66</v>
      </c>
      <c r="C55" s="274"/>
    </row>
    <row r="56" spans="1:7">
      <c r="B56" s="276" t="s">
        <v>67</v>
      </c>
      <c r="C56" s="277">
        <f ca="1">ROUND(C51/C52,3)</f>
        <v>0.13</v>
      </c>
    </row>
    <row r="57" spans="1:7">
      <c r="B57" s="276" t="s">
        <v>68</v>
      </c>
      <c r="C57" s="278">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7" t="s">
        <v>156</v>
      </c>
      <c r="B1" s="3407"/>
      <c r="C1" s="3407"/>
      <c r="D1" s="3407"/>
      <c r="E1" s="3407"/>
      <c r="F1" s="340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8" t="s">
        <v>169</v>
      </c>
      <c r="B2" s="3408"/>
      <c r="C2" s="3408"/>
      <c r="D2" s="3408"/>
      <c r="E2" s="3408"/>
      <c r="F2" s="340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0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7" t="s">
        <v>839</v>
      </c>
      <c r="B1" s="340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U18"/>
  <sheetViews>
    <sheetView topLeftCell="A34" workbookViewId="0">
      <selection activeCell="U12" sqref="U12"/>
    </sheetView>
  </sheetViews>
  <sheetFormatPr defaultRowHeight="13.5"/>
  <cols>
    <col min="3" max="3" width="9.5" bestFit="1" customWidth="1"/>
  </cols>
  <sheetData>
    <row r="10" spans="2:21">
      <c r="U10">
        <f>1404/365/11.7</f>
        <v>0.32876712328767127</v>
      </c>
    </row>
    <row r="15" spans="2:21">
      <c r="C15" s="3062" t="s">
        <v>3270</v>
      </c>
      <c r="D15" s="3062" t="s">
        <v>3271</v>
      </c>
    </row>
    <row r="16" spans="2:21">
      <c r="B16">
        <v>2018</v>
      </c>
      <c r="C16">
        <v>12110222</v>
      </c>
      <c r="D16" s="3062">
        <f>自有铺位面积!B9</f>
        <v>8684.619999999999</v>
      </c>
      <c r="E16">
        <f>C16/$D$16/365</f>
        <v>3.8203963340893332</v>
      </c>
    </row>
    <row r="17" spans="2:5">
      <c r="B17">
        <v>2019</v>
      </c>
      <c r="C17">
        <v>10391841</v>
      </c>
      <c r="E17">
        <f t="shared" ref="E17:E18" si="0">C17/$D$16/365</f>
        <v>3.278300865239236</v>
      </c>
    </row>
    <row r="18" spans="2:5">
      <c r="B18">
        <v>2020</v>
      </c>
      <c r="C18">
        <v>10043551</v>
      </c>
      <c r="E18">
        <f t="shared" si="0"/>
        <v>3.1684262618504651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1606</v>
      </c>
      <c r="B2" s="3088" t="s">
        <v>1607</v>
      </c>
      <c r="C2" s="3088" t="s">
        <v>1608</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2"/>
      <c r="B3" s="3082"/>
      <c r="C3" s="3082"/>
      <c r="D3" s="960" t="s">
        <v>1603</v>
      </c>
      <c r="E3" s="960" t="s">
        <v>1609</v>
      </c>
      <c r="F3" s="960" t="s">
        <v>1603</v>
      </c>
      <c r="G3" s="960" t="s">
        <v>1604</v>
      </c>
      <c r="H3" s="960" t="s">
        <v>1603</v>
      </c>
      <c r="I3" s="960" t="s">
        <v>1604</v>
      </c>
    </row>
    <row r="4" spans="1:9" ht="15">
      <c r="A4" s="1689" t="str">
        <f>项目基本情况!S2</f>
        <v>房地产</v>
      </c>
      <c r="B4" s="960">
        <f>项目基本情况!C17</f>
        <v>8684.6199999999972</v>
      </c>
      <c r="C4" s="960">
        <f>项目基本情况!C18</f>
        <v>0</v>
      </c>
      <c r="D4" s="960" t="e">
        <f ca="1">结果表!D118</f>
        <v>#REF!</v>
      </c>
      <c r="E4" s="960" t="e">
        <f ca="1">结果表!E118</f>
        <v>#REF!</v>
      </c>
      <c r="F4" s="960" t="e">
        <f ca="1">结果表!F118</f>
        <v>#REF!</v>
      </c>
      <c r="G4" s="960" t="e">
        <f ca="1">结果表!G118</f>
        <v>#REF!</v>
      </c>
      <c r="H4" s="960">
        <f ca="1">结果表!H118</f>
        <v>12368</v>
      </c>
      <c r="I4" s="960">
        <f ca="1">结果表!I118</f>
        <v>14241</v>
      </c>
    </row>
    <row r="5" spans="1:9" ht="30" customHeight="1">
      <c r="A5" s="3082" t="s">
        <v>1605</v>
      </c>
      <c r="B5" s="3082"/>
      <c r="C5" s="3082"/>
      <c r="D5" s="3083" t="e">
        <f ca="1">结果表!D119</f>
        <v>#REF!</v>
      </c>
      <c r="E5" s="3083"/>
      <c r="F5" s="3083" t="e">
        <f ca="1">结果表!F119</f>
        <v>#REF!</v>
      </c>
      <c r="G5" s="3083"/>
      <c r="H5" s="3083" t="str">
        <f ca="1">结果表!H119</f>
        <v>壹亿贰仟叁佰陆拾捌万元整</v>
      </c>
      <c r="I5" s="3083"/>
    </row>
    <row r="6" spans="1:9" ht="15.75">
      <c r="A6" s="3081" t="str">
        <f>结果表!A120</f>
        <v>估价师知悉的法定优先受偿款</v>
      </c>
      <c r="B6" s="3081"/>
      <c r="C6" s="3081"/>
      <c r="D6" s="3081">
        <f>结果表!D120</f>
        <v>0</v>
      </c>
      <c r="E6" s="3081"/>
      <c r="F6" s="3081"/>
      <c r="G6" s="3081"/>
      <c r="H6" s="3081"/>
      <c r="I6" s="3081"/>
    </row>
    <row r="7" spans="1:9" ht="15">
      <c r="A7" s="3082" t="s">
        <v>1605</v>
      </c>
      <c r="B7" s="3082"/>
      <c r="C7" s="3082"/>
      <c r="D7" s="3084" t="str">
        <f>结果表!D121</f>
        <v>零元整</v>
      </c>
      <c r="E7" s="3085"/>
      <c r="F7" s="3085"/>
      <c r="G7" s="3085"/>
      <c r="H7" s="3085"/>
      <c r="I7" s="3086"/>
    </row>
    <row r="8" spans="1:9" ht="15.75">
      <c r="A8" s="3081" t="str">
        <f>结果表!A122</f>
        <v>房地产抵押价值</v>
      </c>
      <c r="B8" s="3081"/>
      <c r="C8" s="3081"/>
      <c r="D8" s="3081">
        <f ca="1">结果表!D122</f>
        <v>12368</v>
      </c>
      <c r="E8" s="3081"/>
      <c r="F8" s="3081"/>
      <c r="G8" s="3081"/>
      <c r="H8" s="3081"/>
      <c r="I8" s="3081"/>
    </row>
    <row r="9" spans="1:9" ht="15">
      <c r="A9" s="3082" t="s">
        <v>1605</v>
      </c>
      <c r="B9" s="3082"/>
      <c r="C9" s="3082"/>
      <c r="D9" s="3083" t="str">
        <f ca="1">结果表!D123</f>
        <v>壹亿贰仟叁佰陆拾捌万元整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1605</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1605</v>
      </c>
      <c r="B13" s="3078"/>
      <c r="C13" s="3078"/>
      <c r="D13" s="3079" t="e">
        <f>结果表!D127</f>
        <v>#VALUE!</v>
      </c>
      <c r="E13" s="3079"/>
      <c r="F13" s="3079"/>
      <c r="G13" s="3079"/>
      <c r="H13" s="3079"/>
      <c r="I13" s="3079"/>
    </row>
    <row r="14" spans="1:9" ht="15" thickTop="1">
      <c r="A14" s="3080" t="s">
        <v>1610</v>
      </c>
      <c r="B14" s="3080"/>
      <c r="C14" s="3080"/>
      <c r="D14" s="3080"/>
      <c r="E14" s="3080"/>
      <c r="F14" s="3080"/>
      <c r="G14" s="3080"/>
      <c r="H14" s="3080"/>
      <c r="I14" s="308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5" t="s">
        <v>1627</v>
      </c>
      <c r="B1" s="3095"/>
      <c r="C1" s="3095"/>
      <c r="D1" s="3095"/>
    </row>
    <row r="2" spans="1:4" ht="18">
      <c r="A2" s="3096" t="s">
        <v>1611</v>
      </c>
      <c r="B2" s="3096"/>
      <c r="C2" s="3096"/>
      <c r="D2" s="3096"/>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6" t="s">
        <v>1617</v>
      </c>
      <c r="B6" s="3096"/>
      <c r="C6" s="3096"/>
      <c r="D6" s="3096"/>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97"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1" t="s">
        <v>1621</v>
      </c>
      <c r="B16" s="3091"/>
      <c r="C16" s="3091"/>
      <c r="D16" s="3091"/>
    </row>
    <row r="17" spans="1:4" ht="144" customHeight="1">
      <c r="A17" s="3091" t="s">
        <v>1622</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3" t="s">
        <v>1634</v>
      </c>
      <c r="B15" s="3098" t="s">
        <v>136</v>
      </c>
      <c r="C15" s="3099"/>
    </row>
    <row r="16" spans="1:7" ht="13.5">
      <c r="A16" s="3104"/>
      <c r="B16" s="3098" t="s">
        <v>69</v>
      </c>
      <c r="C16" s="3099"/>
    </row>
    <row r="17" spans="1:3" ht="13.5">
      <c r="A17" s="3104"/>
      <c r="B17" s="3101" t="s">
        <v>1635</v>
      </c>
      <c r="C17" s="1716" t="s">
        <v>1634</v>
      </c>
    </row>
    <row r="18" spans="1:3" ht="13.5">
      <c r="A18" s="3104"/>
      <c r="B18" s="3101"/>
      <c r="C18" s="1716" t="s">
        <v>1636</v>
      </c>
    </row>
    <row r="19" spans="1:3" ht="13.5">
      <c r="A19" s="3104"/>
      <c r="B19" s="3101"/>
      <c r="C19" s="1716" t="s">
        <v>1637</v>
      </c>
    </row>
    <row r="20" spans="1:3" ht="13.5">
      <c r="A20" s="3105"/>
      <c r="B20" s="3100" t="s">
        <v>1638</v>
      </c>
      <c r="C20" s="3099"/>
    </row>
    <row r="21" spans="1:3" ht="13.5">
      <c r="A21" s="1717" t="s">
        <v>1639</v>
      </c>
      <c r="B21" s="1718"/>
      <c r="C21" s="1719"/>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6" t="s">
        <v>1645</v>
      </c>
    </row>
    <row r="26" spans="1:3" ht="13.5">
      <c r="A26" s="3102"/>
      <c r="B26" s="3101"/>
      <c r="C26" s="1716" t="s">
        <v>1646</v>
      </c>
    </row>
    <row r="27" spans="1:3" ht="13.5">
      <c r="A27" s="3102"/>
      <c r="B27" s="3101"/>
      <c r="C27" s="1716" t="s">
        <v>1647</v>
      </c>
    </row>
    <row r="28" spans="1:3" ht="13.5">
      <c r="A28" s="3102"/>
      <c r="B28" s="3101"/>
      <c r="C28" s="1716" t="s">
        <v>1648</v>
      </c>
    </row>
    <row r="29" spans="1:3" ht="13.5">
      <c r="A29" s="3102"/>
      <c r="B29" s="3101"/>
      <c r="C29" s="1716" t="s">
        <v>1649</v>
      </c>
    </row>
    <row r="30" spans="1:3" ht="13.5">
      <c r="A30" s="3102"/>
      <c r="B30" s="3101"/>
      <c r="C30" s="1716" t="s">
        <v>1650</v>
      </c>
    </row>
    <row r="31" spans="1:3" ht="13.5">
      <c r="A31" s="3102"/>
      <c r="B31" s="3101"/>
      <c r="C31" s="1716" t="s">
        <v>1651</v>
      </c>
    </row>
    <row r="32" spans="1:3" ht="13.5">
      <c r="A32" s="3102"/>
      <c r="B32" s="3101"/>
      <c r="C32" s="1716" t="s">
        <v>1652</v>
      </c>
    </row>
    <row r="33" spans="1:3" ht="13.5">
      <c r="A33" s="3102"/>
      <c r="B33" s="310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44140</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f ca="1">IF(C13&lt;B2,"已过期",1120020033)</f>
        <v>1120020033</v>
      </c>
      <c r="C13" s="2567">
        <v>44339</v>
      </c>
      <c r="D13" s="2568" t="str">
        <f t="shared" ca="1" si="0"/>
        <v>刘敬东（注册号：1120020033）</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6" t="s">
        <v>2904</v>
      </c>
      <c r="B17" s="3106"/>
      <c r="C17" s="3106"/>
      <c r="D17" s="3106"/>
      <c r="E17" s="3106"/>
      <c r="F17" s="3106"/>
      <c r="G17" s="3106"/>
      <c r="H17" s="3106"/>
    </row>
    <row r="18" spans="1:8" ht="24" customHeight="1">
      <c r="A18" s="3107" t="s">
        <v>2905</v>
      </c>
      <c r="B18" s="3107"/>
      <c r="C18" s="3107"/>
      <c r="D18" s="2565"/>
      <c r="E18" s="3108" t="s">
        <v>2906</v>
      </c>
      <c r="F18" s="3107"/>
      <c r="G18" s="3107"/>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三年总收益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2020-11-05T02:17:09Z</dcterms:modified>
</cp:coreProperties>
</file>