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30" windowWidth="11385" windowHeight="946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租金" sheetId="78"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'比较法-工业租金'!$A$1:$L$43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8">'比较法-工业租金'!$B$95:$M$95</definedName>
    <definedName name="工业公共部分装修">'比较法-工业'!$B$95:$M$95</definedName>
    <definedName name="工业基础设施水平" localSheetId="28">'比较法-工业租金'!$B$102:$M$102</definedName>
    <definedName name="工业基础设施水平">'比较法-工业'!$B$102:$M$102</definedName>
    <definedName name="工业建筑结构" localSheetId="28">'比较法-工业租金'!$B$93:$M$93</definedName>
    <definedName name="工业建筑结构">'比较法-工业'!$B$93:$M$93</definedName>
    <definedName name="工业建筑类型" localSheetId="28">'比较法-工业租金'!$B$88:$M$88</definedName>
    <definedName name="工业建筑类型">'比较法-工业'!$B$88:$M$88</definedName>
    <definedName name="工业交易情况" localSheetId="28">'比较法-工业租金'!$A$55:$M$55</definedName>
    <definedName name="工业交易情况">'比较法-工业'!$A$55:$M$55</definedName>
    <definedName name="工业内部装修" localSheetId="28">'比较法-工业租金'!$B$104:$M$104</definedName>
    <definedName name="工业内部装修">'比较法-工业'!$B$104:$M$104</definedName>
    <definedName name="工业物业管理" localSheetId="28">'比较法-工业租金'!$B$100:$M$100</definedName>
    <definedName name="工业物业管理">'比较法-工业'!$B$100:$M$100</definedName>
    <definedName name="工业用途" localSheetId="28">'比较法-工业租金'!$B$57:$M$57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33" i="37"/>
  <c r="I41"/>
  <c r="G41"/>
  <c r="E41"/>
  <c r="N6" i="1"/>
  <c r="A6"/>
  <c r="G1" i="15"/>
  <c r="R41" i="78"/>
  <c r="B2" i="1"/>
  <c r="C7" i="78"/>
  <c r="E7"/>
  <c r="C52"/>
  <c r="D52"/>
  <c r="E52"/>
  <c r="F52"/>
  <c r="G52"/>
  <c r="H52"/>
  <c r="I52"/>
  <c r="J52"/>
  <c r="K52"/>
  <c r="L52"/>
  <c r="M52"/>
  <c r="N52"/>
  <c r="O52"/>
  <c r="F7"/>
  <c r="AA7"/>
  <c r="F8"/>
  <c r="AA8"/>
  <c r="C57"/>
  <c r="F9"/>
  <c r="AA9"/>
  <c r="F10"/>
  <c r="AA10"/>
  <c r="F11"/>
  <c r="AA11"/>
  <c r="B64"/>
  <c r="F12"/>
  <c r="AA12"/>
  <c r="B66"/>
  <c r="F13"/>
  <c r="AA13"/>
  <c r="B68"/>
  <c r="F14"/>
  <c r="AA14"/>
  <c r="D71"/>
  <c r="F15"/>
  <c r="AA15"/>
  <c r="D73"/>
  <c r="F17"/>
  <c r="AA17"/>
  <c r="D75"/>
  <c r="E75"/>
  <c r="F19"/>
  <c r="AA19"/>
  <c r="D77"/>
  <c r="E77"/>
  <c r="F21"/>
  <c r="AA21"/>
  <c r="D79"/>
  <c r="F23"/>
  <c r="AA23"/>
  <c r="B80"/>
  <c r="F25"/>
  <c r="AA25"/>
  <c r="B82"/>
  <c r="F26"/>
  <c r="AA26"/>
  <c r="B84"/>
  <c r="F27"/>
  <c r="AA27"/>
  <c r="B86"/>
  <c r="F28"/>
  <c r="AA28"/>
  <c r="F29"/>
  <c r="AA29"/>
  <c r="F19" i="6"/>
  <c r="C30" i="78"/>
  <c r="F30"/>
  <c r="AA30"/>
  <c r="F31"/>
  <c r="AA31"/>
  <c r="F32"/>
  <c r="AA32"/>
  <c r="C33"/>
  <c r="E33"/>
  <c r="D99"/>
  <c r="E99"/>
  <c r="F99"/>
  <c r="F33"/>
  <c r="AA33"/>
  <c r="F34"/>
  <c r="AA34"/>
  <c r="D103"/>
  <c r="E103"/>
  <c r="F35"/>
  <c r="AA35"/>
  <c r="F36"/>
  <c r="AA36"/>
  <c r="D107"/>
  <c r="F37"/>
  <c r="AA37"/>
  <c r="B108"/>
  <c r="F38"/>
  <c r="AA38"/>
  <c r="B110"/>
  <c r="F39"/>
  <c r="AA39"/>
  <c r="B112"/>
  <c r="F40"/>
  <c r="AA40"/>
  <c r="R42"/>
  <c r="T41"/>
  <c r="G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G33"/>
  <c r="H33"/>
  <c r="AB33"/>
  <c r="H34"/>
  <c r="AB34"/>
  <c r="H35"/>
  <c r="AB35"/>
  <c r="H36"/>
  <c r="AB36"/>
  <c r="H37"/>
  <c r="AB37"/>
  <c r="H38"/>
  <c r="AB38"/>
  <c r="H39"/>
  <c r="AB39"/>
  <c r="H40"/>
  <c r="AB40"/>
  <c r="T42"/>
  <c r="V41"/>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I33"/>
  <c r="J33"/>
  <c r="AC33"/>
  <c r="J34"/>
  <c r="AC34"/>
  <c r="J35"/>
  <c r="AC35"/>
  <c r="J36"/>
  <c r="AC36"/>
  <c r="J37"/>
  <c r="AC37"/>
  <c r="J38"/>
  <c r="AC38"/>
  <c r="J39"/>
  <c r="AC39"/>
  <c r="J40"/>
  <c r="AC40"/>
  <c r="V42"/>
  <c r="R43"/>
  <c r="C43"/>
  <c r="U6" i="1"/>
  <c r="F6" i="15"/>
  <c r="F8"/>
  <c r="E19" i="6"/>
  <c r="K6" i="1"/>
  <c r="F7" i="15"/>
  <c r="F9"/>
  <c r="C6"/>
  <c r="C1" i="73"/>
  <c r="L1"/>
  <c r="F4"/>
  <c r="I1"/>
  <c r="B39" i="1"/>
  <c r="F11" i="15"/>
  <c r="C10"/>
  <c r="J1" i="73"/>
  <c r="D4"/>
  <c r="E20" i="43"/>
  <c r="P28"/>
  <c r="G20"/>
  <c r="I13" i="4"/>
  <c r="I15"/>
  <c r="F6" i="1"/>
  <c r="I20" i="43"/>
  <c r="J20"/>
  <c r="C20"/>
  <c r="G2"/>
  <c r="I2"/>
  <c r="M10"/>
  <c r="C6"/>
  <c r="C16"/>
  <c r="C5"/>
  <c r="C18"/>
  <c r="G19"/>
  <c r="N13" i="71"/>
  <c r="B13"/>
  <c r="N12"/>
  <c r="B12"/>
  <c r="N11"/>
  <c r="B11"/>
  <c r="N10"/>
  <c r="B10"/>
  <c r="N9"/>
  <c r="B9"/>
  <c r="N8"/>
  <c r="B8"/>
  <c r="N7"/>
  <c r="B7"/>
  <c r="N6"/>
  <c r="B6"/>
  <c r="N5"/>
  <c r="B5"/>
  <c r="O13"/>
  <c r="C13"/>
  <c r="O12"/>
  <c r="C12"/>
  <c r="O11"/>
  <c r="C11"/>
  <c r="O10"/>
  <c r="C10"/>
  <c r="O9"/>
  <c r="C9"/>
  <c r="O8"/>
  <c r="C8"/>
  <c r="O7"/>
  <c r="C7"/>
  <c r="O6"/>
  <c r="C6"/>
  <c r="O5"/>
  <c r="C5"/>
  <c r="D5"/>
  <c r="P13"/>
  <c r="E13"/>
  <c r="P12"/>
  <c r="E12"/>
  <c r="P11"/>
  <c r="E11"/>
  <c r="P10"/>
  <c r="E10"/>
  <c r="P9"/>
  <c r="E9"/>
  <c r="P8"/>
  <c r="E8"/>
  <c r="P7"/>
  <c r="E7"/>
  <c r="P6"/>
  <c r="E6"/>
  <c r="P5"/>
  <c r="E5"/>
  <c r="Q13"/>
  <c r="F13"/>
  <c r="Q12"/>
  <c r="F12"/>
  <c r="Q11"/>
  <c r="F11"/>
  <c r="Q10"/>
  <c r="F10"/>
  <c r="Q9"/>
  <c r="F9"/>
  <c r="Q8"/>
  <c r="F8"/>
  <c r="Q7"/>
  <c r="F7"/>
  <c r="Q6"/>
  <c r="F6"/>
  <c r="Q5"/>
  <c r="F5"/>
  <c r="D6"/>
  <c r="D7"/>
  <c r="D8"/>
  <c r="D9"/>
  <c r="D10"/>
  <c r="D11"/>
  <c r="D12"/>
  <c r="D13"/>
  <c r="D14"/>
  <c r="N17"/>
  <c r="B17"/>
  <c r="N16"/>
  <c r="B16"/>
  <c r="N15"/>
  <c r="B15"/>
  <c r="O17"/>
  <c r="C17"/>
  <c r="O16"/>
  <c r="C16"/>
  <c r="O15"/>
  <c r="C15"/>
  <c r="D15"/>
  <c r="P17"/>
  <c r="E17"/>
  <c r="P16"/>
  <c r="E16"/>
  <c r="P15"/>
  <c r="E15"/>
  <c r="Q17"/>
  <c r="F17"/>
  <c r="Q16"/>
  <c r="F16"/>
  <c r="Q15"/>
  <c r="F15"/>
  <c r="D16"/>
  <c r="D17"/>
  <c r="D18"/>
  <c r="N18"/>
  <c r="B19"/>
  <c r="O18"/>
  <c r="C19"/>
  <c r="D19"/>
  <c r="P18"/>
  <c r="E19"/>
  <c r="Q18"/>
  <c r="F19"/>
  <c r="N19"/>
  <c r="B20"/>
  <c r="O19"/>
  <c r="C20"/>
  <c r="D20"/>
  <c r="P19"/>
  <c r="E20"/>
  <c r="Q19"/>
  <c r="F20"/>
  <c r="N20"/>
  <c r="B21"/>
  <c r="O20"/>
  <c r="C21"/>
  <c r="D21"/>
  <c r="P20"/>
  <c r="E21"/>
  <c r="Q20"/>
  <c r="F21"/>
  <c r="D22"/>
  <c r="N22"/>
  <c r="B23"/>
  <c r="O22"/>
  <c r="C23"/>
  <c r="D23"/>
  <c r="P22"/>
  <c r="E23"/>
  <c r="Q22"/>
  <c r="F23"/>
  <c r="N23"/>
  <c r="B24"/>
  <c r="O23"/>
  <c r="C24"/>
  <c r="D24"/>
  <c r="P23"/>
  <c r="E24"/>
  <c r="Q23"/>
  <c r="F24"/>
  <c r="N24"/>
  <c r="B25"/>
  <c r="O24"/>
  <c r="C25"/>
  <c r="D25"/>
  <c r="P24"/>
  <c r="E25"/>
  <c r="Q24"/>
  <c r="F25"/>
  <c r="D26"/>
  <c r="N26"/>
  <c r="B27"/>
  <c r="O26"/>
  <c r="C27"/>
  <c r="D27"/>
  <c r="P26"/>
  <c r="E27"/>
  <c r="Q26"/>
  <c r="F27"/>
  <c r="N27"/>
  <c r="B28"/>
  <c r="O27"/>
  <c r="C28"/>
  <c r="D28"/>
  <c r="P27"/>
  <c r="E28"/>
  <c r="Q27"/>
  <c r="F28"/>
  <c r="N28"/>
  <c r="B29"/>
  <c r="O28"/>
  <c r="C29"/>
  <c r="D29"/>
  <c r="P28"/>
  <c r="E29"/>
  <c r="Q28"/>
  <c r="F29"/>
  <c r="M20" i="43"/>
  <c r="M19"/>
  <c r="C19"/>
  <c r="G3"/>
  <c r="E22"/>
  <c r="G22"/>
  <c r="F22"/>
  <c r="D22"/>
  <c r="C21"/>
  <c r="D81"/>
  <c r="D82"/>
  <c r="D83"/>
  <c r="D84"/>
  <c r="D85"/>
  <c r="D86"/>
  <c r="D87"/>
  <c r="D88"/>
  <c r="E81"/>
  <c r="B79"/>
  <c r="C24"/>
  <c r="C29"/>
  <c r="D29"/>
  <c r="E29"/>
  <c r="C6" i="68"/>
  <c r="E107" i="78"/>
  <c r="F107"/>
  <c r="G107"/>
  <c r="H107"/>
  <c r="I107"/>
  <c r="J107"/>
  <c r="K107"/>
  <c r="L107"/>
  <c r="M107"/>
  <c r="D105"/>
  <c r="E105"/>
  <c r="F105"/>
  <c r="G105"/>
  <c r="F103"/>
  <c r="G103"/>
  <c r="H103"/>
  <c r="I103"/>
  <c r="J103"/>
  <c r="K103"/>
  <c r="L103"/>
  <c r="M103"/>
  <c r="D101"/>
  <c r="E101"/>
  <c r="F101"/>
  <c r="G101"/>
  <c r="H101"/>
  <c r="I101"/>
  <c r="J101"/>
  <c r="K101"/>
  <c r="L101"/>
  <c r="M101"/>
  <c r="G99"/>
  <c r="H99"/>
  <c r="I99"/>
  <c r="J99"/>
  <c r="K99"/>
  <c r="L99"/>
  <c r="M99"/>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E79"/>
  <c r="F79"/>
  <c r="G79"/>
  <c r="F77"/>
  <c r="G77"/>
  <c r="F75"/>
  <c r="G75"/>
  <c r="E73"/>
  <c r="F73"/>
  <c r="G73"/>
  <c r="E71"/>
  <c r="F71"/>
  <c r="G71"/>
  <c r="D63"/>
  <c r="E63"/>
  <c r="F63"/>
  <c r="G63"/>
  <c r="H63"/>
  <c r="I63"/>
  <c r="J63"/>
  <c r="K63"/>
  <c r="L63"/>
  <c r="M63"/>
  <c r="M61"/>
  <c r="L61"/>
  <c r="K61"/>
  <c r="J61"/>
  <c r="I61"/>
  <c r="H61"/>
  <c r="G61"/>
  <c r="F61"/>
  <c r="E61"/>
  <c r="D61"/>
  <c r="C61"/>
  <c r="F60"/>
  <c r="G60"/>
  <c r="H60"/>
  <c r="I60"/>
  <c r="I48"/>
  <c r="J48"/>
  <c r="G48"/>
  <c r="H48"/>
  <c r="E48"/>
  <c r="F48"/>
  <c r="I42"/>
  <c r="E42"/>
  <c r="I47"/>
  <c r="J47"/>
  <c r="G42"/>
  <c r="G47"/>
  <c r="H47"/>
  <c r="E47"/>
  <c r="F47"/>
  <c r="I46"/>
  <c r="J46"/>
  <c r="G46"/>
  <c r="H46"/>
  <c r="E46"/>
  <c r="F46"/>
  <c r="P43"/>
  <c r="P42"/>
  <c r="C42"/>
  <c r="P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C7" i="37"/>
  <c r="E7"/>
  <c r="G7"/>
  <c r="I7"/>
  <c r="I33"/>
  <c r="G33"/>
  <c r="E33"/>
  <c r="C30"/>
  <c r="A7" i="1"/>
  <c r="K7"/>
  <c r="A8"/>
  <c r="K8"/>
  <c r="A9"/>
  <c r="K9"/>
  <c r="A10"/>
  <c r="K10"/>
  <c r="A11"/>
  <c r="K11"/>
  <c r="A12"/>
  <c r="K12"/>
  <c r="A13"/>
  <c r="K13"/>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73"/>
  <c r="BQ574"/>
  <c r="BQ575"/>
  <c r="BQ576"/>
  <c r="BQ577"/>
  <c r="BQ578"/>
  <c r="BQ579"/>
  <c r="BQ580"/>
  <c r="BQ581"/>
  <c r="BQ582"/>
  <c r="BQ583"/>
  <c r="BQ584"/>
  <c r="BQ585"/>
  <c r="BQ586"/>
  <c r="BQ587"/>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73"/>
  <c r="BS574"/>
  <c r="BS575"/>
  <c r="BS576"/>
  <c r="BS577"/>
  <c r="BS578"/>
  <c r="BS579"/>
  <c r="BS580"/>
  <c r="BS581"/>
  <c r="BS582"/>
  <c r="BS583"/>
  <c r="BS584"/>
  <c r="BS585"/>
  <c r="BS586"/>
  <c r="BS587"/>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73"/>
  <c r="BR574"/>
  <c r="BR575"/>
  <c r="BR576"/>
  <c r="BR577"/>
  <c r="BR578"/>
  <c r="BR579"/>
  <c r="BR580"/>
  <c r="BR581"/>
  <c r="BR582"/>
  <c r="BR583"/>
  <c r="BR584"/>
  <c r="BR585"/>
  <c r="BR586"/>
  <c r="BR587"/>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73"/>
  <c r="BT574"/>
  <c r="BT575"/>
  <c r="BT576"/>
  <c r="BT577"/>
  <c r="BT578"/>
  <c r="BT579"/>
  <c r="BT580"/>
  <c r="BT581"/>
  <c r="BT582"/>
  <c r="BT583"/>
  <c r="BT584"/>
  <c r="BT585"/>
  <c r="BT586"/>
  <c r="BT587"/>
  <c r="BT5"/>
  <c r="G28" i="6"/>
  <c r="E28"/>
  <c r="K14" i="1"/>
  <c r="BM13" i="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M301"/>
  <c r="BM302"/>
  <c r="BM303"/>
  <c r="BM304"/>
  <c r="BM305"/>
  <c r="BM306"/>
  <c r="BM307"/>
  <c r="BM308"/>
  <c r="BM309"/>
  <c r="BM310"/>
  <c r="BM311"/>
  <c r="BM312"/>
  <c r="BM313"/>
  <c r="BM314"/>
  <c r="BM315"/>
  <c r="BM316"/>
  <c r="BM317"/>
  <c r="BM318"/>
  <c r="BM319"/>
  <c r="BM320"/>
  <c r="BM321"/>
  <c r="BM322"/>
  <c r="BM323"/>
  <c r="BM324"/>
  <c r="BM325"/>
  <c r="BM326"/>
  <c r="BM327"/>
  <c r="BM328"/>
  <c r="BM329"/>
  <c r="BM330"/>
  <c r="BM331"/>
  <c r="BM332"/>
  <c r="BM333"/>
  <c r="BM334"/>
  <c r="BM335"/>
  <c r="BM336"/>
  <c r="BM337"/>
  <c r="BM338"/>
  <c r="BM339"/>
  <c r="BM340"/>
  <c r="BM341"/>
  <c r="BM342"/>
  <c r="BM343"/>
  <c r="BM344"/>
  <c r="BM345"/>
  <c r="BM346"/>
  <c r="BM347"/>
  <c r="BM348"/>
  <c r="BM349"/>
  <c r="BM350"/>
  <c r="BM351"/>
  <c r="BM352"/>
  <c r="BM353"/>
  <c r="BM354"/>
  <c r="BM355"/>
  <c r="BM356"/>
  <c r="BM357"/>
  <c r="BM358"/>
  <c r="BM359"/>
  <c r="BM360"/>
  <c r="BM361"/>
  <c r="BM362"/>
  <c r="BM363"/>
  <c r="BM364"/>
  <c r="BM365"/>
  <c r="BM366"/>
  <c r="BM367"/>
  <c r="BM368"/>
  <c r="BM369"/>
  <c r="BM370"/>
  <c r="BM371"/>
  <c r="BM372"/>
  <c r="BM373"/>
  <c r="BM374"/>
  <c r="BM375"/>
  <c r="BM376"/>
  <c r="BM377"/>
  <c r="BM378"/>
  <c r="BM379"/>
  <c r="BM380"/>
  <c r="BM381"/>
  <c r="BM382"/>
  <c r="BM383"/>
  <c r="BM384"/>
  <c r="BM385"/>
  <c r="BM386"/>
  <c r="BM387"/>
  <c r="BM388"/>
  <c r="BM389"/>
  <c r="BM390"/>
  <c r="BM391"/>
  <c r="BM392"/>
  <c r="BM393"/>
  <c r="BM394"/>
  <c r="BM395"/>
  <c r="BM396"/>
  <c r="BM397"/>
  <c r="BM398"/>
  <c r="BM399"/>
  <c r="BM400"/>
  <c r="BM401"/>
  <c r="BM402"/>
  <c r="BM403"/>
  <c r="BM404"/>
  <c r="BM405"/>
  <c r="BM406"/>
  <c r="BM407"/>
  <c r="BM408"/>
  <c r="BM409"/>
  <c r="BM410"/>
  <c r="BM411"/>
  <c r="BM412"/>
  <c r="BM413"/>
  <c r="BM414"/>
  <c r="BM415"/>
  <c r="BM416"/>
  <c r="BM417"/>
  <c r="BM418"/>
  <c r="BM419"/>
  <c r="BM420"/>
  <c r="BM421"/>
  <c r="BM422"/>
  <c r="BM423"/>
  <c r="BM424"/>
  <c r="BM425"/>
  <c r="BM426"/>
  <c r="BM427"/>
  <c r="BM428"/>
  <c r="BM429"/>
  <c r="BM430"/>
  <c r="BM431"/>
  <c r="BM432"/>
  <c r="BM433"/>
  <c r="BM434"/>
  <c r="BM435"/>
  <c r="BM436"/>
  <c r="BM437"/>
  <c r="BM438"/>
  <c r="BM439"/>
  <c r="BM440"/>
  <c r="BM441"/>
  <c r="BM442"/>
  <c r="BM443"/>
  <c r="BM444"/>
  <c r="BM445"/>
  <c r="BM446"/>
  <c r="BM447"/>
  <c r="BM448"/>
  <c r="BM449"/>
  <c r="BM450"/>
  <c r="BM451"/>
  <c r="BM452"/>
  <c r="BM453"/>
  <c r="BM454"/>
  <c r="BM455"/>
  <c r="BM456"/>
  <c r="BM457"/>
  <c r="BM458"/>
  <c r="BM459"/>
  <c r="BM460"/>
  <c r="BM461"/>
  <c r="BM462"/>
  <c r="BM463"/>
  <c r="BM464"/>
  <c r="BM465"/>
  <c r="BM466"/>
  <c r="BM467"/>
  <c r="BM468"/>
  <c r="BM469"/>
  <c r="BM470"/>
  <c r="BM471"/>
  <c r="BM472"/>
  <c r="BM473"/>
  <c r="BM474"/>
  <c r="BM475"/>
  <c r="BM476"/>
  <c r="BM477"/>
  <c r="BM478"/>
  <c r="BM479"/>
  <c r="BM480"/>
  <c r="BM481"/>
  <c r="BM482"/>
  <c r="BM483"/>
  <c r="BM484"/>
  <c r="BM485"/>
  <c r="BM486"/>
  <c r="BM487"/>
  <c r="BM488"/>
  <c r="BM489"/>
  <c r="BM490"/>
  <c r="BM491"/>
  <c r="BM492"/>
  <c r="BM493"/>
  <c r="BM494"/>
  <c r="BM495"/>
  <c r="BM496"/>
  <c r="BM497"/>
  <c r="BM498"/>
  <c r="BM499"/>
  <c r="BM500"/>
  <c r="BM501"/>
  <c r="BM502"/>
  <c r="BM503"/>
  <c r="BM504"/>
  <c r="BM505"/>
  <c r="BM506"/>
  <c r="BM507"/>
  <c r="BM508"/>
  <c r="BM509"/>
  <c r="BM510"/>
  <c r="BM511"/>
  <c r="BM512"/>
  <c r="BM513"/>
  <c r="BM514"/>
  <c r="BM515"/>
  <c r="BM516"/>
  <c r="BM517"/>
  <c r="BM518"/>
  <c r="BM519"/>
  <c r="BM520"/>
  <c r="BM521"/>
  <c r="BM522"/>
  <c r="BM523"/>
  <c r="BM524"/>
  <c r="BM525"/>
  <c r="BM526"/>
  <c r="BM527"/>
  <c r="BM528"/>
  <c r="BM529"/>
  <c r="BM530"/>
  <c r="BM531"/>
  <c r="BM532"/>
  <c r="BM533"/>
  <c r="BM534"/>
  <c r="BM535"/>
  <c r="BM536"/>
  <c r="BM537"/>
  <c r="BM538"/>
  <c r="BM539"/>
  <c r="BM540"/>
  <c r="BM541"/>
  <c r="BM542"/>
  <c r="BM543"/>
  <c r="BM544"/>
  <c r="BM545"/>
  <c r="BM546"/>
  <c r="BM547"/>
  <c r="BM548"/>
  <c r="BM549"/>
  <c r="BM550"/>
  <c r="BM551"/>
  <c r="BM552"/>
  <c r="BM553"/>
  <c r="BM554"/>
  <c r="BM555"/>
  <c r="BM556"/>
  <c r="BM557"/>
  <c r="BM558"/>
  <c r="BM559"/>
  <c r="BM560"/>
  <c r="BM561"/>
  <c r="BM562"/>
  <c r="BM563"/>
  <c r="BM564"/>
  <c r="BM565"/>
  <c r="BM566"/>
  <c r="BM567"/>
  <c r="BM568"/>
  <c r="BM569"/>
  <c r="BM570"/>
  <c r="BM571"/>
  <c r="BM572"/>
  <c r="BM573"/>
  <c r="BM574"/>
  <c r="BM575"/>
  <c r="BM576"/>
  <c r="BM577"/>
  <c r="BM578"/>
  <c r="BM579"/>
  <c r="BM580"/>
  <c r="BM581"/>
  <c r="BM582"/>
  <c r="BM583"/>
  <c r="BM584"/>
  <c r="BM585"/>
  <c r="BM586"/>
  <c r="BM587"/>
  <c r="BM5"/>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103"/>
  <c r="BO104"/>
  <c r="BO105"/>
  <c r="BO106"/>
  <c r="BO107"/>
  <c r="BO108"/>
  <c r="BO109"/>
  <c r="BO110"/>
  <c r="BO111"/>
  <c r="BO112"/>
  <c r="BO113"/>
  <c r="BO114"/>
  <c r="BO115"/>
  <c r="BO116"/>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BO159"/>
  <c r="BO160"/>
  <c r="BO161"/>
  <c r="BO162"/>
  <c r="BO163"/>
  <c r="BO164"/>
  <c r="BO165"/>
  <c r="BO166"/>
  <c r="BO167"/>
  <c r="BO168"/>
  <c r="BO169"/>
  <c r="BO170"/>
  <c r="BO171"/>
  <c r="BO172"/>
  <c r="BO173"/>
  <c r="BO174"/>
  <c r="BO175"/>
  <c r="BO176"/>
  <c r="BO177"/>
  <c r="BO178"/>
  <c r="BO179"/>
  <c r="BO180"/>
  <c r="BO181"/>
  <c r="BO182"/>
  <c r="BO183"/>
  <c r="BO184"/>
  <c r="BO185"/>
  <c r="BO186"/>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66"/>
  <c r="BO267"/>
  <c r="BO268"/>
  <c r="BO269"/>
  <c r="BO270"/>
  <c r="BO271"/>
  <c r="BO272"/>
  <c r="BO273"/>
  <c r="BO274"/>
  <c r="BO275"/>
  <c r="BO276"/>
  <c r="BO277"/>
  <c r="BO278"/>
  <c r="BO279"/>
  <c r="BO280"/>
  <c r="BO281"/>
  <c r="BO282"/>
  <c r="BO283"/>
  <c r="BO284"/>
  <c r="BO285"/>
  <c r="BO286"/>
  <c r="BO287"/>
  <c r="BO288"/>
  <c r="BO289"/>
  <c r="BO290"/>
  <c r="BO291"/>
  <c r="BO292"/>
  <c r="BO293"/>
  <c r="BO294"/>
  <c r="BO295"/>
  <c r="BO296"/>
  <c r="BO297"/>
  <c r="BO298"/>
  <c r="BO299"/>
  <c r="BO300"/>
  <c r="BO301"/>
  <c r="BO302"/>
  <c r="BO303"/>
  <c r="BO304"/>
  <c r="BO305"/>
  <c r="BO306"/>
  <c r="BO307"/>
  <c r="BO308"/>
  <c r="BO309"/>
  <c r="BO310"/>
  <c r="BO311"/>
  <c r="BO312"/>
  <c r="BO313"/>
  <c r="BO314"/>
  <c r="BO315"/>
  <c r="BO316"/>
  <c r="BO317"/>
  <c r="BO318"/>
  <c r="BO319"/>
  <c r="BO320"/>
  <c r="BO321"/>
  <c r="BO322"/>
  <c r="BO323"/>
  <c r="BO324"/>
  <c r="BO325"/>
  <c r="BO326"/>
  <c r="BO327"/>
  <c r="BO328"/>
  <c r="BO329"/>
  <c r="BO330"/>
  <c r="BO331"/>
  <c r="BO332"/>
  <c r="BO333"/>
  <c r="BO334"/>
  <c r="BO335"/>
  <c r="BO336"/>
  <c r="BO337"/>
  <c r="BO338"/>
  <c r="BO339"/>
  <c r="BO340"/>
  <c r="BO341"/>
  <c r="BO342"/>
  <c r="BO343"/>
  <c r="BO344"/>
  <c r="BO345"/>
  <c r="BO346"/>
  <c r="BO347"/>
  <c r="BO348"/>
  <c r="BO349"/>
  <c r="BO350"/>
  <c r="BO351"/>
  <c r="BO352"/>
  <c r="BO353"/>
  <c r="BO354"/>
  <c r="BO355"/>
  <c r="BO356"/>
  <c r="BO357"/>
  <c r="BO358"/>
  <c r="BO359"/>
  <c r="BO360"/>
  <c r="BO361"/>
  <c r="BO362"/>
  <c r="BO363"/>
  <c r="BO364"/>
  <c r="BO365"/>
  <c r="BO366"/>
  <c r="BO367"/>
  <c r="BO368"/>
  <c r="BO369"/>
  <c r="BO370"/>
  <c r="BO371"/>
  <c r="BO372"/>
  <c r="BO373"/>
  <c r="BO374"/>
  <c r="BO375"/>
  <c r="BO376"/>
  <c r="BO377"/>
  <c r="BO378"/>
  <c r="BO379"/>
  <c r="BO380"/>
  <c r="BO381"/>
  <c r="BO382"/>
  <c r="BO383"/>
  <c r="BO384"/>
  <c r="BO385"/>
  <c r="BO386"/>
  <c r="BO387"/>
  <c r="BO388"/>
  <c r="BO389"/>
  <c r="BO390"/>
  <c r="BO391"/>
  <c r="BO392"/>
  <c r="BO393"/>
  <c r="BO394"/>
  <c r="BO395"/>
  <c r="BO396"/>
  <c r="BO397"/>
  <c r="BO398"/>
  <c r="BO399"/>
  <c r="BO400"/>
  <c r="BO401"/>
  <c r="BO402"/>
  <c r="BO403"/>
  <c r="BO404"/>
  <c r="BO405"/>
  <c r="BO406"/>
  <c r="BO407"/>
  <c r="BO408"/>
  <c r="BO409"/>
  <c r="BO410"/>
  <c r="BO411"/>
  <c r="BO412"/>
  <c r="BO413"/>
  <c r="BO414"/>
  <c r="BO415"/>
  <c r="BO416"/>
  <c r="BO417"/>
  <c r="BO418"/>
  <c r="BO419"/>
  <c r="BO420"/>
  <c r="BO421"/>
  <c r="BO422"/>
  <c r="BO423"/>
  <c r="BO424"/>
  <c r="BO425"/>
  <c r="BO426"/>
  <c r="BO427"/>
  <c r="BO428"/>
  <c r="BO429"/>
  <c r="BO430"/>
  <c r="BO431"/>
  <c r="BO432"/>
  <c r="BO433"/>
  <c r="BO434"/>
  <c r="BO435"/>
  <c r="BO436"/>
  <c r="BO437"/>
  <c r="BO438"/>
  <c r="BO439"/>
  <c r="BO440"/>
  <c r="BO441"/>
  <c r="BO442"/>
  <c r="BO443"/>
  <c r="BO444"/>
  <c r="BO445"/>
  <c r="BO446"/>
  <c r="BO447"/>
  <c r="BO448"/>
  <c r="BO449"/>
  <c r="BO450"/>
  <c r="BO451"/>
  <c r="BO452"/>
  <c r="BO453"/>
  <c r="BO454"/>
  <c r="BO455"/>
  <c r="BO456"/>
  <c r="BO457"/>
  <c r="BO458"/>
  <c r="BO459"/>
  <c r="BO460"/>
  <c r="BO461"/>
  <c r="BO462"/>
  <c r="BO463"/>
  <c r="BO464"/>
  <c r="BO465"/>
  <c r="BO466"/>
  <c r="BO467"/>
  <c r="BO468"/>
  <c r="BO469"/>
  <c r="BO470"/>
  <c r="BO471"/>
  <c r="BO472"/>
  <c r="BO473"/>
  <c r="BO474"/>
  <c r="BO475"/>
  <c r="BO476"/>
  <c r="BO477"/>
  <c r="BO478"/>
  <c r="BO479"/>
  <c r="BO480"/>
  <c r="BO481"/>
  <c r="BO482"/>
  <c r="BO483"/>
  <c r="BO484"/>
  <c r="BO485"/>
  <c r="BO486"/>
  <c r="BO487"/>
  <c r="BO488"/>
  <c r="BO489"/>
  <c r="BO490"/>
  <c r="BO491"/>
  <c r="BO492"/>
  <c r="BO493"/>
  <c r="BO494"/>
  <c r="BO495"/>
  <c r="BO496"/>
  <c r="BO497"/>
  <c r="BO498"/>
  <c r="BO499"/>
  <c r="BO500"/>
  <c r="BO501"/>
  <c r="BO502"/>
  <c r="BO503"/>
  <c r="BO504"/>
  <c r="BO505"/>
  <c r="BO506"/>
  <c r="BO507"/>
  <c r="BO508"/>
  <c r="BO509"/>
  <c r="BO510"/>
  <c r="BO511"/>
  <c r="BO512"/>
  <c r="BO513"/>
  <c r="BO514"/>
  <c r="BO515"/>
  <c r="BO516"/>
  <c r="BO517"/>
  <c r="BO518"/>
  <c r="BO519"/>
  <c r="BO520"/>
  <c r="BO521"/>
  <c r="BO522"/>
  <c r="BO523"/>
  <c r="BO524"/>
  <c r="BO525"/>
  <c r="BO526"/>
  <c r="BO527"/>
  <c r="BO528"/>
  <c r="BO529"/>
  <c r="BO530"/>
  <c r="BO531"/>
  <c r="BO532"/>
  <c r="BO533"/>
  <c r="BO534"/>
  <c r="BO535"/>
  <c r="BO536"/>
  <c r="BO537"/>
  <c r="BO538"/>
  <c r="BO539"/>
  <c r="BO540"/>
  <c r="BO541"/>
  <c r="BO542"/>
  <c r="BO543"/>
  <c r="BO544"/>
  <c r="BO545"/>
  <c r="BO546"/>
  <c r="BO547"/>
  <c r="BO548"/>
  <c r="BO549"/>
  <c r="BO550"/>
  <c r="BO551"/>
  <c r="BO552"/>
  <c r="BO553"/>
  <c r="BO554"/>
  <c r="BO555"/>
  <c r="BO556"/>
  <c r="BO557"/>
  <c r="BO558"/>
  <c r="BO559"/>
  <c r="BO560"/>
  <c r="BO561"/>
  <c r="BO562"/>
  <c r="BO563"/>
  <c r="BO564"/>
  <c r="BO565"/>
  <c r="BO566"/>
  <c r="BO567"/>
  <c r="BO568"/>
  <c r="BO569"/>
  <c r="BO570"/>
  <c r="BO571"/>
  <c r="BO572"/>
  <c r="BO573"/>
  <c r="BO574"/>
  <c r="BO575"/>
  <c r="BO576"/>
  <c r="BO577"/>
  <c r="BO578"/>
  <c r="BO579"/>
  <c r="BO580"/>
  <c r="BO581"/>
  <c r="BO582"/>
  <c r="BO583"/>
  <c r="BO584"/>
  <c r="BO585"/>
  <c r="BO586"/>
  <c r="BO587"/>
  <c r="BO5"/>
  <c r="F29" i="6"/>
  <c r="BN13" i="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N301"/>
  <c r="BN302"/>
  <c r="BN303"/>
  <c r="BN304"/>
  <c r="BN305"/>
  <c r="BN306"/>
  <c r="BN307"/>
  <c r="BN308"/>
  <c r="BN309"/>
  <c r="BN310"/>
  <c r="BN311"/>
  <c r="BN312"/>
  <c r="BN313"/>
  <c r="BN314"/>
  <c r="BN315"/>
  <c r="BN316"/>
  <c r="BN317"/>
  <c r="BN318"/>
  <c r="BN319"/>
  <c r="BN320"/>
  <c r="BN321"/>
  <c r="BN322"/>
  <c r="BN323"/>
  <c r="BN324"/>
  <c r="BN325"/>
  <c r="BN326"/>
  <c r="BN327"/>
  <c r="BN328"/>
  <c r="BN329"/>
  <c r="BN330"/>
  <c r="BN331"/>
  <c r="BN332"/>
  <c r="BN333"/>
  <c r="BN334"/>
  <c r="BN335"/>
  <c r="BN336"/>
  <c r="BN337"/>
  <c r="BN338"/>
  <c r="BN339"/>
  <c r="BN340"/>
  <c r="BN341"/>
  <c r="BN342"/>
  <c r="BN343"/>
  <c r="BN344"/>
  <c r="BN345"/>
  <c r="BN346"/>
  <c r="BN347"/>
  <c r="BN348"/>
  <c r="BN349"/>
  <c r="BN350"/>
  <c r="BN351"/>
  <c r="BN352"/>
  <c r="BN353"/>
  <c r="BN354"/>
  <c r="BN355"/>
  <c r="BN356"/>
  <c r="BN357"/>
  <c r="BN358"/>
  <c r="BN359"/>
  <c r="BN360"/>
  <c r="BN361"/>
  <c r="BN362"/>
  <c r="BN363"/>
  <c r="BN364"/>
  <c r="BN365"/>
  <c r="BN366"/>
  <c r="BN367"/>
  <c r="BN368"/>
  <c r="BN369"/>
  <c r="BN370"/>
  <c r="BN371"/>
  <c r="BN372"/>
  <c r="BN373"/>
  <c r="BN374"/>
  <c r="BN375"/>
  <c r="BN376"/>
  <c r="BN377"/>
  <c r="BN378"/>
  <c r="BN379"/>
  <c r="BN380"/>
  <c r="BN381"/>
  <c r="BN382"/>
  <c r="BN383"/>
  <c r="BN384"/>
  <c r="BN385"/>
  <c r="BN386"/>
  <c r="BN387"/>
  <c r="BN388"/>
  <c r="BN389"/>
  <c r="BN390"/>
  <c r="BN391"/>
  <c r="BN392"/>
  <c r="BN393"/>
  <c r="BN394"/>
  <c r="BN395"/>
  <c r="BN396"/>
  <c r="BN397"/>
  <c r="BN398"/>
  <c r="BN399"/>
  <c r="BN400"/>
  <c r="BN401"/>
  <c r="BN402"/>
  <c r="BN403"/>
  <c r="BN404"/>
  <c r="BN405"/>
  <c r="BN406"/>
  <c r="BN407"/>
  <c r="BN408"/>
  <c r="BN409"/>
  <c r="BN410"/>
  <c r="BN411"/>
  <c r="BN412"/>
  <c r="BN413"/>
  <c r="BN414"/>
  <c r="BN415"/>
  <c r="BN416"/>
  <c r="BN417"/>
  <c r="BN418"/>
  <c r="BN419"/>
  <c r="BN420"/>
  <c r="BN421"/>
  <c r="BN422"/>
  <c r="BN423"/>
  <c r="BN424"/>
  <c r="BN425"/>
  <c r="BN426"/>
  <c r="BN427"/>
  <c r="BN428"/>
  <c r="BN429"/>
  <c r="BN430"/>
  <c r="BN431"/>
  <c r="BN432"/>
  <c r="BN433"/>
  <c r="BN434"/>
  <c r="BN435"/>
  <c r="BN436"/>
  <c r="BN437"/>
  <c r="BN438"/>
  <c r="BN439"/>
  <c r="BN440"/>
  <c r="BN441"/>
  <c r="BN442"/>
  <c r="BN443"/>
  <c r="BN444"/>
  <c r="BN445"/>
  <c r="BN446"/>
  <c r="BN447"/>
  <c r="BN448"/>
  <c r="BN449"/>
  <c r="BN450"/>
  <c r="BN451"/>
  <c r="BN452"/>
  <c r="BN453"/>
  <c r="BN454"/>
  <c r="BN455"/>
  <c r="BN456"/>
  <c r="BN457"/>
  <c r="BN458"/>
  <c r="BN459"/>
  <c r="BN460"/>
  <c r="BN461"/>
  <c r="BN462"/>
  <c r="BN463"/>
  <c r="BN464"/>
  <c r="BN465"/>
  <c r="BN466"/>
  <c r="BN467"/>
  <c r="BN468"/>
  <c r="BN469"/>
  <c r="BN470"/>
  <c r="BN471"/>
  <c r="BN472"/>
  <c r="BN473"/>
  <c r="BN474"/>
  <c r="BN475"/>
  <c r="BN476"/>
  <c r="BN477"/>
  <c r="BN478"/>
  <c r="BN479"/>
  <c r="BN480"/>
  <c r="BN481"/>
  <c r="BN482"/>
  <c r="BN483"/>
  <c r="BN484"/>
  <c r="BN485"/>
  <c r="BN486"/>
  <c r="BN487"/>
  <c r="BN488"/>
  <c r="BN489"/>
  <c r="BN490"/>
  <c r="BN491"/>
  <c r="BN492"/>
  <c r="BN493"/>
  <c r="BN494"/>
  <c r="BN495"/>
  <c r="BN496"/>
  <c r="BN497"/>
  <c r="BN498"/>
  <c r="BN499"/>
  <c r="BN500"/>
  <c r="BN501"/>
  <c r="BN502"/>
  <c r="BN503"/>
  <c r="BN504"/>
  <c r="BN505"/>
  <c r="BN506"/>
  <c r="BN507"/>
  <c r="BN508"/>
  <c r="BN509"/>
  <c r="BN510"/>
  <c r="BN511"/>
  <c r="BN512"/>
  <c r="BN513"/>
  <c r="BN514"/>
  <c r="BN515"/>
  <c r="BN516"/>
  <c r="BN517"/>
  <c r="BN518"/>
  <c r="BN519"/>
  <c r="BN520"/>
  <c r="BN521"/>
  <c r="BN522"/>
  <c r="BN523"/>
  <c r="BN524"/>
  <c r="BN525"/>
  <c r="BN526"/>
  <c r="BN527"/>
  <c r="BN528"/>
  <c r="BN529"/>
  <c r="BN530"/>
  <c r="BN531"/>
  <c r="BN532"/>
  <c r="BN533"/>
  <c r="BN534"/>
  <c r="BN535"/>
  <c r="BN536"/>
  <c r="BN537"/>
  <c r="BN538"/>
  <c r="BN539"/>
  <c r="BN540"/>
  <c r="BN541"/>
  <c r="BN542"/>
  <c r="BN543"/>
  <c r="BN544"/>
  <c r="BN545"/>
  <c r="BN546"/>
  <c r="BN547"/>
  <c r="BN548"/>
  <c r="BN549"/>
  <c r="BN550"/>
  <c r="BN551"/>
  <c r="BN552"/>
  <c r="BN553"/>
  <c r="BN554"/>
  <c r="BN555"/>
  <c r="BN556"/>
  <c r="BN557"/>
  <c r="BN558"/>
  <c r="BN559"/>
  <c r="BN560"/>
  <c r="BN561"/>
  <c r="BN562"/>
  <c r="BN563"/>
  <c r="BN564"/>
  <c r="BN565"/>
  <c r="BN566"/>
  <c r="BN567"/>
  <c r="BN568"/>
  <c r="BN569"/>
  <c r="BN570"/>
  <c r="BN571"/>
  <c r="BN572"/>
  <c r="BN573"/>
  <c r="BN574"/>
  <c r="BN575"/>
  <c r="BN576"/>
  <c r="BN577"/>
  <c r="BN578"/>
  <c r="BN579"/>
  <c r="BN580"/>
  <c r="BN581"/>
  <c r="BN582"/>
  <c r="BN583"/>
  <c r="BN584"/>
  <c r="BN585"/>
  <c r="BN586"/>
  <c r="BN587"/>
  <c r="BN5"/>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108"/>
  <c r="BP109"/>
  <c r="BP110"/>
  <c r="BP111"/>
  <c r="BP112"/>
  <c r="BP113"/>
  <c r="BP114"/>
  <c r="BP115"/>
  <c r="BP116"/>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66"/>
  <c r="BP267"/>
  <c r="BP268"/>
  <c r="BP269"/>
  <c r="BP270"/>
  <c r="BP271"/>
  <c r="BP272"/>
  <c r="BP273"/>
  <c r="BP274"/>
  <c r="BP275"/>
  <c r="BP276"/>
  <c r="BP277"/>
  <c r="BP278"/>
  <c r="BP279"/>
  <c r="BP280"/>
  <c r="BP281"/>
  <c r="BP282"/>
  <c r="BP283"/>
  <c r="BP284"/>
  <c r="BP285"/>
  <c r="BP286"/>
  <c r="BP287"/>
  <c r="BP288"/>
  <c r="BP289"/>
  <c r="BP290"/>
  <c r="BP291"/>
  <c r="BP292"/>
  <c r="BP293"/>
  <c r="BP294"/>
  <c r="BP295"/>
  <c r="BP296"/>
  <c r="BP297"/>
  <c r="BP298"/>
  <c r="BP299"/>
  <c r="BP300"/>
  <c r="BP301"/>
  <c r="BP302"/>
  <c r="BP303"/>
  <c r="BP304"/>
  <c r="BP305"/>
  <c r="BP306"/>
  <c r="BP307"/>
  <c r="BP308"/>
  <c r="BP309"/>
  <c r="BP310"/>
  <c r="BP311"/>
  <c r="BP312"/>
  <c r="BP313"/>
  <c r="BP314"/>
  <c r="BP315"/>
  <c r="BP316"/>
  <c r="BP317"/>
  <c r="BP318"/>
  <c r="BP319"/>
  <c r="BP320"/>
  <c r="BP321"/>
  <c r="BP322"/>
  <c r="BP323"/>
  <c r="BP324"/>
  <c r="BP325"/>
  <c r="BP326"/>
  <c r="BP327"/>
  <c r="BP328"/>
  <c r="BP329"/>
  <c r="BP330"/>
  <c r="BP331"/>
  <c r="BP332"/>
  <c r="BP333"/>
  <c r="BP334"/>
  <c r="BP335"/>
  <c r="BP336"/>
  <c r="BP337"/>
  <c r="BP338"/>
  <c r="BP339"/>
  <c r="BP340"/>
  <c r="BP341"/>
  <c r="BP342"/>
  <c r="BP343"/>
  <c r="BP344"/>
  <c r="BP345"/>
  <c r="BP346"/>
  <c r="BP347"/>
  <c r="BP348"/>
  <c r="BP349"/>
  <c r="BP350"/>
  <c r="BP351"/>
  <c r="BP352"/>
  <c r="BP353"/>
  <c r="BP354"/>
  <c r="BP355"/>
  <c r="BP356"/>
  <c r="BP357"/>
  <c r="BP358"/>
  <c r="BP359"/>
  <c r="BP360"/>
  <c r="BP361"/>
  <c r="BP362"/>
  <c r="BP363"/>
  <c r="BP364"/>
  <c r="BP365"/>
  <c r="BP366"/>
  <c r="BP367"/>
  <c r="BP368"/>
  <c r="BP369"/>
  <c r="BP370"/>
  <c r="BP371"/>
  <c r="BP372"/>
  <c r="BP373"/>
  <c r="BP374"/>
  <c r="BP375"/>
  <c r="BP376"/>
  <c r="BP377"/>
  <c r="BP378"/>
  <c r="BP379"/>
  <c r="BP380"/>
  <c r="BP381"/>
  <c r="BP382"/>
  <c r="BP383"/>
  <c r="BP384"/>
  <c r="BP385"/>
  <c r="BP386"/>
  <c r="BP387"/>
  <c r="BP388"/>
  <c r="BP389"/>
  <c r="BP390"/>
  <c r="BP391"/>
  <c r="BP392"/>
  <c r="BP393"/>
  <c r="BP394"/>
  <c r="BP395"/>
  <c r="BP396"/>
  <c r="BP397"/>
  <c r="BP398"/>
  <c r="BP399"/>
  <c r="BP400"/>
  <c r="BP401"/>
  <c r="BP402"/>
  <c r="BP403"/>
  <c r="BP404"/>
  <c r="BP405"/>
  <c r="BP406"/>
  <c r="BP407"/>
  <c r="BP408"/>
  <c r="BP409"/>
  <c r="BP410"/>
  <c r="BP411"/>
  <c r="BP412"/>
  <c r="BP413"/>
  <c r="BP414"/>
  <c r="BP415"/>
  <c r="BP416"/>
  <c r="BP417"/>
  <c r="BP418"/>
  <c r="BP419"/>
  <c r="BP420"/>
  <c r="BP421"/>
  <c r="BP422"/>
  <c r="BP423"/>
  <c r="BP424"/>
  <c r="BP425"/>
  <c r="BP426"/>
  <c r="BP427"/>
  <c r="BP428"/>
  <c r="BP429"/>
  <c r="BP430"/>
  <c r="BP431"/>
  <c r="BP432"/>
  <c r="BP433"/>
  <c r="BP434"/>
  <c r="BP435"/>
  <c r="BP436"/>
  <c r="BP437"/>
  <c r="BP438"/>
  <c r="BP439"/>
  <c r="BP440"/>
  <c r="BP441"/>
  <c r="BP442"/>
  <c r="BP443"/>
  <c r="BP444"/>
  <c r="BP445"/>
  <c r="BP446"/>
  <c r="BP447"/>
  <c r="BP448"/>
  <c r="BP449"/>
  <c r="BP450"/>
  <c r="BP451"/>
  <c r="BP452"/>
  <c r="BP453"/>
  <c r="BP454"/>
  <c r="BP455"/>
  <c r="BP456"/>
  <c r="BP457"/>
  <c r="BP458"/>
  <c r="BP459"/>
  <c r="BP460"/>
  <c r="BP461"/>
  <c r="BP462"/>
  <c r="BP463"/>
  <c r="BP464"/>
  <c r="BP465"/>
  <c r="BP466"/>
  <c r="BP467"/>
  <c r="BP468"/>
  <c r="BP469"/>
  <c r="BP470"/>
  <c r="BP471"/>
  <c r="BP472"/>
  <c r="BP473"/>
  <c r="BP474"/>
  <c r="BP475"/>
  <c r="BP476"/>
  <c r="BP477"/>
  <c r="BP478"/>
  <c r="BP479"/>
  <c r="BP480"/>
  <c r="BP481"/>
  <c r="BP482"/>
  <c r="BP483"/>
  <c r="BP484"/>
  <c r="BP485"/>
  <c r="BP486"/>
  <c r="BP487"/>
  <c r="BP488"/>
  <c r="BP489"/>
  <c r="BP490"/>
  <c r="BP491"/>
  <c r="BP492"/>
  <c r="BP493"/>
  <c r="BP494"/>
  <c r="BP495"/>
  <c r="BP496"/>
  <c r="BP497"/>
  <c r="BP498"/>
  <c r="BP499"/>
  <c r="BP500"/>
  <c r="BP501"/>
  <c r="BP502"/>
  <c r="BP503"/>
  <c r="BP504"/>
  <c r="BP505"/>
  <c r="BP506"/>
  <c r="BP507"/>
  <c r="BP508"/>
  <c r="BP509"/>
  <c r="BP510"/>
  <c r="BP511"/>
  <c r="BP512"/>
  <c r="BP513"/>
  <c r="BP514"/>
  <c r="BP515"/>
  <c r="BP516"/>
  <c r="BP517"/>
  <c r="BP518"/>
  <c r="BP519"/>
  <c r="BP520"/>
  <c r="BP521"/>
  <c r="BP522"/>
  <c r="BP523"/>
  <c r="BP524"/>
  <c r="BP525"/>
  <c r="BP526"/>
  <c r="BP527"/>
  <c r="BP528"/>
  <c r="BP529"/>
  <c r="BP530"/>
  <c r="BP531"/>
  <c r="BP532"/>
  <c r="BP533"/>
  <c r="BP534"/>
  <c r="BP535"/>
  <c r="BP536"/>
  <c r="BP537"/>
  <c r="BP538"/>
  <c r="BP539"/>
  <c r="BP540"/>
  <c r="BP541"/>
  <c r="BP542"/>
  <c r="BP543"/>
  <c r="BP544"/>
  <c r="BP545"/>
  <c r="BP546"/>
  <c r="BP547"/>
  <c r="BP548"/>
  <c r="BP549"/>
  <c r="BP550"/>
  <c r="BP551"/>
  <c r="BP552"/>
  <c r="BP553"/>
  <c r="BP554"/>
  <c r="BP555"/>
  <c r="BP556"/>
  <c r="BP557"/>
  <c r="BP558"/>
  <c r="BP559"/>
  <c r="BP560"/>
  <c r="BP561"/>
  <c r="BP562"/>
  <c r="BP563"/>
  <c r="BP564"/>
  <c r="BP565"/>
  <c r="BP566"/>
  <c r="BP567"/>
  <c r="BP568"/>
  <c r="BP569"/>
  <c r="BP570"/>
  <c r="BP571"/>
  <c r="BP572"/>
  <c r="BP573"/>
  <c r="BP574"/>
  <c r="BP575"/>
  <c r="BP576"/>
  <c r="BP577"/>
  <c r="BP578"/>
  <c r="BP579"/>
  <c r="BP580"/>
  <c r="BP581"/>
  <c r="BP582"/>
  <c r="BP583"/>
  <c r="BP584"/>
  <c r="BP585"/>
  <c r="BP586"/>
  <c r="BP587"/>
  <c r="BP5"/>
  <c r="G29" i="6"/>
  <c r="E29"/>
  <c r="K15" i="1"/>
  <c r="K16"/>
  <c r="B29"/>
  <c r="Y6"/>
  <c r="Q14" i="71"/>
  <c r="Q21"/>
  <c r="Q25"/>
  <c r="AB7"/>
  <c r="AB6"/>
  <c r="AB5"/>
  <c r="P14"/>
  <c r="P21"/>
  <c r="P25"/>
  <c r="AA6"/>
  <c r="AA5"/>
  <c r="O14"/>
  <c r="O21"/>
  <c r="O25"/>
  <c r="Y5"/>
  <c r="Y6"/>
  <c r="N14"/>
  <c r="N21"/>
  <c r="N25"/>
  <c r="X5"/>
  <c r="X6"/>
  <c r="AH5"/>
  <c r="AG5"/>
  <c r="AE5"/>
  <c r="AF5"/>
  <c r="AD5"/>
  <c r="Z5"/>
  <c r="AH6"/>
  <c r="AG6"/>
  <c r="AE6"/>
  <c r="AF6"/>
  <c r="AD6"/>
  <c r="Z6"/>
  <c r="AH7"/>
  <c r="AG7"/>
  <c r="AE7"/>
  <c r="AF7"/>
  <c r="AD7"/>
  <c r="F24" i="12"/>
  <c r="F7" i="69"/>
  <c r="F7" i="68"/>
  <c r="M15" i="45"/>
  <c r="L15"/>
  <c r="K15"/>
  <c r="J15"/>
  <c r="I15"/>
  <c r="H15"/>
  <c r="G15"/>
  <c r="F15"/>
  <c r="E15"/>
  <c r="D15"/>
  <c r="C15"/>
  <c r="B15"/>
  <c r="AH8" i="71"/>
  <c r="AG8"/>
  <c r="AE8"/>
  <c r="AF8"/>
  <c r="AD8"/>
  <c r="AA7"/>
  <c r="Y7"/>
  <c r="X7"/>
  <c r="AD9"/>
  <c r="AH9"/>
  <c r="AG9"/>
  <c r="AE9"/>
  <c r="AF9"/>
  <c r="L3"/>
  <c r="AH3"/>
  <c r="K3"/>
  <c r="AG3"/>
  <c r="J3"/>
  <c r="AE3"/>
  <c r="I3"/>
  <c r="AH10"/>
  <c r="AG10"/>
  <c r="AE10"/>
  <c r="AF10"/>
  <c r="AD10"/>
  <c r="AA10"/>
  <c r="X10"/>
  <c r="AH11"/>
  <c r="AG11"/>
  <c r="AE11"/>
  <c r="AF11"/>
  <c r="AD11"/>
  <c r="AB10"/>
  <c r="AA11"/>
  <c r="Y10"/>
  <c r="Z10"/>
  <c r="AH12"/>
  <c r="AG12"/>
  <c r="AE12"/>
  <c r="AF12"/>
  <c r="AD12"/>
  <c r="BB13" i="3"/>
  <c r="BC13"/>
  <c r="BD13"/>
  <c r="BE13"/>
  <c r="BF13"/>
  <c r="BG13"/>
  <c r="BH13"/>
  <c r="BI13"/>
  <c r="BJ13"/>
  <c r="BK13"/>
  <c r="BA13"/>
  <c r="BL13"/>
  <c r="AZ13"/>
  <c r="BB14"/>
  <c r="BC14"/>
  <c r="BD14"/>
  <c r="BE14"/>
  <c r="BF14"/>
  <c r="BG14"/>
  <c r="BH14"/>
  <c r="BI14"/>
  <c r="BJ14"/>
  <c r="BK14"/>
  <c r="BA14"/>
  <c r="BL14"/>
  <c r="AZ14"/>
  <c r="BB15"/>
  <c r="BC15"/>
  <c r="BD15"/>
  <c r="BE15"/>
  <c r="BF15"/>
  <c r="BG15"/>
  <c r="BH15"/>
  <c r="BI15"/>
  <c r="BJ15"/>
  <c r="BK15"/>
  <c r="BA15"/>
  <c r="BL15"/>
  <c r="AZ15"/>
  <c r="BB16"/>
  <c r="BC16"/>
  <c r="BD16"/>
  <c r="BE16"/>
  <c r="BF16"/>
  <c r="BG16"/>
  <c r="BH16"/>
  <c r="BI16"/>
  <c r="BJ16"/>
  <c r="BK16"/>
  <c r="BA16"/>
  <c r="BL16"/>
  <c r="AZ16"/>
  <c r="BB17"/>
  <c r="BC17"/>
  <c r="BD17"/>
  <c r="BE17"/>
  <c r="BF17"/>
  <c r="BG17"/>
  <c r="BH17"/>
  <c r="BI17"/>
  <c r="BJ17"/>
  <c r="BK17"/>
  <c r="BA17"/>
  <c r="BL17"/>
  <c r="AZ17"/>
  <c r="BB18"/>
  <c r="BC18"/>
  <c r="BD18"/>
  <c r="BE18"/>
  <c r="BF18"/>
  <c r="BG18"/>
  <c r="BH18"/>
  <c r="BI18"/>
  <c r="BJ18"/>
  <c r="BK18"/>
  <c r="BA18"/>
  <c r="BL18"/>
  <c r="AZ18"/>
  <c r="BB19"/>
  <c r="BC19"/>
  <c r="BD19"/>
  <c r="BE19"/>
  <c r="BF19"/>
  <c r="BG19"/>
  <c r="BH19"/>
  <c r="BI19"/>
  <c r="BJ19"/>
  <c r="BK19"/>
  <c r="BA19"/>
  <c r="BL19"/>
  <c r="AZ19"/>
  <c r="BB20"/>
  <c r="BC20"/>
  <c r="BD20"/>
  <c r="BE20"/>
  <c r="BF20"/>
  <c r="BG20"/>
  <c r="BH20"/>
  <c r="BI20"/>
  <c r="BJ20"/>
  <c r="BK20"/>
  <c r="BA20"/>
  <c r="BL20"/>
  <c r="AZ20"/>
  <c r="BB21"/>
  <c r="BC21"/>
  <c r="BD21"/>
  <c r="BE21"/>
  <c r="BF21"/>
  <c r="BG21"/>
  <c r="BH21"/>
  <c r="BI21"/>
  <c r="BJ21"/>
  <c r="BK21"/>
  <c r="BA21"/>
  <c r="BL21"/>
  <c r="AZ21"/>
  <c r="BB22"/>
  <c r="BC22"/>
  <c r="BD22"/>
  <c r="BE22"/>
  <c r="BF22"/>
  <c r="BG22"/>
  <c r="BH22"/>
  <c r="BI22"/>
  <c r="BJ22"/>
  <c r="BK22"/>
  <c r="BA22"/>
  <c r="BL22"/>
  <c r="AZ22"/>
  <c r="BB23"/>
  <c r="BC23"/>
  <c r="BD23"/>
  <c r="BE23"/>
  <c r="BF23"/>
  <c r="BG23"/>
  <c r="BH23"/>
  <c r="BI23"/>
  <c r="BJ23"/>
  <c r="BK23"/>
  <c r="BA23"/>
  <c r="BL23"/>
  <c r="AZ23"/>
  <c r="BB24"/>
  <c r="BC24"/>
  <c r="BD24"/>
  <c r="BE24"/>
  <c r="BF24"/>
  <c r="BG24"/>
  <c r="BH24"/>
  <c r="BI24"/>
  <c r="BJ24"/>
  <c r="BK24"/>
  <c r="BA24"/>
  <c r="BL24"/>
  <c r="AZ24"/>
  <c r="BB25"/>
  <c r="BC25"/>
  <c r="BD25"/>
  <c r="BE25"/>
  <c r="BF25"/>
  <c r="BG25"/>
  <c r="BH25"/>
  <c r="BI25"/>
  <c r="BJ25"/>
  <c r="BK25"/>
  <c r="BA25"/>
  <c r="BL25"/>
  <c r="AZ25"/>
  <c r="BB26"/>
  <c r="BC26"/>
  <c r="BD26"/>
  <c r="BE26"/>
  <c r="BF26"/>
  <c r="BG26"/>
  <c r="BH26"/>
  <c r="BI26"/>
  <c r="BJ26"/>
  <c r="BK26"/>
  <c r="BA26"/>
  <c r="BL26"/>
  <c r="AZ26"/>
  <c r="BB27"/>
  <c r="BC27"/>
  <c r="BD27"/>
  <c r="BE27"/>
  <c r="BF27"/>
  <c r="BG27"/>
  <c r="BH27"/>
  <c r="BI27"/>
  <c r="BJ27"/>
  <c r="BK27"/>
  <c r="BA27"/>
  <c r="BL27"/>
  <c r="AZ27"/>
  <c r="BB28"/>
  <c r="BC28"/>
  <c r="BD28"/>
  <c r="BE28"/>
  <c r="BF28"/>
  <c r="BG28"/>
  <c r="BH28"/>
  <c r="BI28"/>
  <c r="BJ28"/>
  <c r="BK28"/>
  <c r="BA28"/>
  <c r="BL28"/>
  <c r="AZ28"/>
  <c r="BB29"/>
  <c r="BC29"/>
  <c r="BD29"/>
  <c r="BE29"/>
  <c r="BF29"/>
  <c r="BG29"/>
  <c r="BH29"/>
  <c r="BI29"/>
  <c r="BJ29"/>
  <c r="BK29"/>
  <c r="BA29"/>
  <c r="BL29"/>
  <c r="AZ29"/>
  <c r="BB30"/>
  <c r="BC30"/>
  <c r="BD30"/>
  <c r="BE30"/>
  <c r="BF30"/>
  <c r="BG30"/>
  <c r="BH30"/>
  <c r="BI30"/>
  <c r="BJ30"/>
  <c r="BK30"/>
  <c r="BA30"/>
  <c r="BL30"/>
  <c r="AZ30"/>
  <c r="BB31"/>
  <c r="BC31"/>
  <c r="BD31"/>
  <c r="BE31"/>
  <c r="BF31"/>
  <c r="BG31"/>
  <c r="BH31"/>
  <c r="BI31"/>
  <c r="BJ31"/>
  <c r="BK31"/>
  <c r="BA31"/>
  <c r="BL31"/>
  <c r="AZ31"/>
  <c r="BB32"/>
  <c r="BC32"/>
  <c r="BD32"/>
  <c r="BE32"/>
  <c r="BF32"/>
  <c r="BG32"/>
  <c r="BH32"/>
  <c r="BI32"/>
  <c r="BJ32"/>
  <c r="BK32"/>
  <c r="BA32"/>
  <c r="BL32"/>
  <c r="AZ32"/>
  <c r="BB33"/>
  <c r="BC33"/>
  <c r="BD33"/>
  <c r="BE33"/>
  <c r="BF33"/>
  <c r="BG33"/>
  <c r="BH33"/>
  <c r="BI33"/>
  <c r="BJ33"/>
  <c r="BK33"/>
  <c r="BA33"/>
  <c r="BL33"/>
  <c r="AZ33"/>
  <c r="BB34"/>
  <c r="BC34"/>
  <c r="BD34"/>
  <c r="BE34"/>
  <c r="BF34"/>
  <c r="BG34"/>
  <c r="BH34"/>
  <c r="BI34"/>
  <c r="BJ34"/>
  <c r="BK34"/>
  <c r="BA34"/>
  <c r="BL34"/>
  <c r="AZ34"/>
  <c r="BB35"/>
  <c r="BC35"/>
  <c r="BD35"/>
  <c r="BE35"/>
  <c r="BF35"/>
  <c r="BG35"/>
  <c r="BH35"/>
  <c r="BI35"/>
  <c r="BJ35"/>
  <c r="BK35"/>
  <c r="BA35"/>
  <c r="BL35"/>
  <c r="AZ35"/>
  <c r="BB36"/>
  <c r="BC36"/>
  <c r="BD36"/>
  <c r="BE36"/>
  <c r="BF36"/>
  <c r="BG36"/>
  <c r="BH36"/>
  <c r="BI36"/>
  <c r="BJ36"/>
  <c r="BK36"/>
  <c r="BA36"/>
  <c r="BL36"/>
  <c r="AZ36"/>
  <c r="BB37"/>
  <c r="BC37"/>
  <c r="BD37"/>
  <c r="BE37"/>
  <c r="BF37"/>
  <c r="BG37"/>
  <c r="BH37"/>
  <c r="BI37"/>
  <c r="BJ37"/>
  <c r="BK37"/>
  <c r="BA37"/>
  <c r="BL37"/>
  <c r="AZ37"/>
  <c r="BB38"/>
  <c r="BC38"/>
  <c r="BD38"/>
  <c r="BE38"/>
  <c r="BF38"/>
  <c r="BG38"/>
  <c r="BH38"/>
  <c r="BI38"/>
  <c r="BJ38"/>
  <c r="BK38"/>
  <c r="BA38"/>
  <c r="BL38"/>
  <c r="AZ38"/>
  <c r="BB39"/>
  <c r="BC39"/>
  <c r="BD39"/>
  <c r="BE39"/>
  <c r="BF39"/>
  <c r="BG39"/>
  <c r="BH39"/>
  <c r="BI39"/>
  <c r="BJ39"/>
  <c r="BK39"/>
  <c r="BA39"/>
  <c r="BL39"/>
  <c r="AZ39"/>
  <c r="BB40"/>
  <c r="BC40"/>
  <c r="BD40"/>
  <c r="BE40"/>
  <c r="BF40"/>
  <c r="BG40"/>
  <c r="BH40"/>
  <c r="BI40"/>
  <c r="BJ40"/>
  <c r="BK40"/>
  <c r="BA40"/>
  <c r="BL40"/>
  <c r="AZ40"/>
  <c r="BB41"/>
  <c r="BC41"/>
  <c r="BD41"/>
  <c r="BE41"/>
  <c r="BF41"/>
  <c r="BG41"/>
  <c r="BH41"/>
  <c r="BI41"/>
  <c r="BJ41"/>
  <c r="BK41"/>
  <c r="BA41"/>
  <c r="BL41"/>
  <c r="AZ41"/>
  <c r="BB42"/>
  <c r="BC42"/>
  <c r="BD42"/>
  <c r="BE42"/>
  <c r="BF42"/>
  <c r="BG42"/>
  <c r="BH42"/>
  <c r="BI42"/>
  <c r="BJ42"/>
  <c r="BK42"/>
  <c r="BA42"/>
  <c r="BL42"/>
  <c r="AZ42"/>
  <c r="BB43"/>
  <c r="BC43"/>
  <c r="BD43"/>
  <c r="BE43"/>
  <c r="BF43"/>
  <c r="BG43"/>
  <c r="BH43"/>
  <c r="BI43"/>
  <c r="BJ43"/>
  <c r="BK43"/>
  <c r="BA43"/>
  <c r="BL43"/>
  <c r="AZ43"/>
  <c r="BB44"/>
  <c r="BC44"/>
  <c r="BD44"/>
  <c r="BE44"/>
  <c r="BF44"/>
  <c r="BG44"/>
  <c r="BH44"/>
  <c r="BI44"/>
  <c r="BJ44"/>
  <c r="BK44"/>
  <c r="BA44"/>
  <c r="BL44"/>
  <c r="AZ44"/>
  <c r="BB45"/>
  <c r="BC45"/>
  <c r="BD45"/>
  <c r="BE45"/>
  <c r="BF45"/>
  <c r="BG45"/>
  <c r="BH45"/>
  <c r="BI45"/>
  <c r="BJ45"/>
  <c r="BK45"/>
  <c r="BA45"/>
  <c r="BL45"/>
  <c r="AZ45"/>
  <c r="BB46"/>
  <c r="BC46"/>
  <c r="BD46"/>
  <c r="BE46"/>
  <c r="BF46"/>
  <c r="BG46"/>
  <c r="BH46"/>
  <c r="BI46"/>
  <c r="BJ46"/>
  <c r="BK46"/>
  <c r="BA46"/>
  <c r="BL46"/>
  <c r="AZ46"/>
  <c r="BB47"/>
  <c r="BC47"/>
  <c r="BD47"/>
  <c r="BE47"/>
  <c r="BF47"/>
  <c r="BG47"/>
  <c r="BH47"/>
  <c r="BI47"/>
  <c r="BJ47"/>
  <c r="BK47"/>
  <c r="BA47"/>
  <c r="BL47"/>
  <c r="AZ47"/>
  <c r="BB48"/>
  <c r="BC48"/>
  <c r="BD48"/>
  <c r="BE48"/>
  <c r="BF48"/>
  <c r="BG48"/>
  <c r="BH48"/>
  <c r="BI48"/>
  <c r="BJ48"/>
  <c r="BK48"/>
  <c r="BA48"/>
  <c r="BL48"/>
  <c r="AZ48"/>
  <c r="BB49"/>
  <c r="BC49"/>
  <c r="BD49"/>
  <c r="BE49"/>
  <c r="BF49"/>
  <c r="BG49"/>
  <c r="BH49"/>
  <c r="BI49"/>
  <c r="BJ49"/>
  <c r="BK49"/>
  <c r="BA49"/>
  <c r="BL49"/>
  <c r="AZ49"/>
  <c r="BB50"/>
  <c r="BC50"/>
  <c r="BD50"/>
  <c r="BE50"/>
  <c r="BF50"/>
  <c r="BG50"/>
  <c r="BH50"/>
  <c r="BI50"/>
  <c r="BJ50"/>
  <c r="BK50"/>
  <c r="BA50"/>
  <c r="BL50"/>
  <c r="AZ50"/>
  <c r="BB51"/>
  <c r="BC51"/>
  <c r="BD51"/>
  <c r="BE51"/>
  <c r="BF51"/>
  <c r="BG51"/>
  <c r="BH51"/>
  <c r="BI51"/>
  <c r="BJ51"/>
  <c r="BK51"/>
  <c r="BA51"/>
  <c r="BL51"/>
  <c r="AZ51"/>
  <c r="BB52"/>
  <c r="BC52"/>
  <c r="BD52"/>
  <c r="BE52"/>
  <c r="BF52"/>
  <c r="BG52"/>
  <c r="BH52"/>
  <c r="BI52"/>
  <c r="BJ52"/>
  <c r="BK52"/>
  <c r="BA52"/>
  <c r="BL52"/>
  <c r="AZ52"/>
  <c r="BB53"/>
  <c r="BC53"/>
  <c r="BD53"/>
  <c r="BE53"/>
  <c r="BF53"/>
  <c r="BG53"/>
  <c r="BH53"/>
  <c r="BI53"/>
  <c r="BJ53"/>
  <c r="BK53"/>
  <c r="BA53"/>
  <c r="BL53"/>
  <c r="AZ53"/>
  <c r="BB54"/>
  <c r="BC54"/>
  <c r="BD54"/>
  <c r="BE54"/>
  <c r="BF54"/>
  <c r="BG54"/>
  <c r="BH54"/>
  <c r="BI54"/>
  <c r="BJ54"/>
  <c r="BK54"/>
  <c r="BA54"/>
  <c r="BL54"/>
  <c r="AZ54"/>
  <c r="BB55"/>
  <c r="BC55"/>
  <c r="BD55"/>
  <c r="BE55"/>
  <c r="BF55"/>
  <c r="BG55"/>
  <c r="BH55"/>
  <c r="BI55"/>
  <c r="BJ55"/>
  <c r="BK55"/>
  <c r="BA55"/>
  <c r="BL55"/>
  <c r="AZ55"/>
  <c r="BB56"/>
  <c r="BC56"/>
  <c r="BD56"/>
  <c r="BE56"/>
  <c r="BF56"/>
  <c r="BG56"/>
  <c r="BH56"/>
  <c r="BI56"/>
  <c r="BJ56"/>
  <c r="BK56"/>
  <c r="BA56"/>
  <c r="BL56"/>
  <c r="AZ56"/>
  <c r="BB57"/>
  <c r="BC57"/>
  <c r="BD57"/>
  <c r="BE57"/>
  <c r="BF57"/>
  <c r="BG57"/>
  <c r="BH57"/>
  <c r="BI57"/>
  <c r="BJ57"/>
  <c r="BK57"/>
  <c r="BA57"/>
  <c r="BL57"/>
  <c r="AZ57"/>
  <c r="BB58"/>
  <c r="BC58"/>
  <c r="BD58"/>
  <c r="BE58"/>
  <c r="BF58"/>
  <c r="BG58"/>
  <c r="BH58"/>
  <c r="BI58"/>
  <c r="BJ58"/>
  <c r="BK58"/>
  <c r="BA58"/>
  <c r="BL58"/>
  <c r="AZ58"/>
  <c r="BB59"/>
  <c r="BC59"/>
  <c r="BD59"/>
  <c r="BE59"/>
  <c r="BF59"/>
  <c r="BG59"/>
  <c r="BH59"/>
  <c r="BI59"/>
  <c r="BJ59"/>
  <c r="BK59"/>
  <c r="BA59"/>
  <c r="BL59"/>
  <c r="AZ59"/>
  <c r="BB60"/>
  <c r="BC60"/>
  <c r="BD60"/>
  <c r="BE60"/>
  <c r="BF60"/>
  <c r="BG60"/>
  <c r="BH60"/>
  <c r="BI60"/>
  <c r="BJ60"/>
  <c r="BK60"/>
  <c r="BA60"/>
  <c r="BL60"/>
  <c r="AZ60"/>
  <c r="BB61"/>
  <c r="BC61"/>
  <c r="BD61"/>
  <c r="BE61"/>
  <c r="BF61"/>
  <c r="BG61"/>
  <c r="BH61"/>
  <c r="BI61"/>
  <c r="BJ61"/>
  <c r="BK61"/>
  <c r="BA61"/>
  <c r="BL61"/>
  <c r="AZ61"/>
  <c r="BB62"/>
  <c r="BC62"/>
  <c r="BD62"/>
  <c r="BE62"/>
  <c r="BF62"/>
  <c r="BG62"/>
  <c r="BH62"/>
  <c r="BI62"/>
  <c r="BJ62"/>
  <c r="BK62"/>
  <c r="BA62"/>
  <c r="BL62"/>
  <c r="AZ62"/>
  <c r="BB63"/>
  <c r="BC63"/>
  <c r="BD63"/>
  <c r="BE63"/>
  <c r="BF63"/>
  <c r="BG63"/>
  <c r="BH63"/>
  <c r="BI63"/>
  <c r="BJ63"/>
  <c r="BK63"/>
  <c r="BA63"/>
  <c r="BL63"/>
  <c r="AZ63"/>
  <c r="BB64"/>
  <c r="BC64"/>
  <c r="BD64"/>
  <c r="BE64"/>
  <c r="BF64"/>
  <c r="BG64"/>
  <c r="BH64"/>
  <c r="BI64"/>
  <c r="BJ64"/>
  <c r="BK64"/>
  <c r="BA64"/>
  <c r="BL64"/>
  <c r="AZ64"/>
  <c r="BB65"/>
  <c r="BC65"/>
  <c r="BD65"/>
  <c r="BE65"/>
  <c r="BF65"/>
  <c r="BG65"/>
  <c r="BH65"/>
  <c r="BI65"/>
  <c r="BJ65"/>
  <c r="BK65"/>
  <c r="BA65"/>
  <c r="BL65"/>
  <c r="AZ65"/>
  <c r="BB66"/>
  <c r="BC66"/>
  <c r="BD66"/>
  <c r="BE66"/>
  <c r="BF66"/>
  <c r="BG66"/>
  <c r="BH66"/>
  <c r="BI66"/>
  <c r="BJ66"/>
  <c r="BK66"/>
  <c r="BA66"/>
  <c r="BL66"/>
  <c r="AZ66"/>
  <c r="BB67"/>
  <c r="BC67"/>
  <c r="BD67"/>
  <c r="BE67"/>
  <c r="BF67"/>
  <c r="BG67"/>
  <c r="BH67"/>
  <c r="BI67"/>
  <c r="BJ67"/>
  <c r="BK67"/>
  <c r="BA67"/>
  <c r="BL67"/>
  <c r="AZ67"/>
  <c r="BB68"/>
  <c r="BC68"/>
  <c r="BD68"/>
  <c r="BE68"/>
  <c r="BF68"/>
  <c r="BG68"/>
  <c r="BH68"/>
  <c r="BI68"/>
  <c r="BJ68"/>
  <c r="BK68"/>
  <c r="BA68"/>
  <c r="BL68"/>
  <c r="AZ68"/>
  <c r="BB69"/>
  <c r="BC69"/>
  <c r="BD69"/>
  <c r="BE69"/>
  <c r="BF69"/>
  <c r="BG69"/>
  <c r="BH69"/>
  <c r="BI69"/>
  <c r="BJ69"/>
  <c r="BK69"/>
  <c r="BA69"/>
  <c r="BL69"/>
  <c r="AZ69"/>
  <c r="BB70"/>
  <c r="BC70"/>
  <c r="BD70"/>
  <c r="BE70"/>
  <c r="BF70"/>
  <c r="BG70"/>
  <c r="BH70"/>
  <c r="BI70"/>
  <c r="BJ70"/>
  <c r="BK70"/>
  <c r="BA70"/>
  <c r="BL70"/>
  <c r="AZ70"/>
  <c r="BB71"/>
  <c r="BC71"/>
  <c r="BD71"/>
  <c r="BE71"/>
  <c r="BF71"/>
  <c r="BG71"/>
  <c r="BH71"/>
  <c r="BI71"/>
  <c r="BJ71"/>
  <c r="BK71"/>
  <c r="BA71"/>
  <c r="BL71"/>
  <c r="AZ71"/>
  <c r="BB72"/>
  <c r="BC72"/>
  <c r="BD72"/>
  <c r="BE72"/>
  <c r="BF72"/>
  <c r="BG72"/>
  <c r="BH72"/>
  <c r="BI72"/>
  <c r="BJ72"/>
  <c r="BK72"/>
  <c r="BA72"/>
  <c r="BL72"/>
  <c r="AZ72"/>
  <c r="BB73"/>
  <c r="BC73"/>
  <c r="BD73"/>
  <c r="BE73"/>
  <c r="BF73"/>
  <c r="BG73"/>
  <c r="BH73"/>
  <c r="BI73"/>
  <c r="BJ73"/>
  <c r="BK73"/>
  <c r="BA73"/>
  <c r="BL73"/>
  <c r="AZ73"/>
  <c r="BB74"/>
  <c r="BC74"/>
  <c r="BD74"/>
  <c r="BE74"/>
  <c r="BF74"/>
  <c r="BG74"/>
  <c r="BH74"/>
  <c r="BI74"/>
  <c r="BJ74"/>
  <c r="BK74"/>
  <c r="BA74"/>
  <c r="BL74"/>
  <c r="AZ74"/>
  <c r="BB75"/>
  <c r="BC75"/>
  <c r="BD75"/>
  <c r="BE75"/>
  <c r="BF75"/>
  <c r="BG75"/>
  <c r="BH75"/>
  <c r="BI75"/>
  <c r="BJ75"/>
  <c r="BK75"/>
  <c r="BA75"/>
  <c r="BL75"/>
  <c r="AZ75"/>
  <c r="BB76"/>
  <c r="BC76"/>
  <c r="BD76"/>
  <c r="BE76"/>
  <c r="BF76"/>
  <c r="BG76"/>
  <c r="BH76"/>
  <c r="BI76"/>
  <c r="BJ76"/>
  <c r="BK76"/>
  <c r="BA76"/>
  <c r="BL76"/>
  <c r="AZ76"/>
  <c r="BB77"/>
  <c r="BC77"/>
  <c r="BD77"/>
  <c r="BE77"/>
  <c r="BF77"/>
  <c r="BG77"/>
  <c r="BH77"/>
  <c r="BI77"/>
  <c r="BJ77"/>
  <c r="BK77"/>
  <c r="BA77"/>
  <c r="BL77"/>
  <c r="AZ77"/>
  <c r="BB78"/>
  <c r="BC78"/>
  <c r="BD78"/>
  <c r="BE78"/>
  <c r="BF78"/>
  <c r="BG78"/>
  <c r="BH78"/>
  <c r="BI78"/>
  <c r="BJ78"/>
  <c r="BK78"/>
  <c r="BA78"/>
  <c r="BL78"/>
  <c r="AZ78"/>
  <c r="BB79"/>
  <c r="BC79"/>
  <c r="BD79"/>
  <c r="BE79"/>
  <c r="BF79"/>
  <c r="BG79"/>
  <c r="BH79"/>
  <c r="BI79"/>
  <c r="BJ79"/>
  <c r="BK79"/>
  <c r="BA79"/>
  <c r="BL79"/>
  <c r="AZ79"/>
  <c r="BB80"/>
  <c r="BC80"/>
  <c r="BD80"/>
  <c r="BE80"/>
  <c r="BF80"/>
  <c r="BG80"/>
  <c r="BH80"/>
  <c r="BI80"/>
  <c r="BJ80"/>
  <c r="BK80"/>
  <c r="BA80"/>
  <c r="BL80"/>
  <c r="AZ80"/>
  <c r="BB81"/>
  <c r="BC81"/>
  <c r="BD81"/>
  <c r="BE81"/>
  <c r="BF81"/>
  <c r="BG81"/>
  <c r="BH81"/>
  <c r="BI81"/>
  <c r="BJ81"/>
  <c r="BK81"/>
  <c r="BA81"/>
  <c r="BL81"/>
  <c r="AZ81"/>
  <c r="BB82"/>
  <c r="BC82"/>
  <c r="BD82"/>
  <c r="BE82"/>
  <c r="BF82"/>
  <c r="BG82"/>
  <c r="BH82"/>
  <c r="BI82"/>
  <c r="BJ82"/>
  <c r="BK82"/>
  <c r="BA82"/>
  <c r="BL82"/>
  <c r="AZ82"/>
  <c r="BB83"/>
  <c r="BC83"/>
  <c r="BD83"/>
  <c r="BE83"/>
  <c r="BF83"/>
  <c r="BG83"/>
  <c r="BH83"/>
  <c r="BI83"/>
  <c r="BJ83"/>
  <c r="BK83"/>
  <c r="BA83"/>
  <c r="BL83"/>
  <c r="AZ83"/>
  <c r="BB84"/>
  <c r="BC84"/>
  <c r="BD84"/>
  <c r="BE84"/>
  <c r="BF84"/>
  <c r="BG84"/>
  <c r="BH84"/>
  <c r="BI84"/>
  <c r="BJ84"/>
  <c r="BK84"/>
  <c r="BA84"/>
  <c r="BL84"/>
  <c r="AZ84"/>
  <c r="BB85"/>
  <c r="BC85"/>
  <c r="BD85"/>
  <c r="BE85"/>
  <c r="BF85"/>
  <c r="BG85"/>
  <c r="BH85"/>
  <c r="BI85"/>
  <c r="BJ85"/>
  <c r="BK85"/>
  <c r="BA85"/>
  <c r="BL85"/>
  <c r="AZ85"/>
  <c r="BB86"/>
  <c r="BC86"/>
  <c r="BD86"/>
  <c r="BE86"/>
  <c r="BF86"/>
  <c r="BG86"/>
  <c r="BH86"/>
  <c r="BI86"/>
  <c r="BJ86"/>
  <c r="BK86"/>
  <c r="BA86"/>
  <c r="BL86"/>
  <c r="AZ86"/>
  <c r="BB87"/>
  <c r="BC87"/>
  <c r="BD87"/>
  <c r="BE87"/>
  <c r="BF87"/>
  <c r="BG87"/>
  <c r="BH87"/>
  <c r="BI87"/>
  <c r="BJ87"/>
  <c r="BK87"/>
  <c r="BA87"/>
  <c r="BL87"/>
  <c r="AZ87"/>
  <c r="BB88"/>
  <c r="BC88"/>
  <c r="BD88"/>
  <c r="BE88"/>
  <c r="BF88"/>
  <c r="BG88"/>
  <c r="BH88"/>
  <c r="BI88"/>
  <c r="BJ88"/>
  <c r="BK88"/>
  <c r="BA88"/>
  <c r="BL88"/>
  <c r="AZ88"/>
  <c r="BB89"/>
  <c r="BC89"/>
  <c r="BD89"/>
  <c r="BE89"/>
  <c r="BF89"/>
  <c r="BG89"/>
  <c r="BH89"/>
  <c r="BI89"/>
  <c r="BJ89"/>
  <c r="BK89"/>
  <c r="BA89"/>
  <c r="BL89"/>
  <c r="AZ89"/>
  <c r="BB90"/>
  <c r="BC90"/>
  <c r="BD90"/>
  <c r="BE90"/>
  <c r="BF90"/>
  <c r="BG90"/>
  <c r="BH90"/>
  <c r="BI90"/>
  <c r="BJ90"/>
  <c r="BK90"/>
  <c r="BA90"/>
  <c r="BL90"/>
  <c r="AZ90"/>
  <c r="BB91"/>
  <c r="BC91"/>
  <c r="BD91"/>
  <c r="BE91"/>
  <c r="BF91"/>
  <c r="BG91"/>
  <c r="BH91"/>
  <c r="BI91"/>
  <c r="BJ91"/>
  <c r="BK91"/>
  <c r="BA91"/>
  <c r="BL91"/>
  <c r="AZ91"/>
  <c r="BB92"/>
  <c r="BC92"/>
  <c r="BD92"/>
  <c r="BE92"/>
  <c r="BF92"/>
  <c r="BG92"/>
  <c r="BH92"/>
  <c r="BI92"/>
  <c r="BJ92"/>
  <c r="BK92"/>
  <c r="BA92"/>
  <c r="BL92"/>
  <c r="AZ92"/>
  <c r="BB93"/>
  <c r="BC93"/>
  <c r="BD93"/>
  <c r="BE93"/>
  <c r="BF93"/>
  <c r="BG93"/>
  <c r="BH93"/>
  <c r="BI93"/>
  <c r="BJ93"/>
  <c r="BK93"/>
  <c r="BA93"/>
  <c r="BL93"/>
  <c r="AZ93"/>
  <c r="BB94"/>
  <c r="BC94"/>
  <c r="BD94"/>
  <c r="BE94"/>
  <c r="BF94"/>
  <c r="BG94"/>
  <c r="BH94"/>
  <c r="BI94"/>
  <c r="BJ94"/>
  <c r="BK94"/>
  <c r="BA94"/>
  <c r="BL94"/>
  <c r="AZ94"/>
  <c r="BB95"/>
  <c r="BC95"/>
  <c r="BD95"/>
  <c r="BE95"/>
  <c r="BF95"/>
  <c r="BG95"/>
  <c r="BH95"/>
  <c r="BI95"/>
  <c r="BJ95"/>
  <c r="BK95"/>
  <c r="BA95"/>
  <c r="BL95"/>
  <c r="AZ95"/>
  <c r="BB96"/>
  <c r="BC96"/>
  <c r="BD96"/>
  <c r="BE96"/>
  <c r="BF96"/>
  <c r="BG96"/>
  <c r="BH96"/>
  <c r="BI96"/>
  <c r="BJ96"/>
  <c r="BK96"/>
  <c r="BA96"/>
  <c r="BL96"/>
  <c r="AZ96"/>
  <c r="BB97"/>
  <c r="BC97"/>
  <c r="BD97"/>
  <c r="BE97"/>
  <c r="BF97"/>
  <c r="BG97"/>
  <c r="BH97"/>
  <c r="BI97"/>
  <c r="BJ97"/>
  <c r="BK97"/>
  <c r="BA97"/>
  <c r="BL97"/>
  <c r="AZ97"/>
  <c r="BB98"/>
  <c r="BC98"/>
  <c r="BD98"/>
  <c r="BE98"/>
  <c r="BF98"/>
  <c r="BG98"/>
  <c r="BH98"/>
  <c r="BI98"/>
  <c r="BJ98"/>
  <c r="BK98"/>
  <c r="BA98"/>
  <c r="BL98"/>
  <c r="AZ98"/>
  <c r="BB99"/>
  <c r="BC99"/>
  <c r="BD99"/>
  <c r="BE99"/>
  <c r="BF99"/>
  <c r="BG99"/>
  <c r="BH99"/>
  <c r="BI99"/>
  <c r="BJ99"/>
  <c r="BK99"/>
  <c r="BA99"/>
  <c r="BL99"/>
  <c r="AZ99"/>
  <c r="BB100"/>
  <c r="BC100"/>
  <c r="BD100"/>
  <c r="BE100"/>
  <c r="BF100"/>
  <c r="BG100"/>
  <c r="BH100"/>
  <c r="BI100"/>
  <c r="BJ100"/>
  <c r="BK100"/>
  <c r="BA100"/>
  <c r="BL100"/>
  <c r="AZ100"/>
  <c r="BB101"/>
  <c r="BC101"/>
  <c r="BD101"/>
  <c r="BE101"/>
  <c r="BF101"/>
  <c r="BG101"/>
  <c r="BH101"/>
  <c r="BI101"/>
  <c r="BJ101"/>
  <c r="BK101"/>
  <c r="BA101"/>
  <c r="BL101"/>
  <c r="AZ101"/>
  <c r="BB102"/>
  <c r="BC102"/>
  <c r="BD102"/>
  <c r="BE102"/>
  <c r="BF102"/>
  <c r="BG102"/>
  <c r="BH102"/>
  <c r="BI102"/>
  <c r="BJ102"/>
  <c r="BK102"/>
  <c r="BA102"/>
  <c r="BL102"/>
  <c r="AZ102"/>
  <c r="BB103"/>
  <c r="BC103"/>
  <c r="BD103"/>
  <c r="BE103"/>
  <c r="BF103"/>
  <c r="BG103"/>
  <c r="BH103"/>
  <c r="BI103"/>
  <c r="BJ103"/>
  <c r="BK103"/>
  <c r="BA103"/>
  <c r="BL103"/>
  <c r="AZ103"/>
  <c r="BB104"/>
  <c r="BC104"/>
  <c r="BD104"/>
  <c r="BE104"/>
  <c r="BF104"/>
  <c r="BG104"/>
  <c r="BH104"/>
  <c r="BI104"/>
  <c r="BJ104"/>
  <c r="BK104"/>
  <c r="BA104"/>
  <c r="BL104"/>
  <c r="AZ104"/>
  <c r="BB105"/>
  <c r="BC105"/>
  <c r="BD105"/>
  <c r="BE105"/>
  <c r="BF105"/>
  <c r="BG105"/>
  <c r="BH105"/>
  <c r="BI105"/>
  <c r="BJ105"/>
  <c r="BK105"/>
  <c r="BA105"/>
  <c r="BL105"/>
  <c r="AZ105"/>
  <c r="BB106"/>
  <c r="BC106"/>
  <c r="BD106"/>
  <c r="BE106"/>
  <c r="BF106"/>
  <c r="BG106"/>
  <c r="BH106"/>
  <c r="BI106"/>
  <c r="BJ106"/>
  <c r="BK106"/>
  <c r="BA106"/>
  <c r="BL106"/>
  <c r="AZ106"/>
  <c r="BB107"/>
  <c r="BC107"/>
  <c r="BD107"/>
  <c r="BE107"/>
  <c r="BF107"/>
  <c r="BG107"/>
  <c r="BH107"/>
  <c r="BI107"/>
  <c r="BJ107"/>
  <c r="BK107"/>
  <c r="BA107"/>
  <c r="BL107"/>
  <c r="AZ107"/>
  <c r="BB108"/>
  <c r="BC108"/>
  <c r="BD108"/>
  <c r="BE108"/>
  <c r="BF108"/>
  <c r="BG108"/>
  <c r="BH108"/>
  <c r="BI108"/>
  <c r="BJ108"/>
  <c r="BK108"/>
  <c r="BA108"/>
  <c r="BL108"/>
  <c r="AZ108"/>
  <c r="BB109"/>
  <c r="BC109"/>
  <c r="BD109"/>
  <c r="BE109"/>
  <c r="BF109"/>
  <c r="BG109"/>
  <c r="BH109"/>
  <c r="BI109"/>
  <c r="BJ109"/>
  <c r="BK109"/>
  <c r="BA109"/>
  <c r="BL109"/>
  <c r="AZ109"/>
  <c r="BB110"/>
  <c r="BC110"/>
  <c r="BD110"/>
  <c r="BE110"/>
  <c r="BF110"/>
  <c r="BG110"/>
  <c r="BH110"/>
  <c r="BI110"/>
  <c r="BJ110"/>
  <c r="BK110"/>
  <c r="BA110"/>
  <c r="BL110"/>
  <c r="AZ110"/>
  <c r="BB111"/>
  <c r="BC111"/>
  <c r="BD111"/>
  <c r="BE111"/>
  <c r="BF111"/>
  <c r="BG111"/>
  <c r="BH111"/>
  <c r="BI111"/>
  <c r="BJ111"/>
  <c r="BK111"/>
  <c r="BA111"/>
  <c r="BL111"/>
  <c r="AZ111"/>
  <c r="BB112"/>
  <c r="BC112"/>
  <c r="BD112"/>
  <c r="BE112"/>
  <c r="BF112"/>
  <c r="BG112"/>
  <c r="BH112"/>
  <c r="BI112"/>
  <c r="BJ112"/>
  <c r="BK112"/>
  <c r="BA112"/>
  <c r="BL112"/>
  <c r="AZ112"/>
  <c r="BB113"/>
  <c r="BC113"/>
  <c r="BD113"/>
  <c r="BE113"/>
  <c r="BF113"/>
  <c r="BG113"/>
  <c r="BH113"/>
  <c r="BI113"/>
  <c r="BJ113"/>
  <c r="BK113"/>
  <c r="BA113"/>
  <c r="BL113"/>
  <c r="AZ113"/>
  <c r="BB114"/>
  <c r="BC114"/>
  <c r="BD114"/>
  <c r="BE114"/>
  <c r="BF114"/>
  <c r="BG114"/>
  <c r="BH114"/>
  <c r="BI114"/>
  <c r="BJ114"/>
  <c r="BK114"/>
  <c r="BA114"/>
  <c r="BL114"/>
  <c r="AZ114"/>
  <c r="BB115"/>
  <c r="BC115"/>
  <c r="BD115"/>
  <c r="BE115"/>
  <c r="BF115"/>
  <c r="BG115"/>
  <c r="BH115"/>
  <c r="BI115"/>
  <c r="BJ115"/>
  <c r="BK115"/>
  <c r="BA115"/>
  <c r="BL115"/>
  <c r="AZ115"/>
  <c r="BB116"/>
  <c r="BC116"/>
  <c r="BD116"/>
  <c r="BE116"/>
  <c r="BF116"/>
  <c r="BG116"/>
  <c r="BH116"/>
  <c r="BI116"/>
  <c r="BJ116"/>
  <c r="BK116"/>
  <c r="BA116"/>
  <c r="BL116"/>
  <c r="AZ116"/>
  <c r="BB117"/>
  <c r="BC117"/>
  <c r="BD117"/>
  <c r="BE117"/>
  <c r="BF117"/>
  <c r="BG117"/>
  <c r="BH117"/>
  <c r="BI117"/>
  <c r="BJ117"/>
  <c r="BK117"/>
  <c r="BA117"/>
  <c r="BL117"/>
  <c r="AZ117"/>
  <c r="BB118"/>
  <c r="BC118"/>
  <c r="BD118"/>
  <c r="BE118"/>
  <c r="BF118"/>
  <c r="BG118"/>
  <c r="BH118"/>
  <c r="BI118"/>
  <c r="BJ118"/>
  <c r="BK118"/>
  <c r="BA118"/>
  <c r="BL118"/>
  <c r="AZ118"/>
  <c r="BB119"/>
  <c r="BC119"/>
  <c r="BD119"/>
  <c r="BE119"/>
  <c r="BF119"/>
  <c r="BG119"/>
  <c r="BH119"/>
  <c r="BI119"/>
  <c r="BJ119"/>
  <c r="BK119"/>
  <c r="BA119"/>
  <c r="BL119"/>
  <c r="AZ119"/>
  <c r="BB120"/>
  <c r="BC120"/>
  <c r="BD120"/>
  <c r="BE120"/>
  <c r="BF120"/>
  <c r="BG120"/>
  <c r="BH120"/>
  <c r="BI120"/>
  <c r="BJ120"/>
  <c r="BK120"/>
  <c r="BA120"/>
  <c r="BL120"/>
  <c r="AZ120"/>
  <c r="BB121"/>
  <c r="BC121"/>
  <c r="BD121"/>
  <c r="BE121"/>
  <c r="BF121"/>
  <c r="BG121"/>
  <c r="BH121"/>
  <c r="BI121"/>
  <c r="BJ121"/>
  <c r="BK121"/>
  <c r="BA121"/>
  <c r="BL121"/>
  <c r="AZ121"/>
  <c r="BB122"/>
  <c r="BC122"/>
  <c r="BD122"/>
  <c r="BE122"/>
  <c r="BF122"/>
  <c r="BG122"/>
  <c r="BH122"/>
  <c r="BI122"/>
  <c r="BJ122"/>
  <c r="BK122"/>
  <c r="BA122"/>
  <c r="BL122"/>
  <c r="AZ122"/>
  <c r="BB123"/>
  <c r="BC123"/>
  <c r="BD123"/>
  <c r="BE123"/>
  <c r="BF123"/>
  <c r="BG123"/>
  <c r="BH123"/>
  <c r="BI123"/>
  <c r="BJ123"/>
  <c r="BK123"/>
  <c r="BA123"/>
  <c r="BL123"/>
  <c r="AZ123"/>
  <c r="BB124"/>
  <c r="BC124"/>
  <c r="BD124"/>
  <c r="BE124"/>
  <c r="BF124"/>
  <c r="BG124"/>
  <c r="BH124"/>
  <c r="BI124"/>
  <c r="BJ124"/>
  <c r="BK124"/>
  <c r="BA124"/>
  <c r="BL124"/>
  <c r="AZ124"/>
  <c r="BB125"/>
  <c r="BC125"/>
  <c r="BD125"/>
  <c r="BE125"/>
  <c r="BF125"/>
  <c r="BG125"/>
  <c r="BH125"/>
  <c r="BI125"/>
  <c r="BJ125"/>
  <c r="BK125"/>
  <c r="BA125"/>
  <c r="BL125"/>
  <c r="AZ125"/>
  <c r="BB126"/>
  <c r="BC126"/>
  <c r="BD126"/>
  <c r="BE126"/>
  <c r="BF126"/>
  <c r="BG126"/>
  <c r="BH126"/>
  <c r="BI126"/>
  <c r="BJ126"/>
  <c r="BK126"/>
  <c r="BA126"/>
  <c r="BL126"/>
  <c r="AZ126"/>
  <c r="BB127"/>
  <c r="BC127"/>
  <c r="BD127"/>
  <c r="BE127"/>
  <c r="BF127"/>
  <c r="BG127"/>
  <c r="BH127"/>
  <c r="BI127"/>
  <c r="BJ127"/>
  <c r="BK127"/>
  <c r="BA127"/>
  <c r="BL127"/>
  <c r="AZ127"/>
  <c r="BB128"/>
  <c r="BC128"/>
  <c r="BD128"/>
  <c r="BE128"/>
  <c r="BF128"/>
  <c r="BG128"/>
  <c r="BH128"/>
  <c r="BI128"/>
  <c r="BJ128"/>
  <c r="BK128"/>
  <c r="BA128"/>
  <c r="BL128"/>
  <c r="AZ128"/>
  <c r="BB129"/>
  <c r="BC129"/>
  <c r="BD129"/>
  <c r="BE129"/>
  <c r="BF129"/>
  <c r="BG129"/>
  <c r="BH129"/>
  <c r="BI129"/>
  <c r="BJ129"/>
  <c r="BK129"/>
  <c r="BA129"/>
  <c r="BL129"/>
  <c r="AZ129"/>
  <c r="BB130"/>
  <c r="BC130"/>
  <c r="BD130"/>
  <c r="BE130"/>
  <c r="BF130"/>
  <c r="BG130"/>
  <c r="BH130"/>
  <c r="BI130"/>
  <c r="BJ130"/>
  <c r="BK130"/>
  <c r="BA130"/>
  <c r="BL130"/>
  <c r="AZ130"/>
  <c r="BB131"/>
  <c r="BC131"/>
  <c r="BD131"/>
  <c r="BE131"/>
  <c r="BF131"/>
  <c r="BG131"/>
  <c r="BH131"/>
  <c r="BI131"/>
  <c r="BJ131"/>
  <c r="BK131"/>
  <c r="BA131"/>
  <c r="BL131"/>
  <c r="AZ131"/>
  <c r="BB132"/>
  <c r="BC132"/>
  <c r="BD132"/>
  <c r="BE132"/>
  <c r="BF132"/>
  <c r="BG132"/>
  <c r="BH132"/>
  <c r="BI132"/>
  <c r="BJ132"/>
  <c r="BK132"/>
  <c r="BA132"/>
  <c r="BL132"/>
  <c r="AZ132"/>
  <c r="BB133"/>
  <c r="BC133"/>
  <c r="BD133"/>
  <c r="BE133"/>
  <c r="BF133"/>
  <c r="BG133"/>
  <c r="BH133"/>
  <c r="BI133"/>
  <c r="BJ133"/>
  <c r="BK133"/>
  <c r="BA133"/>
  <c r="BL133"/>
  <c r="AZ133"/>
  <c r="BB134"/>
  <c r="BC134"/>
  <c r="BD134"/>
  <c r="BE134"/>
  <c r="BF134"/>
  <c r="BG134"/>
  <c r="BH134"/>
  <c r="BI134"/>
  <c r="BJ134"/>
  <c r="BK134"/>
  <c r="BA134"/>
  <c r="BL134"/>
  <c r="AZ134"/>
  <c r="BB135"/>
  <c r="BC135"/>
  <c r="BD135"/>
  <c r="BE135"/>
  <c r="BF135"/>
  <c r="BG135"/>
  <c r="BH135"/>
  <c r="BI135"/>
  <c r="BJ135"/>
  <c r="BK135"/>
  <c r="BA135"/>
  <c r="BL135"/>
  <c r="AZ135"/>
  <c r="BB136"/>
  <c r="BC136"/>
  <c r="BD136"/>
  <c r="BE136"/>
  <c r="BF136"/>
  <c r="BG136"/>
  <c r="BH136"/>
  <c r="BI136"/>
  <c r="BJ136"/>
  <c r="BK136"/>
  <c r="BA136"/>
  <c r="BL136"/>
  <c r="AZ136"/>
  <c r="BB137"/>
  <c r="BC137"/>
  <c r="BD137"/>
  <c r="BE137"/>
  <c r="BF137"/>
  <c r="BG137"/>
  <c r="BH137"/>
  <c r="BI137"/>
  <c r="BJ137"/>
  <c r="BK137"/>
  <c r="BA137"/>
  <c r="BL137"/>
  <c r="AZ137"/>
  <c r="BB138"/>
  <c r="BC138"/>
  <c r="BD138"/>
  <c r="BE138"/>
  <c r="BF138"/>
  <c r="BG138"/>
  <c r="BH138"/>
  <c r="BI138"/>
  <c r="BJ138"/>
  <c r="BK138"/>
  <c r="BA138"/>
  <c r="BL138"/>
  <c r="AZ138"/>
  <c r="BB139"/>
  <c r="BC139"/>
  <c r="BD139"/>
  <c r="BE139"/>
  <c r="BF139"/>
  <c r="BG139"/>
  <c r="BH139"/>
  <c r="BI139"/>
  <c r="BJ139"/>
  <c r="BK139"/>
  <c r="BA139"/>
  <c r="BL139"/>
  <c r="AZ139"/>
  <c r="BB140"/>
  <c r="BC140"/>
  <c r="BD140"/>
  <c r="BE140"/>
  <c r="BF140"/>
  <c r="BG140"/>
  <c r="BH140"/>
  <c r="BI140"/>
  <c r="BJ140"/>
  <c r="BK140"/>
  <c r="BA140"/>
  <c r="BL140"/>
  <c r="AZ140"/>
  <c r="BB141"/>
  <c r="BC141"/>
  <c r="BD141"/>
  <c r="BE141"/>
  <c r="BF141"/>
  <c r="BG141"/>
  <c r="BH141"/>
  <c r="BI141"/>
  <c r="BJ141"/>
  <c r="BK141"/>
  <c r="BA141"/>
  <c r="BL141"/>
  <c r="AZ141"/>
  <c r="BB142"/>
  <c r="BC142"/>
  <c r="BD142"/>
  <c r="BE142"/>
  <c r="BF142"/>
  <c r="BG142"/>
  <c r="BH142"/>
  <c r="BI142"/>
  <c r="BJ142"/>
  <c r="BK142"/>
  <c r="BA142"/>
  <c r="BL142"/>
  <c r="AZ142"/>
  <c r="BB143"/>
  <c r="BC143"/>
  <c r="BD143"/>
  <c r="BE143"/>
  <c r="BF143"/>
  <c r="BG143"/>
  <c r="BH143"/>
  <c r="BI143"/>
  <c r="BJ143"/>
  <c r="BK143"/>
  <c r="BA143"/>
  <c r="BL143"/>
  <c r="AZ143"/>
  <c r="BB144"/>
  <c r="BC144"/>
  <c r="BD144"/>
  <c r="BE144"/>
  <c r="BF144"/>
  <c r="BG144"/>
  <c r="BH144"/>
  <c r="BI144"/>
  <c r="BJ144"/>
  <c r="BK144"/>
  <c r="BA144"/>
  <c r="BL144"/>
  <c r="AZ144"/>
  <c r="BB145"/>
  <c r="BC145"/>
  <c r="BD145"/>
  <c r="BE145"/>
  <c r="BF145"/>
  <c r="BG145"/>
  <c r="BH145"/>
  <c r="BI145"/>
  <c r="BJ145"/>
  <c r="BK145"/>
  <c r="BA145"/>
  <c r="BL145"/>
  <c r="AZ145"/>
  <c r="BB146"/>
  <c r="BC146"/>
  <c r="BD146"/>
  <c r="BE146"/>
  <c r="BF146"/>
  <c r="BG146"/>
  <c r="BH146"/>
  <c r="BI146"/>
  <c r="BJ146"/>
  <c r="BK146"/>
  <c r="BA146"/>
  <c r="BL146"/>
  <c r="AZ146"/>
  <c r="BB147"/>
  <c r="BC147"/>
  <c r="BD147"/>
  <c r="BE147"/>
  <c r="BF147"/>
  <c r="BG147"/>
  <c r="BH147"/>
  <c r="BI147"/>
  <c r="BJ147"/>
  <c r="BK147"/>
  <c r="BA147"/>
  <c r="BL147"/>
  <c r="AZ147"/>
  <c r="BB148"/>
  <c r="BC148"/>
  <c r="BD148"/>
  <c r="BE148"/>
  <c r="BF148"/>
  <c r="BG148"/>
  <c r="BH148"/>
  <c r="BI148"/>
  <c r="BJ148"/>
  <c r="BK148"/>
  <c r="BA148"/>
  <c r="BL148"/>
  <c r="AZ148"/>
  <c r="BB149"/>
  <c r="BC149"/>
  <c r="BD149"/>
  <c r="BE149"/>
  <c r="BF149"/>
  <c r="BG149"/>
  <c r="BH149"/>
  <c r="BI149"/>
  <c r="BJ149"/>
  <c r="BK149"/>
  <c r="BA149"/>
  <c r="BL149"/>
  <c r="AZ149"/>
  <c r="BB150"/>
  <c r="BC150"/>
  <c r="BD150"/>
  <c r="BE150"/>
  <c r="BF150"/>
  <c r="BG150"/>
  <c r="BH150"/>
  <c r="BI150"/>
  <c r="BJ150"/>
  <c r="BK150"/>
  <c r="BA150"/>
  <c r="BL150"/>
  <c r="AZ150"/>
  <c r="BB151"/>
  <c r="BC151"/>
  <c r="BD151"/>
  <c r="BE151"/>
  <c r="BF151"/>
  <c r="BG151"/>
  <c r="BH151"/>
  <c r="BI151"/>
  <c r="BJ151"/>
  <c r="BK151"/>
  <c r="BA151"/>
  <c r="BL151"/>
  <c r="AZ151"/>
  <c r="BB152"/>
  <c r="BC152"/>
  <c r="BD152"/>
  <c r="BE152"/>
  <c r="BF152"/>
  <c r="BG152"/>
  <c r="BH152"/>
  <c r="BI152"/>
  <c r="BJ152"/>
  <c r="BK152"/>
  <c r="BA152"/>
  <c r="BL152"/>
  <c r="AZ152"/>
  <c r="BB153"/>
  <c r="BC153"/>
  <c r="BD153"/>
  <c r="BE153"/>
  <c r="BF153"/>
  <c r="BG153"/>
  <c r="BH153"/>
  <c r="BI153"/>
  <c r="BJ153"/>
  <c r="BK153"/>
  <c r="BA153"/>
  <c r="BL153"/>
  <c r="AZ153"/>
  <c r="BB154"/>
  <c r="BC154"/>
  <c r="BD154"/>
  <c r="BE154"/>
  <c r="BF154"/>
  <c r="BG154"/>
  <c r="BH154"/>
  <c r="BI154"/>
  <c r="BJ154"/>
  <c r="BK154"/>
  <c r="BA154"/>
  <c r="BL154"/>
  <c r="AZ154"/>
  <c r="BB155"/>
  <c r="BC155"/>
  <c r="BD155"/>
  <c r="BE155"/>
  <c r="BF155"/>
  <c r="BG155"/>
  <c r="BH155"/>
  <c r="BI155"/>
  <c r="BJ155"/>
  <c r="BK155"/>
  <c r="BA155"/>
  <c r="BL155"/>
  <c r="AZ155"/>
  <c r="BB156"/>
  <c r="BC156"/>
  <c r="BD156"/>
  <c r="BE156"/>
  <c r="BF156"/>
  <c r="BG156"/>
  <c r="BH156"/>
  <c r="BI156"/>
  <c r="BJ156"/>
  <c r="BK156"/>
  <c r="BA156"/>
  <c r="BL156"/>
  <c r="AZ156"/>
  <c r="BB157"/>
  <c r="BC157"/>
  <c r="BD157"/>
  <c r="BE157"/>
  <c r="BF157"/>
  <c r="BG157"/>
  <c r="BH157"/>
  <c r="BI157"/>
  <c r="BJ157"/>
  <c r="BK157"/>
  <c r="BA157"/>
  <c r="BL157"/>
  <c r="AZ157"/>
  <c r="BB158"/>
  <c r="BC158"/>
  <c r="BD158"/>
  <c r="BE158"/>
  <c r="BF158"/>
  <c r="BG158"/>
  <c r="BH158"/>
  <c r="BI158"/>
  <c r="BJ158"/>
  <c r="BK158"/>
  <c r="BA158"/>
  <c r="BL158"/>
  <c r="AZ158"/>
  <c r="BB159"/>
  <c r="BC159"/>
  <c r="BD159"/>
  <c r="BE159"/>
  <c r="BF159"/>
  <c r="BG159"/>
  <c r="BH159"/>
  <c r="BI159"/>
  <c r="BJ159"/>
  <c r="BK159"/>
  <c r="BA159"/>
  <c r="BL159"/>
  <c r="AZ159"/>
  <c r="BB160"/>
  <c r="BC160"/>
  <c r="BD160"/>
  <c r="BE160"/>
  <c r="BF160"/>
  <c r="BG160"/>
  <c r="BH160"/>
  <c r="BI160"/>
  <c r="BJ160"/>
  <c r="BK160"/>
  <c r="BA160"/>
  <c r="BL160"/>
  <c r="AZ160"/>
  <c r="BB161"/>
  <c r="BC161"/>
  <c r="BD161"/>
  <c r="BE161"/>
  <c r="BF161"/>
  <c r="BG161"/>
  <c r="BH161"/>
  <c r="BI161"/>
  <c r="BJ161"/>
  <c r="BK161"/>
  <c r="BA161"/>
  <c r="BL161"/>
  <c r="AZ161"/>
  <c r="BB162"/>
  <c r="BC162"/>
  <c r="BD162"/>
  <c r="BE162"/>
  <c r="BF162"/>
  <c r="BG162"/>
  <c r="BH162"/>
  <c r="BI162"/>
  <c r="BJ162"/>
  <c r="BK162"/>
  <c r="BA162"/>
  <c r="BL162"/>
  <c r="AZ162"/>
  <c r="BB163"/>
  <c r="BC163"/>
  <c r="BD163"/>
  <c r="BE163"/>
  <c r="BF163"/>
  <c r="BG163"/>
  <c r="BH163"/>
  <c r="BI163"/>
  <c r="BJ163"/>
  <c r="BK163"/>
  <c r="BA163"/>
  <c r="BL163"/>
  <c r="AZ163"/>
  <c r="BB164"/>
  <c r="BC164"/>
  <c r="BD164"/>
  <c r="BE164"/>
  <c r="BF164"/>
  <c r="BG164"/>
  <c r="BH164"/>
  <c r="BI164"/>
  <c r="BJ164"/>
  <c r="BK164"/>
  <c r="BA164"/>
  <c r="BL164"/>
  <c r="AZ164"/>
  <c r="BB165"/>
  <c r="BC165"/>
  <c r="BD165"/>
  <c r="BE165"/>
  <c r="BF165"/>
  <c r="BG165"/>
  <c r="BH165"/>
  <c r="BI165"/>
  <c r="BJ165"/>
  <c r="BK165"/>
  <c r="BA165"/>
  <c r="BL165"/>
  <c r="AZ165"/>
  <c r="BB166"/>
  <c r="BC166"/>
  <c r="BD166"/>
  <c r="BE166"/>
  <c r="BF166"/>
  <c r="BG166"/>
  <c r="BH166"/>
  <c r="BI166"/>
  <c r="BJ166"/>
  <c r="BK166"/>
  <c r="BA166"/>
  <c r="BL166"/>
  <c r="AZ166"/>
  <c r="BB167"/>
  <c r="BC167"/>
  <c r="BD167"/>
  <c r="BE167"/>
  <c r="BF167"/>
  <c r="BG167"/>
  <c r="BH167"/>
  <c r="BI167"/>
  <c r="BJ167"/>
  <c r="BK167"/>
  <c r="BA167"/>
  <c r="BL167"/>
  <c r="AZ167"/>
  <c r="BB168"/>
  <c r="BC168"/>
  <c r="BD168"/>
  <c r="BE168"/>
  <c r="BF168"/>
  <c r="BG168"/>
  <c r="BH168"/>
  <c r="BI168"/>
  <c r="BJ168"/>
  <c r="BK168"/>
  <c r="BA168"/>
  <c r="BL168"/>
  <c r="AZ168"/>
  <c r="BB169"/>
  <c r="BC169"/>
  <c r="BD169"/>
  <c r="BE169"/>
  <c r="BF169"/>
  <c r="BG169"/>
  <c r="BH169"/>
  <c r="BI169"/>
  <c r="BJ169"/>
  <c r="BK169"/>
  <c r="BA169"/>
  <c r="BL169"/>
  <c r="AZ169"/>
  <c r="BB170"/>
  <c r="BC170"/>
  <c r="BD170"/>
  <c r="BE170"/>
  <c r="BF170"/>
  <c r="BG170"/>
  <c r="BH170"/>
  <c r="BI170"/>
  <c r="BJ170"/>
  <c r="BK170"/>
  <c r="BA170"/>
  <c r="BL170"/>
  <c r="AZ170"/>
  <c r="BB171"/>
  <c r="BC171"/>
  <c r="BD171"/>
  <c r="BE171"/>
  <c r="BF171"/>
  <c r="BG171"/>
  <c r="BH171"/>
  <c r="BI171"/>
  <c r="BJ171"/>
  <c r="BK171"/>
  <c r="BA171"/>
  <c r="BL171"/>
  <c r="AZ171"/>
  <c r="BB172"/>
  <c r="BC172"/>
  <c r="BD172"/>
  <c r="BE172"/>
  <c r="BF172"/>
  <c r="BG172"/>
  <c r="BH172"/>
  <c r="BI172"/>
  <c r="BJ172"/>
  <c r="BK172"/>
  <c r="BA172"/>
  <c r="BL172"/>
  <c r="AZ172"/>
  <c r="BB173"/>
  <c r="BC173"/>
  <c r="BD173"/>
  <c r="BE173"/>
  <c r="BF173"/>
  <c r="BG173"/>
  <c r="BH173"/>
  <c r="BI173"/>
  <c r="BJ173"/>
  <c r="BK173"/>
  <c r="BA173"/>
  <c r="BL173"/>
  <c r="AZ173"/>
  <c r="BB174"/>
  <c r="BC174"/>
  <c r="BD174"/>
  <c r="BE174"/>
  <c r="BF174"/>
  <c r="BG174"/>
  <c r="BH174"/>
  <c r="BI174"/>
  <c r="BJ174"/>
  <c r="BK174"/>
  <c r="BA174"/>
  <c r="BL174"/>
  <c r="AZ174"/>
  <c r="BB175"/>
  <c r="BC175"/>
  <c r="BD175"/>
  <c r="BE175"/>
  <c r="BF175"/>
  <c r="BG175"/>
  <c r="BH175"/>
  <c r="BI175"/>
  <c r="BJ175"/>
  <c r="BK175"/>
  <c r="BA175"/>
  <c r="BL175"/>
  <c r="AZ175"/>
  <c r="BB176"/>
  <c r="BC176"/>
  <c r="BD176"/>
  <c r="BE176"/>
  <c r="BF176"/>
  <c r="BG176"/>
  <c r="BH176"/>
  <c r="BI176"/>
  <c r="BJ176"/>
  <c r="BK176"/>
  <c r="BA176"/>
  <c r="BL176"/>
  <c r="AZ176"/>
  <c r="BB177"/>
  <c r="BC177"/>
  <c r="BD177"/>
  <c r="BE177"/>
  <c r="BF177"/>
  <c r="BG177"/>
  <c r="BH177"/>
  <c r="BI177"/>
  <c r="BJ177"/>
  <c r="BK177"/>
  <c r="BA177"/>
  <c r="BL177"/>
  <c r="AZ177"/>
  <c r="BB178"/>
  <c r="BC178"/>
  <c r="BD178"/>
  <c r="BE178"/>
  <c r="BF178"/>
  <c r="BG178"/>
  <c r="BH178"/>
  <c r="BI178"/>
  <c r="BJ178"/>
  <c r="BK178"/>
  <c r="BA178"/>
  <c r="BL178"/>
  <c r="AZ178"/>
  <c r="BB179"/>
  <c r="BC179"/>
  <c r="BD179"/>
  <c r="BE179"/>
  <c r="BF179"/>
  <c r="BG179"/>
  <c r="BH179"/>
  <c r="BI179"/>
  <c r="BJ179"/>
  <c r="BK179"/>
  <c r="BA179"/>
  <c r="BL179"/>
  <c r="AZ179"/>
  <c r="BB180"/>
  <c r="BC180"/>
  <c r="BD180"/>
  <c r="BE180"/>
  <c r="BF180"/>
  <c r="BG180"/>
  <c r="BH180"/>
  <c r="BI180"/>
  <c r="BJ180"/>
  <c r="BK180"/>
  <c r="BA180"/>
  <c r="BL180"/>
  <c r="AZ180"/>
  <c r="BB181"/>
  <c r="BC181"/>
  <c r="BD181"/>
  <c r="BE181"/>
  <c r="BF181"/>
  <c r="BG181"/>
  <c r="BH181"/>
  <c r="BI181"/>
  <c r="BJ181"/>
  <c r="BK181"/>
  <c r="BA181"/>
  <c r="BL181"/>
  <c r="AZ181"/>
  <c r="BB182"/>
  <c r="BC182"/>
  <c r="BD182"/>
  <c r="BE182"/>
  <c r="BF182"/>
  <c r="BG182"/>
  <c r="BH182"/>
  <c r="BI182"/>
  <c r="BJ182"/>
  <c r="BK182"/>
  <c r="BA182"/>
  <c r="BL182"/>
  <c r="AZ182"/>
  <c r="BB183"/>
  <c r="BC183"/>
  <c r="BD183"/>
  <c r="BE183"/>
  <c r="BF183"/>
  <c r="BG183"/>
  <c r="BH183"/>
  <c r="BI183"/>
  <c r="BJ183"/>
  <c r="BK183"/>
  <c r="BA183"/>
  <c r="BL183"/>
  <c r="AZ183"/>
  <c r="BB184"/>
  <c r="BC184"/>
  <c r="BD184"/>
  <c r="BE184"/>
  <c r="BF184"/>
  <c r="BG184"/>
  <c r="BH184"/>
  <c r="BI184"/>
  <c r="BJ184"/>
  <c r="BK184"/>
  <c r="BA184"/>
  <c r="BL184"/>
  <c r="AZ184"/>
  <c r="BB185"/>
  <c r="BC185"/>
  <c r="BD185"/>
  <c r="BE185"/>
  <c r="BF185"/>
  <c r="BG185"/>
  <c r="BH185"/>
  <c r="BI185"/>
  <c r="BJ185"/>
  <c r="BK185"/>
  <c r="BA185"/>
  <c r="BL185"/>
  <c r="AZ185"/>
  <c r="BB186"/>
  <c r="BC186"/>
  <c r="BD186"/>
  <c r="BE186"/>
  <c r="BF186"/>
  <c r="BG186"/>
  <c r="BH186"/>
  <c r="BI186"/>
  <c r="BJ186"/>
  <c r="BK186"/>
  <c r="BA186"/>
  <c r="BL186"/>
  <c r="AZ186"/>
  <c r="BB187"/>
  <c r="BC187"/>
  <c r="BD187"/>
  <c r="BE187"/>
  <c r="BF187"/>
  <c r="BG187"/>
  <c r="BH187"/>
  <c r="BI187"/>
  <c r="BJ187"/>
  <c r="BK187"/>
  <c r="BA187"/>
  <c r="BL187"/>
  <c r="AZ187"/>
  <c r="BB188"/>
  <c r="BC188"/>
  <c r="BD188"/>
  <c r="BE188"/>
  <c r="BF188"/>
  <c r="BG188"/>
  <c r="BH188"/>
  <c r="BI188"/>
  <c r="BJ188"/>
  <c r="BK188"/>
  <c r="BA188"/>
  <c r="BL188"/>
  <c r="AZ188"/>
  <c r="BB189"/>
  <c r="BC189"/>
  <c r="BD189"/>
  <c r="BE189"/>
  <c r="BF189"/>
  <c r="BG189"/>
  <c r="BH189"/>
  <c r="BI189"/>
  <c r="BJ189"/>
  <c r="BK189"/>
  <c r="BA189"/>
  <c r="BL189"/>
  <c r="AZ189"/>
  <c r="BB190"/>
  <c r="BC190"/>
  <c r="BD190"/>
  <c r="BE190"/>
  <c r="BF190"/>
  <c r="BG190"/>
  <c r="BH190"/>
  <c r="BI190"/>
  <c r="BJ190"/>
  <c r="BK190"/>
  <c r="BA190"/>
  <c r="BL190"/>
  <c r="AZ190"/>
  <c r="BB191"/>
  <c r="BC191"/>
  <c r="BD191"/>
  <c r="BE191"/>
  <c r="BF191"/>
  <c r="BG191"/>
  <c r="BH191"/>
  <c r="BI191"/>
  <c r="BJ191"/>
  <c r="BK191"/>
  <c r="BA191"/>
  <c r="BL191"/>
  <c r="AZ191"/>
  <c r="BB192"/>
  <c r="BC192"/>
  <c r="BD192"/>
  <c r="BE192"/>
  <c r="BF192"/>
  <c r="BG192"/>
  <c r="BH192"/>
  <c r="BI192"/>
  <c r="BJ192"/>
  <c r="BK192"/>
  <c r="BA192"/>
  <c r="BL192"/>
  <c r="AZ192"/>
  <c r="BB193"/>
  <c r="BC193"/>
  <c r="BD193"/>
  <c r="BE193"/>
  <c r="BF193"/>
  <c r="BG193"/>
  <c r="BH193"/>
  <c r="BI193"/>
  <c r="BJ193"/>
  <c r="BK193"/>
  <c r="BA193"/>
  <c r="BL193"/>
  <c r="AZ193"/>
  <c r="BB194"/>
  <c r="BC194"/>
  <c r="BD194"/>
  <c r="BE194"/>
  <c r="BF194"/>
  <c r="BG194"/>
  <c r="BH194"/>
  <c r="BI194"/>
  <c r="BJ194"/>
  <c r="BK194"/>
  <c r="BA194"/>
  <c r="BL194"/>
  <c r="AZ194"/>
  <c r="BB195"/>
  <c r="BC195"/>
  <c r="BD195"/>
  <c r="BE195"/>
  <c r="BF195"/>
  <c r="BG195"/>
  <c r="BH195"/>
  <c r="BI195"/>
  <c r="BJ195"/>
  <c r="BK195"/>
  <c r="BA195"/>
  <c r="BL195"/>
  <c r="AZ195"/>
  <c r="BB196"/>
  <c r="BC196"/>
  <c r="BD196"/>
  <c r="BE196"/>
  <c r="BF196"/>
  <c r="BG196"/>
  <c r="BH196"/>
  <c r="BI196"/>
  <c r="BJ196"/>
  <c r="BK196"/>
  <c r="BA196"/>
  <c r="BL196"/>
  <c r="AZ196"/>
  <c r="BB197"/>
  <c r="BC197"/>
  <c r="BD197"/>
  <c r="BE197"/>
  <c r="BF197"/>
  <c r="BG197"/>
  <c r="BH197"/>
  <c r="BI197"/>
  <c r="BJ197"/>
  <c r="BK197"/>
  <c r="BA197"/>
  <c r="BL197"/>
  <c r="AZ197"/>
  <c r="BB198"/>
  <c r="BC198"/>
  <c r="BD198"/>
  <c r="BE198"/>
  <c r="BF198"/>
  <c r="BG198"/>
  <c r="BH198"/>
  <c r="BI198"/>
  <c r="BJ198"/>
  <c r="BK198"/>
  <c r="BA198"/>
  <c r="BL198"/>
  <c r="AZ198"/>
  <c r="BB199"/>
  <c r="BC199"/>
  <c r="BD199"/>
  <c r="BE199"/>
  <c r="BF199"/>
  <c r="BG199"/>
  <c r="BH199"/>
  <c r="BI199"/>
  <c r="BJ199"/>
  <c r="BK199"/>
  <c r="BA199"/>
  <c r="BL199"/>
  <c r="AZ199"/>
  <c r="BB200"/>
  <c r="BC200"/>
  <c r="BD200"/>
  <c r="BE200"/>
  <c r="BF200"/>
  <c r="BG200"/>
  <c r="BH200"/>
  <c r="BI200"/>
  <c r="BJ200"/>
  <c r="BK200"/>
  <c r="BA200"/>
  <c r="BL200"/>
  <c r="AZ200"/>
  <c r="BB201"/>
  <c r="BC201"/>
  <c r="BD201"/>
  <c r="BE201"/>
  <c r="BF201"/>
  <c r="BG201"/>
  <c r="BH201"/>
  <c r="BI201"/>
  <c r="BJ201"/>
  <c r="BK201"/>
  <c r="BA201"/>
  <c r="BL201"/>
  <c r="AZ201"/>
  <c r="BB202"/>
  <c r="BC202"/>
  <c r="BD202"/>
  <c r="BE202"/>
  <c r="BF202"/>
  <c r="BG202"/>
  <c r="BH202"/>
  <c r="BI202"/>
  <c r="BJ202"/>
  <c r="BK202"/>
  <c r="BA202"/>
  <c r="BL202"/>
  <c r="AZ202"/>
  <c r="BB203"/>
  <c r="BC203"/>
  <c r="BD203"/>
  <c r="BE203"/>
  <c r="BF203"/>
  <c r="BG203"/>
  <c r="BH203"/>
  <c r="BI203"/>
  <c r="BJ203"/>
  <c r="BK203"/>
  <c r="BA203"/>
  <c r="BL203"/>
  <c r="AZ203"/>
  <c r="BB204"/>
  <c r="BC204"/>
  <c r="BD204"/>
  <c r="BE204"/>
  <c r="BF204"/>
  <c r="BG204"/>
  <c r="BH204"/>
  <c r="BI204"/>
  <c r="BJ204"/>
  <c r="BK204"/>
  <c r="BA204"/>
  <c r="BL204"/>
  <c r="AZ204"/>
  <c r="BB205"/>
  <c r="BC205"/>
  <c r="BD205"/>
  <c r="BE205"/>
  <c r="BF205"/>
  <c r="BG205"/>
  <c r="BH205"/>
  <c r="BI205"/>
  <c r="BJ205"/>
  <c r="BK205"/>
  <c r="BA205"/>
  <c r="BL205"/>
  <c r="AZ205"/>
  <c r="BB206"/>
  <c r="BC206"/>
  <c r="BD206"/>
  <c r="BE206"/>
  <c r="BF206"/>
  <c r="BG206"/>
  <c r="BH206"/>
  <c r="BI206"/>
  <c r="BJ206"/>
  <c r="BK206"/>
  <c r="BA206"/>
  <c r="BL206"/>
  <c r="AZ206"/>
  <c r="BB207"/>
  <c r="BC207"/>
  <c r="BD207"/>
  <c r="BE207"/>
  <c r="BF207"/>
  <c r="BG207"/>
  <c r="BH207"/>
  <c r="BI207"/>
  <c r="BJ207"/>
  <c r="BK207"/>
  <c r="BA207"/>
  <c r="BL207"/>
  <c r="AZ207"/>
  <c r="BB208"/>
  <c r="BC208"/>
  <c r="BD208"/>
  <c r="BE208"/>
  <c r="BF208"/>
  <c r="BG208"/>
  <c r="BH208"/>
  <c r="BI208"/>
  <c r="BJ208"/>
  <c r="BK208"/>
  <c r="BA208"/>
  <c r="BL208"/>
  <c r="AZ208"/>
  <c r="BB209"/>
  <c r="BC209"/>
  <c r="BD209"/>
  <c r="BE209"/>
  <c r="BF209"/>
  <c r="BG209"/>
  <c r="BH209"/>
  <c r="BI209"/>
  <c r="BJ209"/>
  <c r="BK209"/>
  <c r="BA209"/>
  <c r="BL209"/>
  <c r="AZ209"/>
  <c r="BB210"/>
  <c r="BC210"/>
  <c r="BD210"/>
  <c r="BE210"/>
  <c r="BF210"/>
  <c r="BG210"/>
  <c r="BH210"/>
  <c r="BI210"/>
  <c r="BJ210"/>
  <c r="BK210"/>
  <c r="BA210"/>
  <c r="BL210"/>
  <c r="AZ210"/>
  <c r="BB211"/>
  <c r="BC211"/>
  <c r="BD211"/>
  <c r="BE211"/>
  <c r="BF211"/>
  <c r="BG211"/>
  <c r="BH211"/>
  <c r="BI211"/>
  <c r="BJ211"/>
  <c r="BK211"/>
  <c r="BA211"/>
  <c r="BL211"/>
  <c r="AZ211"/>
  <c r="BB212"/>
  <c r="BC212"/>
  <c r="BD212"/>
  <c r="BE212"/>
  <c r="BF212"/>
  <c r="BG212"/>
  <c r="BH212"/>
  <c r="BI212"/>
  <c r="BJ212"/>
  <c r="BK212"/>
  <c r="BA212"/>
  <c r="BL212"/>
  <c r="AZ212"/>
  <c r="BB213"/>
  <c r="BC213"/>
  <c r="BD213"/>
  <c r="BE213"/>
  <c r="BF213"/>
  <c r="BG213"/>
  <c r="BH213"/>
  <c r="BI213"/>
  <c r="BJ213"/>
  <c r="BK213"/>
  <c r="BA213"/>
  <c r="BL213"/>
  <c r="AZ213"/>
  <c r="BB214"/>
  <c r="BC214"/>
  <c r="BD214"/>
  <c r="BE214"/>
  <c r="BF214"/>
  <c r="BG214"/>
  <c r="BH214"/>
  <c r="BI214"/>
  <c r="BJ214"/>
  <c r="BK214"/>
  <c r="BA214"/>
  <c r="BL214"/>
  <c r="AZ214"/>
  <c r="BB215"/>
  <c r="BC215"/>
  <c r="BD215"/>
  <c r="BE215"/>
  <c r="BF215"/>
  <c r="BG215"/>
  <c r="BH215"/>
  <c r="BI215"/>
  <c r="BJ215"/>
  <c r="BK215"/>
  <c r="BA215"/>
  <c r="BL215"/>
  <c r="AZ215"/>
  <c r="BB216"/>
  <c r="BC216"/>
  <c r="BD216"/>
  <c r="BE216"/>
  <c r="BF216"/>
  <c r="BG216"/>
  <c r="BH216"/>
  <c r="BI216"/>
  <c r="BJ216"/>
  <c r="BK216"/>
  <c r="BA216"/>
  <c r="BL216"/>
  <c r="AZ216"/>
  <c r="BB217"/>
  <c r="BC217"/>
  <c r="BD217"/>
  <c r="BE217"/>
  <c r="BF217"/>
  <c r="BG217"/>
  <c r="BH217"/>
  <c r="BI217"/>
  <c r="BJ217"/>
  <c r="BK217"/>
  <c r="BA217"/>
  <c r="BL217"/>
  <c r="AZ217"/>
  <c r="BB218"/>
  <c r="BC218"/>
  <c r="BD218"/>
  <c r="BE218"/>
  <c r="BF218"/>
  <c r="BG218"/>
  <c r="BH218"/>
  <c r="BI218"/>
  <c r="BJ218"/>
  <c r="BK218"/>
  <c r="BA218"/>
  <c r="BL218"/>
  <c r="AZ218"/>
  <c r="BB219"/>
  <c r="BC219"/>
  <c r="BD219"/>
  <c r="BE219"/>
  <c r="BF219"/>
  <c r="BG219"/>
  <c r="BH219"/>
  <c r="BI219"/>
  <c r="BJ219"/>
  <c r="BK219"/>
  <c r="BA219"/>
  <c r="BL219"/>
  <c r="AZ219"/>
  <c r="BB220"/>
  <c r="BC220"/>
  <c r="BD220"/>
  <c r="BE220"/>
  <c r="BF220"/>
  <c r="BG220"/>
  <c r="BH220"/>
  <c r="BI220"/>
  <c r="BJ220"/>
  <c r="BK220"/>
  <c r="BA220"/>
  <c r="BL220"/>
  <c r="AZ220"/>
  <c r="BB221"/>
  <c r="BC221"/>
  <c r="BD221"/>
  <c r="BE221"/>
  <c r="BF221"/>
  <c r="BG221"/>
  <c r="BH221"/>
  <c r="BI221"/>
  <c r="BJ221"/>
  <c r="BK221"/>
  <c r="BA221"/>
  <c r="BL221"/>
  <c r="AZ221"/>
  <c r="BB222"/>
  <c r="BC222"/>
  <c r="BD222"/>
  <c r="BE222"/>
  <c r="BF222"/>
  <c r="BG222"/>
  <c r="BH222"/>
  <c r="BI222"/>
  <c r="BJ222"/>
  <c r="BK222"/>
  <c r="BA222"/>
  <c r="BL222"/>
  <c r="AZ222"/>
  <c r="BB223"/>
  <c r="BC223"/>
  <c r="BD223"/>
  <c r="BE223"/>
  <c r="BF223"/>
  <c r="BG223"/>
  <c r="BH223"/>
  <c r="BI223"/>
  <c r="BJ223"/>
  <c r="BK223"/>
  <c r="BA223"/>
  <c r="BL223"/>
  <c r="AZ223"/>
  <c r="BB224"/>
  <c r="BC224"/>
  <c r="BD224"/>
  <c r="BE224"/>
  <c r="BF224"/>
  <c r="BG224"/>
  <c r="BH224"/>
  <c r="BI224"/>
  <c r="BJ224"/>
  <c r="BK224"/>
  <c r="BA224"/>
  <c r="BL224"/>
  <c r="AZ224"/>
  <c r="BB225"/>
  <c r="BC225"/>
  <c r="BD225"/>
  <c r="BE225"/>
  <c r="BF225"/>
  <c r="BG225"/>
  <c r="BH225"/>
  <c r="BI225"/>
  <c r="BJ225"/>
  <c r="BK225"/>
  <c r="BA225"/>
  <c r="BL225"/>
  <c r="AZ225"/>
  <c r="BB226"/>
  <c r="BC226"/>
  <c r="BD226"/>
  <c r="BE226"/>
  <c r="BF226"/>
  <c r="BG226"/>
  <c r="BH226"/>
  <c r="BI226"/>
  <c r="BJ226"/>
  <c r="BK226"/>
  <c r="BA226"/>
  <c r="BL226"/>
  <c r="AZ226"/>
  <c r="BB227"/>
  <c r="BC227"/>
  <c r="BD227"/>
  <c r="BE227"/>
  <c r="BF227"/>
  <c r="BG227"/>
  <c r="BH227"/>
  <c r="BI227"/>
  <c r="BJ227"/>
  <c r="BK227"/>
  <c r="BA227"/>
  <c r="BL227"/>
  <c r="AZ227"/>
  <c r="BB228"/>
  <c r="BC228"/>
  <c r="BD228"/>
  <c r="BE228"/>
  <c r="BF228"/>
  <c r="BG228"/>
  <c r="BH228"/>
  <c r="BI228"/>
  <c r="BJ228"/>
  <c r="BK228"/>
  <c r="BA228"/>
  <c r="BL228"/>
  <c r="AZ228"/>
  <c r="BB229"/>
  <c r="BC229"/>
  <c r="BD229"/>
  <c r="BE229"/>
  <c r="BF229"/>
  <c r="BG229"/>
  <c r="BH229"/>
  <c r="BI229"/>
  <c r="BJ229"/>
  <c r="BK229"/>
  <c r="BA229"/>
  <c r="BL229"/>
  <c r="AZ229"/>
  <c r="BB230"/>
  <c r="BC230"/>
  <c r="BD230"/>
  <c r="BE230"/>
  <c r="BF230"/>
  <c r="BG230"/>
  <c r="BH230"/>
  <c r="BI230"/>
  <c r="BJ230"/>
  <c r="BK230"/>
  <c r="BA230"/>
  <c r="BL230"/>
  <c r="AZ230"/>
  <c r="BB231"/>
  <c r="BC231"/>
  <c r="BD231"/>
  <c r="BE231"/>
  <c r="BF231"/>
  <c r="BG231"/>
  <c r="BH231"/>
  <c r="BI231"/>
  <c r="BJ231"/>
  <c r="BK231"/>
  <c r="BA231"/>
  <c r="BL231"/>
  <c r="AZ231"/>
  <c r="BB232"/>
  <c r="BC232"/>
  <c r="BD232"/>
  <c r="BE232"/>
  <c r="BF232"/>
  <c r="BG232"/>
  <c r="BH232"/>
  <c r="BI232"/>
  <c r="BJ232"/>
  <c r="BK232"/>
  <c r="BA232"/>
  <c r="BL232"/>
  <c r="AZ232"/>
  <c r="BB233"/>
  <c r="BC233"/>
  <c r="BD233"/>
  <c r="BE233"/>
  <c r="BF233"/>
  <c r="BG233"/>
  <c r="BH233"/>
  <c r="BI233"/>
  <c r="BJ233"/>
  <c r="BK233"/>
  <c r="BA233"/>
  <c r="BL233"/>
  <c r="AZ233"/>
  <c r="BB234"/>
  <c r="BC234"/>
  <c r="BD234"/>
  <c r="BE234"/>
  <c r="BF234"/>
  <c r="BG234"/>
  <c r="BH234"/>
  <c r="BI234"/>
  <c r="BJ234"/>
  <c r="BK234"/>
  <c r="BA234"/>
  <c r="BL234"/>
  <c r="AZ234"/>
  <c r="BB235"/>
  <c r="BC235"/>
  <c r="BD235"/>
  <c r="BE235"/>
  <c r="BF235"/>
  <c r="BG235"/>
  <c r="BH235"/>
  <c r="BI235"/>
  <c r="BJ235"/>
  <c r="BK235"/>
  <c r="BA235"/>
  <c r="BL235"/>
  <c r="AZ235"/>
  <c r="BB236"/>
  <c r="BC236"/>
  <c r="BD236"/>
  <c r="BE236"/>
  <c r="BF236"/>
  <c r="BG236"/>
  <c r="BH236"/>
  <c r="BI236"/>
  <c r="BJ236"/>
  <c r="BK236"/>
  <c r="BA236"/>
  <c r="BL236"/>
  <c r="AZ236"/>
  <c r="BB237"/>
  <c r="BC237"/>
  <c r="BD237"/>
  <c r="BE237"/>
  <c r="BF237"/>
  <c r="BG237"/>
  <c r="BH237"/>
  <c r="BI237"/>
  <c r="BJ237"/>
  <c r="BK237"/>
  <c r="BA237"/>
  <c r="BL237"/>
  <c r="AZ237"/>
  <c r="BB238"/>
  <c r="BC238"/>
  <c r="BD238"/>
  <c r="BE238"/>
  <c r="BF238"/>
  <c r="BG238"/>
  <c r="BH238"/>
  <c r="BI238"/>
  <c r="BJ238"/>
  <c r="BK238"/>
  <c r="BA238"/>
  <c r="BL238"/>
  <c r="AZ238"/>
  <c r="BB239"/>
  <c r="BC239"/>
  <c r="BD239"/>
  <c r="BE239"/>
  <c r="BF239"/>
  <c r="BG239"/>
  <c r="BH239"/>
  <c r="BI239"/>
  <c r="BJ239"/>
  <c r="BK239"/>
  <c r="BA239"/>
  <c r="BL239"/>
  <c r="AZ239"/>
  <c r="BB240"/>
  <c r="BC240"/>
  <c r="BD240"/>
  <c r="BE240"/>
  <c r="BF240"/>
  <c r="BG240"/>
  <c r="BH240"/>
  <c r="BI240"/>
  <c r="BJ240"/>
  <c r="BK240"/>
  <c r="BA240"/>
  <c r="BL240"/>
  <c r="AZ240"/>
  <c r="BB241"/>
  <c r="BC241"/>
  <c r="BD241"/>
  <c r="BE241"/>
  <c r="BF241"/>
  <c r="BG241"/>
  <c r="BH241"/>
  <c r="BI241"/>
  <c r="BJ241"/>
  <c r="BK241"/>
  <c r="BA241"/>
  <c r="BL241"/>
  <c r="AZ241"/>
  <c r="BB242"/>
  <c r="BC242"/>
  <c r="BD242"/>
  <c r="BE242"/>
  <c r="BF242"/>
  <c r="BG242"/>
  <c r="BH242"/>
  <c r="BI242"/>
  <c r="BJ242"/>
  <c r="BK242"/>
  <c r="BA242"/>
  <c r="BL242"/>
  <c r="AZ242"/>
  <c r="BB243"/>
  <c r="BC243"/>
  <c r="BD243"/>
  <c r="BE243"/>
  <c r="BF243"/>
  <c r="BG243"/>
  <c r="BH243"/>
  <c r="BI243"/>
  <c r="BJ243"/>
  <c r="BK243"/>
  <c r="BA243"/>
  <c r="BL243"/>
  <c r="AZ243"/>
  <c r="BB244"/>
  <c r="BC244"/>
  <c r="BD244"/>
  <c r="BE244"/>
  <c r="BF244"/>
  <c r="BG244"/>
  <c r="BH244"/>
  <c r="BI244"/>
  <c r="BJ244"/>
  <c r="BK244"/>
  <c r="BA244"/>
  <c r="BL244"/>
  <c r="AZ244"/>
  <c r="BB245"/>
  <c r="BC245"/>
  <c r="BD245"/>
  <c r="BE245"/>
  <c r="BF245"/>
  <c r="BG245"/>
  <c r="BH245"/>
  <c r="BI245"/>
  <c r="BJ245"/>
  <c r="BK245"/>
  <c r="BA245"/>
  <c r="BL245"/>
  <c r="AZ245"/>
  <c r="BB246"/>
  <c r="BC246"/>
  <c r="BD246"/>
  <c r="BE246"/>
  <c r="BF246"/>
  <c r="BG246"/>
  <c r="BH246"/>
  <c r="BI246"/>
  <c r="BJ246"/>
  <c r="BK246"/>
  <c r="BA246"/>
  <c r="BL246"/>
  <c r="AZ246"/>
  <c r="BB247"/>
  <c r="BC247"/>
  <c r="BD247"/>
  <c r="BE247"/>
  <c r="BF247"/>
  <c r="BG247"/>
  <c r="BH247"/>
  <c r="BI247"/>
  <c r="BJ247"/>
  <c r="BK247"/>
  <c r="BA247"/>
  <c r="BL247"/>
  <c r="AZ247"/>
  <c r="BB248"/>
  <c r="BC248"/>
  <c r="BD248"/>
  <c r="BE248"/>
  <c r="BF248"/>
  <c r="BG248"/>
  <c r="BH248"/>
  <c r="BI248"/>
  <c r="BJ248"/>
  <c r="BK248"/>
  <c r="BA248"/>
  <c r="BL248"/>
  <c r="AZ248"/>
  <c r="BB249"/>
  <c r="BC249"/>
  <c r="BD249"/>
  <c r="BE249"/>
  <c r="BF249"/>
  <c r="BG249"/>
  <c r="BH249"/>
  <c r="BI249"/>
  <c r="BJ249"/>
  <c r="BK249"/>
  <c r="BA249"/>
  <c r="BL249"/>
  <c r="AZ249"/>
  <c r="BB250"/>
  <c r="BC250"/>
  <c r="BD250"/>
  <c r="BE250"/>
  <c r="BF250"/>
  <c r="BG250"/>
  <c r="BH250"/>
  <c r="BI250"/>
  <c r="BJ250"/>
  <c r="BK250"/>
  <c r="BA250"/>
  <c r="BL250"/>
  <c r="AZ250"/>
  <c r="BB251"/>
  <c r="BC251"/>
  <c r="BD251"/>
  <c r="BE251"/>
  <c r="BF251"/>
  <c r="BG251"/>
  <c r="BH251"/>
  <c r="BI251"/>
  <c r="BJ251"/>
  <c r="BK251"/>
  <c r="BA251"/>
  <c r="BL251"/>
  <c r="AZ251"/>
  <c r="BB252"/>
  <c r="BC252"/>
  <c r="BD252"/>
  <c r="BE252"/>
  <c r="BF252"/>
  <c r="BG252"/>
  <c r="BH252"/>
  <c r="BI252"/>
  <c r="BJ252"/>
  <c r="BK252"/>
  <c r="BA252"/>
  <c r="BL252"/>
  <c r="AZ252"/>
  <c r="BB253"/>
  <c r="BC253"/>
  <c r="BD253"/>
  <c r="BE253"/>
  <c r="BF253"/>
  <c r="BG253"/>
  <c r="BH253"/>
  <c r="BI253"/>
  <c r="BJ253"/>
  <c r="BK253"/>
  <c r="BA253"/>
  <c r="BL253"/>
  <c r="AZ253"/>
  <c r="BB254"/>
  <c r="BC254"/>
  <c r="BD254"/>
  <c r="BE254"/>
  <c r="BF254"/>
  <c r="BG254"/>
  <c r="BH254"/>
  <c r="BI254"/>
  <c r="BJ254"/>
  <c r="BK254"/>
  <c r="BA254"/>
  <c r="BL254"/>
  <c r="AZ254"/>
  <c r="BB255"/>
  <c r="BC255"/>
  <c r="BD255"/>
  <c r="BE255"/>
  <c r="BF255"/>
  <c r="BG255"/>
  <c r="BH255"/>
  <c r="BI255"/>
  <c r="BJ255"/>
  <c r="BK255"/>
  <c r="BA255"/>
  <c r="BL255"/>
  <c r="AZ255"/>
  <c r="BB256"/>
  <c r="BC256"/>
  <c r="BD256"/>
  <c r="BE256"/>
  <c r="BF256"/>
  <c r="BG256"/>
  <c r="BH256"/>
  <c r="BI256"/>
  <c r="BJ256"/>
  <c r="BK256"/>
  <c r="BA256"/>
  <c r="BL256"/>
  <c r="AZ256"/>
  <c r="BB257"/>
  <c r="BC257"/>
  <c r="BD257"/>
  <c r="BE257"/>
  <c r="BF257"/>
  <c r="BG257"/>
  <c r="BH257"/>
  <c r="BI257"/>
  <c r="BJ257"/>
  <c r="BK257"/>
  <c r="BA257"/>
  <c r="BL257"/>
  <c r="AZ257"/>
  <c r="BB258"/>
  <c r="BC258"/>
  <c r="BD258"/>
  <c r="BE258"/>
  <c r="BF258"/>
  <c r="BG258"/>
  <c r="BH258"/>
  <c r="BI258"/>
  <c r="BJ258"/>
  <c r="BK258"/>
  <c r="BA258"/>
  <c r="BL258"/>
  <c r="AZ258"/>
  <c r="BB259"/>
  <c r="BC259"/>
  <c r="BD259"/>
  <c r="BE259"/>
  <c r="BF259"/>
  <c r="BG259"/>
  <c r="BH259"/>
  <c r="BI259"/>
  <c r="BJ259"/>
  <c r="BK259"/>
  <c r="BA259"/>
  <c r="BL259"/>
  <c r="AZ259"/>
  <c r="BB260"/>
  <c r="BC260"/>
  <c r="BD260"/>
  <c r="BE260"/>
  <c r="BF260"/>
  <c r="BG260"/>
  <c r="BH260"/>
  <c r="BI260"/>
  <c r="BJ260"/>
  <c r="BK260"/>
  <c r="BA260"/>
  <c r="BL260"/>
  <c r="AZ260"/>
  <c r="BB261"/>
  <c r="BC261"/>
  <c r="BD261"/>
  <c r="BE261"/>
  <c r="BF261"/>
  <c r="BG261"/>
  <c r="BH261"/>
  <c r="BI261"/>
  <c r="BJ261"/>
  <c r="BK261"/>
  <c r="BA261"/>
  <c r="BL261"/>
  <c r="AZ261"/>
  <c r="BB262"/>
  <c r="BC262"/>
  <c r="BD262"/>
  <c r="BE262"/>
  <c r="BF262"/>
  <c r="BG262"/>
  <c r="BH262"/>
  <c r="BI262"/>
  <c r="BJ262"/>
  <c r="BK262"/>
  <c r="BA262"/>
  <c r="BL262"/>
  <c r="AZ262"/>
  <c r="BB263"/>
  <c r="BC263"/>
  <c r="BD263"/>
  <c r="BE263"/>
  <c r="BF263"/>
  <c r="BG263"/>
  <c r="BH263"/>
  <c r="BI263"/>
  <c r="BJ263"/>
  <c r="BK263"/>
  <c r="BA263"/>
  <c r="BL263"/>
  <c r="AZ263"/>
  <c r="BB264"/>
  <c r="BC264"/>
  <c r="BD264"/>
  <c r="BE264"/>
  <c r="BF264"/>
  <c r="BG264"/>
  <c r="BH264"/>
  <c r="BI264"/>
  <c r="BJ264"/>
  <c r="BK264"/>
  <c r="BA264"/>
  <c r="BL264"/>
  <c r="AZ264"/>
  <c r="BB265"/>
  <c r="BC265"/>
  <c r="BD265"/>
  <c r="BE265"/>
  <c r="BF265"/>
  <c r="BG265"/>
  <c r="BH265"/>
  <c r="BI265"/>
  <c r="BJ265"/>
  <c r="BK265"/>
  <c r="BA265"/>
  <c r="BL265"/>
  <c r="AZ265"/>
  <c r="BB266"/>
  <c r="BC266"/>
  <c r="BD266"/>
  <c r="BE266"/>
  <c r="BF266"/>
  <c r="BG266"/>
  <c r="BH266"/>
  <c r="BI266"/>
  <c r="BJ266"/>
  <c r="BK266"/>
  <c r="BA266"/>
  <c r="BL266"/>
  <c r="AZ266"/>
  <c r="BB267"/>
  <c r="BC267"/>
  <c r="BD267"/>
  <c r="BE267"/>
  <c r="BF267"/>
  <c r="BG267"/>
  <c r="BH267"/>
  <c r="BI267"/>
  <c r="BJ267"/>
  <c r="BK267"/>
  <c r="BA267"/>
  <c r="BL267"/>
  <c r="AZ267"/>
  <c r="BB268"/>
  <c r="BC268"/>
  <c r="BD268"/>
  <c r="BE268"/>
  <c r="BF268"/>
  <c r="BG268"/>
  <c r="BH268"/>
  <c r="BI268"/>
  <c r="BJ268"/>
  <c r="BK268"/>
  <c r="BA268"/>
  <c r="BL268"/>
  <c r="AZ268"/>
  <c r="BB269"/>
  <c r="BC269"/>
  <c r="BD269"/>
  <c r="BE269"/>
  <c r="BF269"/>
  <c r="BG269"/>
  <c r="BH269"/>
  <c r="BI269"/>
  <c r="BJ269"/>
  <c r="BK269"/>
  <c r="BA269"/>
  <c r="BL269"/>
  <c r="AZ269"/>
  <c r="BB270"/>
  <c r="BC270"/>
  <c r="BD270"/>
  <c r="BE270"/>
  <c r="BF270"/>
  <c r="BG270"/>
  <c r="BH270"/>
  <c r="BI270"/>
  <c r="BJ270"/>
  <c r="BK270"/>
  <c r="BA270"/>
  <c r="BL270"/>
  <c r="AZ270"/>
  <c r="BB271"/>
  <c r="BC271"/>
  <c r="BD271"/>
  <c r="BE271"/>
  <c r="BF271"/>
  <c r="BG271"/>
  <c r="BH271"/>
  <c r="BI271"/>
  <c r="BJ271"/>
  <c r="BK271"/>
  <c r="BA271"/>
  <c r="BL271"/>
  <c r="AZ271"/>
  <c r="BB272"/>
  <c r="BC272"/>
  <c r="BD272"/>
  <c r="BE272"/>
  <c r="BF272"/>
  <c r="BG272"/>
  <c r="BH272"/>
  <c r="BI272"/>
  <c r="BJ272"/>
  <c r="BK272"/>
  <c r="BA272"/>
  <c r="BL272"/>
  <c r="AZ272"/>
  <c r="BB273"/>
  <c r="BC273"/>
  <c r="BD273"/>
  <c r="BE273"/>
  <c r="BF273"/>
  <c r="BG273"/>
  <c r="BH273"/>
  <c r="BI273"/>
  <c r="BJ273"/>
  <c r="BK273"/>
  <c r="BA273"/>
  <c r="BL273"/>
  <c r="AZ273"/>
  <c r="BB274"/>
  <c r="BC274"/>
  <c r="BD274"/>
  <c r="BE274"/>
  <c r="BF274"/>
  <c r="BG274"/>
  <c r="BH274"/>
  <c r="BI274"/>
  <c r="BJ274"/>
  <c r="BK274"/>
  <c r="BA274"/>
  <c r="BL274"/>
  <c r="AZ274"/>
  <c r="BB275"/>
  <c r="BC275"/>
  <c r="BD275"/>
  <c r="BE275"/>
  <c r="BF275"/>
  <c r="BG275"/>
  <c r="BH275"/>
  <c r="BI275"/>
  <c r="BJ275"/>
  <c r="BK275"/>
  <c r="BA275"/>
  <c r="BL275"/>
  <c r="AZ275"/>
  <c r="BB276"/>
  <c r="BC276"/>
  <c r="BD276"/>
  <c r="BE276"/>
  <c r="BF276"/>
  <c r="BG276"/>
  <c r="BH276"/>
  <c r="BI276"/>
  <c r="BJ276"/>
  <c r="BK276"/>
  <c r="BA276"/>
  <c r="BL276"/>
  <c r="AZ276"/>
  <c r="BB277"/>
  <c r="BC277"/>
  <c r="BD277"/>
  <c r="BE277"/>
  <c r="BF277"/>
  <c r="BG277"/>
  <c r="BH277"/>
  <c r="BI277"/>
  <c r="BJ277"/>
  <c r="BK277"/>
  <c r="BA277"/>
  <c r="BL277"/>
  <c r="AZ277"/>
  <c r="BB278"/>
  <c r="BC278"/>
  <c r="BD278"/>
  <c r="BE278"/>
  <c r="BF278"/>
  <c r="BG278"/>
  <c r="BH278"/>
  <c r="BI278"/>
  <c r="BJ278"/>
  <c r="BK278"/>
  <c r="BA278"/>
  <c r="BL278"/>
  <c r="AZ278"/>
  <c r="BB279"/>
  <c r="BC279"/>
  <c r="BD279"/>
  <c r="BE279"/>
  <c r="BF279"/>
  <c r="BG279"/>
  <c r="BH279"/>
  <c r="BI279"/>
  <c r="BJ279"/>
  <c r="BK279"/>
  <c r="BA279"/>
  <c r="BL279"/>
  <c r="AZ279"/>
  <c r="BB280"/>
  <c r="BC280"/>
  <c r="BD280"/>
  <c r="BE280"/>
  <c r="BF280"/>
  <c r="BG280"/>
  <c r="BH280"/>
  <c r="BI280"/>
  <c r="BJ280"/>
  <c r="BK280"/>
  <c r="BA280"/>
  <c r="BL280"/>
  <c r="AZ280"/>
  <c r="BB281"/>
  <c r="BC281"/>
  <c r="BD281"/>
  <c r="BE281"/>
  <c r="BF281"/>
  <c r="BG281"/>
  <c r="BH281"/>
  <c r="BI281"/>
  <c r="BJ281"/>
  <c r="BK281"/>
  <c r="BA281"/>
  <c r="BL281"/>
  <c r="AZ281"/>
  <c r="BB282"/>
  <c r="BC282"/>
  <c r="BD282"/>
  <c r="BE282"/>
  <c r="BF282"/>
  <c r="BG282"/>
  <c r="BH282"/>
  <c r="BI282"/>
  <c r="BJ282"/>
  <c r="BK282"/>
  <c r="BA282"/>
  <c r="BL282"/>
  <c r="AZ282"/>
  <c r="BB283"/>
  <c r="BC283"/>
  <c r="BD283"/>
  <c r="BE283"/>
  <c r="BF283"/>
  <c r="BG283"/>
  <c r="BH283"/>
  <c r="BI283"/>
  <c r="BJ283"/>
  <c r="BK283"/>
  <c r="BA283"/>
  <c r="BL283"/>
  <c r="AZ283"/>
  <c r="BB284"/>
  <c r="BC284"/>
  <c r="BD284"/>
  <c r="BE284"/>
  <c r="BF284"/>
  <c r="BG284"/>
  <c r="BH284"/>
  <c r="BI284"/>
  <c r="BJ284"/>
  <c r="BK284"/>
  <c r="BA284"/>
  <c r="BL284"/>
  <c r="AZ284"/>
  <c r="BB285"/>
  <c r="BC285"/>
  <c r="BD285"/>
  <c r="BE285"/>
  <c r="BF285"/>
  <c r="BG285"/>
  <c r="BH285"/>
  <c r="BI285"/>
  <c r="BJ285"/>
  <c r="BK285"/>
  <c r="BA285"/>
  <c r="BL285"/>
  <c r="AZ285"/>
  <c r="BB286"/>
  <c r="BC286"/>
  <c r="BD286"/>
  <c r="BE286"/>
  <c r="BF286"/>
  <c r="BG286"/>
  <c r="BH286"/>
  <c r="BI286"/>
  <c r="BJ286"/>
  <c r="BK286"/>
  <c r="BA286"/>
  <c r="BL286"/>
  <c r="AZ286"/>
  <c r="BB287"/>
  <c r="BC287"/>
  <c r="BD287"/>
  <c r="BE287"/>
  <c r="BF287"/>
  <c r="BG287"/>
  <c r="BH287"/>
  <c r="BI287"/>
  <c r="BJ287"/>
  <c r="BK287"/>
  <c r="BA287"/>
  <c r="BL287"/>
  <c r="AZ287"/>
  <c r="BB288"/>
  <c r="BC288"/>
  <c r="BD288"/>
  <c r="BE288"/>
  <c r="BF288"/>
  <c r="BG288"/>
  <c r="BH288"/>
  <c r="BI288"/>
  <c r="BJ288"/>
  <c r="BK288"/>
  <c r="BA288"/>
  <c r="BL288"/>
  <c r="AZ288"/>
  <c r="BB289"/>
  <c r="BC289"/>
  <c r="BD289"/>
  <c r="BE289"/>
  <c r="BF289"/>
  <c r="BG289"/>
  <c r="BH289"/>
  <c r="BI289"/>
  <c r="BJ289"/>
  <c r="BK289"/>
  <c r="BA289"/>
  <c r="BL289"/>
  <c r="AZ289"/>
  <c r="BB290"/>
  <c r="BC290"/>
  <c r="BD290"/>
  <c r="BE290"/>
  <c r="BF290"/>
  <c r="BG290"/>
  <c r="BH290"/>
  <c r="BI290"/>
  <c r="BJ290"/>
  <c r="BK290"/>
  <c r="BA290"/>
  <c r="BL290"/>
  <c r="AZ290"/>
  <c r="BB291"/>
  <c r="BC291"/>
  <c r="BD291"/>
  <c r="BE291"/>
  <c r="BF291"/>
  <c r="BG291"/>
  <c r="BH291"/>
  <c r="BI291"/>
  <c r="BJ291"/>
  <c r="BK291"/>
  <c r="BA291"/>
  <c r="BL291"/>
  <c r="AZ291"/>
  <c r="BB292"/>
  <c r="BC292"/>
  <c r="BD292"/>
  <c r="BE292"/>
  <c r="BF292"/>
  <c r="BG292"/>
  <c r="BH292"/>
  <c r="BI292"/>
  <c r="BJ292"/>
  <c r="BK292"/>
  <c r="BA292"/>
  <c r="BL292"/>
  <c r="AZ292"/>
  <c r="BB293"/>
  <c r="BC293"/>
  <c r="BD293"/>
  <c r="BE293"/>
  <c r="BF293"/>
  <c r="BG293"/>
  <c r="BH293"/>
  <c r="BI293"/>
  <c r="BJ293"/>
  <c r="BK293"/>
  <c r="BA293"/>
  <c r="BL293"/>
  <c r="AZ293"/>
  <c r="BB294"/>
  <c r="BC294"/>
  <c r="BD294"/>
  <c r="BE294"/>
  <c r="BF294"/>
  <c r="BG294"/>
  <c r="BH294"/>
  <c r="BI294"/>
  <c r="BJ294"/>
  <c r="BK294"/>
  <c r="BA294"/>
  <c r="BL294"/>
  <c r="AZ294"/>
  <c r="BB295"/>
  <c r="BC295"/>
  <c r="BD295"/>
  <c r="BE295"/>
  <c r="BF295"/>
  <c r="BG295"/>
  <c r="BH295"/>
  <c r="BI295"/>
  <c r="BJ295"/>
  <c r="BK295"/>
  <c r="BA295"/>
  <c r="BL295"/>
  <c r="AZ295"/>
  <c r="BB296"/>
  <c r="BC296"/>
  <c r="BD296"/>
  <c r="BE296"/>
  <c r="BF296"/>
  <c r="BG296"/>
  <c r="BH296"/>
  <c r="BI296"/>
  <c r="BJ296"/>
  <c r="BK296"/>
  <c r="BA296"/>
  <c r="BL296"/>
  <c r="AZ296"/>
  <c r="BB297"/>
  <c r="BC297"/>
  <c r="BD297"/>
  <c r="BE297"/>
  <c r="BF297"/>
  <c r="BG297"/>
  <c r="BH297"/>
  <c r="BI297"/>
  <c r="BJ297"/>
  <c r="BK297"/>
  <c r="BA297"/>
  <c r="BL297"/>
  <c r="AZ297"/>
  <c r="BB298"/>
  <c r="BC298"/>
  <c r="BD298"/>
  <c r="BE298"/>
  <c r="BF298"/>
  <c r="BG298"/>
  <c r="BH298"/>
  <c r="BI298"/>
  <c r="BJ298"/>
  <c r="BK298"/>
  <c r="BA298"/>
  <c r="BL298"/>
  <c r="AZ298"/>
  <c r="BB299"/>
  <c r="BC299"/>
  <c r="BD299"/>
  <c r="BE299"/>
  <c r="BF299"/>
  <c r="BG299"/>
  <c r="BH299"/>
  <c r="BI299"/>
  <c r="BJ299"/>
  <c r="BK299"/>
  <c r="BA299"/>
  <c r="BL299"/>
  <c r="AZ299"/>
  <c r="BB300"/>
  <c r="BC300"/>
  <c r="BD300"/>
  <c r="BE300"/>
  <c r="BF300"/>
  <c r="BG300"/>
  <c r="BH300"/>
  <c r="BI300"/>
  <c r="BJ300"/>
  <c r="BK300"/>
  <c r="BA300"/>
  <c r="BL300"/>
  <c r="AZ300"/>
  <c r="BB301"/>
  <c r="BC301"/>
  <c r="BD301"/>
  <c r="BE301"/>
  <c r="BF301"/>
  <c r="BG301"/>
  <c r="BH301"/>
  <c r="BI301"/>
  <c r="BJ301"/>
  <c r="BK301"/>
  <c r="BA301"/>
  <c r="BL301"/>
  <c r="AZ301"/>
  <c r="BB302"/>
  <c r="BC302"/>
  <c r="BD302"/>
  <c r="BE302"/>
  <c r="BF302"/>
  <c r="BG302"/>
  <c r="BH302"/>
  <c r="BI302"/>
  <c r="BJ302"/>
  <c r="BK302"/>
  <c r="BA302"/>
  <c r="BL302"/>
  <c r="AZ302"/>
  <c r="BB303"/>
  <c r="BC303"/>
  <c r="BD303"/>
  <c r="BE303"/>
  <c r="BF303"/>
  <c r="BG303"/>
  <c r="BH303"/>
  <c r="BI303"/>
  <c r="BJ303"/>
  <c r="BK303"/>
  <c r="BA303"/>
  <c r="BL303"/>
  <c r="AZ303"/>
  <c r="BB304"/>
  <c r="BC304"/>
  <c r="BD304"/>
  <c r="BE304"/>
  <c r="BF304"/>
  <c r="BG304"/>
  <c r="BH304"/>
  <c r="BI304"/>
  <c r="BJ304"/>
  <c r="BK304"/>
  <c r="BA304"/>
  <c r="BL304"/>
  <c r="AZ304"/>
  <c r="BB305"/>
  <c r="BC305"/>
  <c r="BD305"/>
  <c r="BE305"/>
  <c r="BF305"/>
  <c r="BG305"/>
  <c r="BH305"/>
  <c r="BI305"/>
  <c r="BJ305"/>
  <c r="BK305"/>
  <c r="BA305"/>
  <c r="BL305"/>
  <c r="AZ305"/>
  <c r="BB306"/>
  <c r="BC306"/>
  <c r="BD306"/>
  <c r="BE306"/>
  <c r="BF306"/>
  <c r="BG306"/>
  <c r="BH306"/>
  <c r="BI306"/>
  <c r="BJ306"/>
  <c r="BK306"/>
  <c r="BA306"/>
  <c r="BL306"/>
  <c r="AZ306"/>
  <c r="BB307"/>
  <c r="BC307"/>
  <c r="BD307"/>
  <c r="BE307"/>
  <c r="BF307"/>
  <c r="BG307"/>
  <c r="BH307"/>
  <c r="BI307"/>
  <c r="BJ307"/>
  <c r="BK307"/>
  <c r="BA307"/>
  <c r="BL307"/>
  <c r="AZ307"/>
  <c r="BB308"/>
  <c r="BC308"/>
  <c r="BD308"/>
  <c r="BE308"/>
  <c r="BF308"/>
  <c r="BG308"/>
  <c r="BH308"/>
  <c r="BI308"/>
  <c r="BJ308"/>
  <c r="BK308"/>
  <c r="BA308"/>
  <c r="BL308"/>
  <c r="AZ308"/>
  <c r="BB309"/>
  <c r="BC309"/>
  <c r="BD309"/>
  <c r="BE309"/>
  <c r="BF309"/>
  <c r="BG309"/>
  <c r="BH309"/>
  <c r="BI309"/>
  <c r="BJ309"/>
  <c r="BK309"/>
  <c r="BA309"/>
  <c r="BL309"/>
  <c r="AZ309"/>
  <c r="BB310"/>
  <c r="BC310"/>
  <c r="BD310"/>
  <c r="BE310"/>
  <c r="BF310"/>
  <c r="BG310"/>
  <c r="BH310"/>
  <c r="BI310"/>
  <c r="BJ310"/>
  <c r="BK310"/>
  <c r="BA310"/>
  <c r="BL310"/>
  <c r="AZ310"/>
  <c r="BB311"/>
  <c r="BC311"/>
  <c r="BD311"/>
  <c r="BE311"/>
  <c r="BF311"/>
  <c r="BG311"/>
  <c r="BH311"/>
  <c r="BI311"/>
  <c r="BJ311"/>
  <c r="BK311"/>
  <c r="BA311"/>
  <c r="BL311"/>
  <c r="AZ311"/>
  <c r="BB312"/>
  <c r="BC312"/>
  <c r="BD312"/>
  <c r="BE312"/>
  <c r="BF312"/>
  <c r="BG312"/>
  <c r="BH312"/>
  <c r="BI312"/>
  <c r="BJ312"/>
  <c r="BK312"/>
  <c r="BA312"/>
  <c r="BL312"/>
  <c r="AZ312"/>
  <c r="BB313"/>
  <c r="BC313"/>
  <c r="BD313"/>
  <c r="BE313"/>
  <c r="BF313"/>
  <c r="BG313"/>
  <c r="BH313"/>
  <c r="BI313"/>
  <c r="BJ313"/>
  <c r="BK313"/>
  <c r="BA313"/>
  <c r="BL313"/>
  <c r="AZ313"/>
  <c r="BB314"/>
  <c r="BC314"/>
  <c r="BD314"/>
  <c r="BE314"/>
  <c r="BF314"/>
  <c r="BG314"/>
  <c r="BH314"/>
  <c r="BI314"/>
  <c r="BJ314"/>
  <c r="BK314"/>
  <c r="BA314"/>
  <c r="BL314"/>
  <c r="AZ314"/>
  <c r="BB315"/>
  <c r="BC315"/>
  <c r="BD315"/>
  <c r="BE315"/>
  <c r="BF315"/>
  <c r="BG315"/>
  <c r="BH315"/>
  <c r="BI315"/>
  <c r="BJ315"/>
  <c r="BK315"/>
  <c r="BA315"/>
  <c r="BL315"/>
  <c r="AZ315"/>
  <c r="BB316"/>
  <c r="BC316"/>
  <c r="BD316"/>
  <c r="BE316"/>
  <c r="BF316"/>
  <c r="BG316"/>
  <c r="BH316"/>
  <c r="BI316"/>
  <c r="BJ316"/>
  <c r="BK316"/>
  <c r="BA316"/>
  <c r="BL316"/>
  <c r="AZ316"/>
  <c r="BB317"/>
  <c r="BC317"/>
  <c r="BD317"/>
  <c r="BE317"/>
  <c r="BF317"/>
  <c r="BG317"/>
  <c r="BH317"/>
  <c r="BI317"/>
  <c r="BJ317"/>
  <c r="BK317"/>
  <c r="BA317"/>
  <c r="BL317"/>
  <c r="AZ317"/>
  <c r="BB318"/>
  <c r="BC318"/>
  <c r="BD318"/>
  <c r="BE318"/>
  <c r="BF318"/>
  <c r="BG318"/>
  <c r="BH318"/>
  <c r="BI318"/>
  <c r="BJ318"/>
  <c r="BK318"/>
  <c r="BA318"/>
  <c r="BL318"/>
  <c r="AZ318"/>
  <c r="BB319"/>
  <c r="BC319"/>
  <c r="BD319"/>
  <c r="BE319"/>
  <c r="BF319"/>
  <c r="BG319"/>
  <c r="BH319"/>
  <c r="BI319"/>
  <c r="BJ319"/>
  <c r="BK319"/>
  <c r="BA319"/>
  <c r="BL319"/>
  <c r="AZ319"/>
  <c r="BB320"/>
  <c r="BC320"/>
  <c r="BD320"/>
  <c r="BE320"/>
  <c r="BF320"/>
  <c r="BG320"/>
  <c r="BH320"/>
  <c r="BI320"/>
  <c r="BJ320"/>
  <c r="BK320"/>
  <c r="BA320"/>
  <c r="BL320"/>
  <c r="AZ320"/>
  <c r="BB321"/>
  <c r="BC321"/>
  <c r="BD321"/>
  <c r="BE321"/>
  <c r="BF321"/>
  <c r="BG321"/>
  <c r="BH321"/>
  <c r="BI321"/>
  <c r="BJ321"/>
  <c r="BK321"/>
  <c r="BA321"/>
  <c r="BL321"/>
  <c r="AZ321"/>
  <c r="BB322"/>
  <c r="BC322"/>
  <c r="BD322"/>
  <c r="BE322"/>
  <c r="BF322"/>
  <c r="BG322"/>
  <c r="BH322"/>
  <c r="BI322"/>
  <c r="BJ322"/>
  <c r="BK322"/>
  <c r="BA322"/>
  <c r="BL322"/>
  <c r="AZ322"/>
  <c r="BB323"/>
  <c r="BC323"/>
  <c r="BD323"/>
  <c r="BE323"/>
  <c r="BF323"/>
  <c r="BG323"/>
  <c r="BH323"/>
  <c r="BI323"/>
  <c r="BJ323"/>
  <c r="BK323"/>
  <c r="BA323"/>
  <c r="BL323"/>
  <c r="AZ323"/>
  <c r="BB324"/>
  <c r="BC324"/>
  <c r="BD324"/>
  <c r="BE324"/>
  <c r="BF324"/>
  <c r="BG324"/>
  <c r="BH324"/>
  <c r="BI324"/>
  <c r="BJ324"/>
  <c r="BK324"/>
  <c r="BA324"/>
  <c r="BL324"/>
  <c r="AZ324"/>
  <c r="BB325"/>
  <c r="BC325"/>
  <c r="BD325"/>
  <c r="BE325"/>
  <c r="BF325"/>
  <c r="BG325"/>
  <c r="BH325"/>
  <c r="BI325"/>
  <c r="BJ325"/>
  <c r="BK325"/>
  <c r="BA325"/>
  <c r="BL325"/>
  <c r="AZ325"/>
  <c r="BB326"/>
  <c r="BC326"/>
  <c r="BD326"/>
  <c r="BE326"/>
  <c r="BF326"/>
  <c r="BG326"/>
  <c r="BH326"/>
  <c r="BI326"/>
  <c r="BJ326"/>
  <c r="BK326"/>
  <c r="BA326"/>
  <c r="BL326"/>
  <c r="AZ326"/>
  <c r="BB327"/>
  <c r="BC327"/>
  <c r="BD327"/>
  <c r="BE327"/>
  <c r="BF327"/>
  <c r="BG327"/>
  <c r="BH327"/>
  <c r="BI327"/>
  <c r="BJ327"/>
  <c r="BK327"/>
  <c r="BA327"/>
  <c r="BL327"/>
  <c r="AZ327"/>
  <c r="BB328"/>
  <c r="BC328"/>
  <c r="BD328"/>
  <c r="BE328"/>
  <c r="BF328"/>
  <c r="BG328"/>
  <c r="BH328"/>
  <c r="BI328"/>
  <c r="BJ328"/>
  <c r="BK328"/>
  <c r="BA328"/>
  <c r="BL328"/>
  <c r="AZ328"/>
  <c r="BB329"/>
  <c r="BC329"/>
  <c r="BD329"/>
  <c r="BE329"/>
  <c r="BF329"/>
  <c r="BG329"/>
  <c r="BH329"/>
  <c r="BI329"/>
  <c r="BJ329"/>
  <c r="BK329"/>
  <c r="BA329"/>
  <c r="BL329"/>
  <c r="AZ329"/>
  <c r="BB330"/>
  <c r="BC330"/>
  <c r="BD330"/>
  <c r="BE330"/>
  <c r="BF330"/>
  <c r="BG330"/>
  <c r="BH330"/>
  <c r="BI330"/>
  <c r="BJ330"/>
  <c r="BK330"/>
  <c r="BA330"/>
  <c r="BL330"/>
  <c r="AZ330"/>
  <c r="BB331"/>
  <c r="BC331"/>
  <c r="BD331"/>
  <c r="BE331"/>
  <c r="BF331"/>
  <c r="BG331"/>
  <c r="BH331"/>
  <c r="BI331"/>
  <c r="BJ331"/>
  <c r="BK331"/>
  <c r="BA331"/>
  <c r="BL331"/>
  <c r="AZ331"/>
  <c r="BB332"/>
  <c r="BC332"/>
  <c r="BD332"/>
  <c r="BE332"/>
  <c r="BF332"/>
  <c r="BG332"/>
  <c r="BH332"/>
  <c r="BI332"/>
  <c r="BJ332"/>
  <c r="BK332"/>
  <c r="BA332"/>
  <c r="BL332"/>
  <c r="AZ332"/>
  <c r="BB333"/>
  <c r="BC333"/>
  <c r="BD333"/>
  <c r="BE333"/>
  <c r="BF333"/>
  <c r="BG333"/>
  <c r="BH333"/>
  <c r="BI333"/>
  <c r="BJ333"/>
  <c r="BK333"/>
  <c r="BA333"/>
  <c r="BL333"/>
  <c r="AZ333"/>
  <c r="BB334"/>
  <c r="BC334"/>
  <c r="BD334"/>
  <c r="BE334"/>
  <c r="BF334"/>
  <c r="BG334"/>
  <c r="BH334"/>
  <c r="BI334"/>
  <c r="BJ334"/>
  <c r="BK334"/>
  <c r="BA334"/>
  <c r="BL334"/>
  <c r="AZ334"/>
  <c r="BB335"/>
  <c r="BC335"/>
  <c r="BD335"/>
  <c r="BE335"/>
  <c r="BF335"/>
  <c r="BG335"/>
  <c r="BH335"/>
  <c r="BI335"/>
  <c r="BJ335"/>
  <c r="BK335"/>
  <c r="BA335"/>
  <c r="BL335"/>
  <c r="AZ335"/>
  <c r="BB336"/>
  <c r="BC336"/>
  <c r="BD336"/>
  <c r="BE336"/>
  <c r="BF336"/>
  <c r="BG336"/>
  <c r="BH336"/>
  <c r="BI336"/>
  <c r="BJ336"/>
  <c r="BK336"/>
  <c r="BA336"/>
  <c r="BL336"/>
  <c r="AZ336"/>
  <c r="BB337"/>
  <c r="BC337"/>
  <c r="BD337"/>
  <c r="BE337"/>
  <c r="BF337"/>
  <c r="BG337"/>
  <c r="BH337"/>
  <c r="BI337"/>
  <c r="BJ337"/>
  <c r="BK337"/>
  <c r="BA337"/>
  <c r="BL337"/>
  <c r="AZ337"/>
  <c r="BB338"/>
  <c r="BC338"/>
  <c r="BD338"/>
  <c r="BE338"/>
  <c r="BF338"/>
  <c r="BG338"/>
  <c r="BH338"/>
  <c r="BI338"/>
  <c r="BJ338"/>
  <c r="BK338"/>
  <c r="BA338"/>
  <c r="BL338"/>
  <c r="AZ338"/>
  <c r="BB339"/>
  <c r="BC339"/>
  <c r="BD339"/>
  <c r="BE339"/>
  <c r="BF339"/>
  <c r="BG339"/>
  <c r="BH339"/>
  <c r="BI339"/>
  <c r="BJ339"/>
  <c r="BK339"/>
  <c r="BA339"/>
  <c r="BL339"/>
  <c r="AZ339"/>
  <c r="BB340"/>
  <c r="BC340"/>
  <c r="BD340"/>
  <c r="BE340"/>
  <c r="BF340"/>
  <c r="BG340"/>
  <c r="BH340"/>
  <c r="BI340"/>
  <c r="BJ340"/>
  <c r="BK340"/>
  <c r="BA340"/>
  <c r="BL340"/>
  <c r="AZ340"/>
  <c r="BB341"/>
  <c r="BC341"/>
  <c r="BD341"/>
  <c r="BE341"/>
  <c r="BF341"/>
  <c r="BG341"/>
  <c r="BH341"/>
  <c r="BI341"/>
  <c r="BJ341"/>
  <c r="BK341"/>
  <c r="BA341"/>
  <c r="BL341"/>
  <c r="AZ341"/>
  <c r="BB342"/>
  <c r="BC342"/>
  <c r="BD342"/>
  <c r="BE342"/>
  <c r="BF342"/>
  <c r="BG342"/>
  <c r="BH342"/>
  <c r="BI342"/>
  <c r="BJ342"/>
  <c r="BK342"/>
  <c r="BA342"/>
  <c r="BL342"/>
  <c r="AZ342"/>
  <c r="BB343"/>
  <c r="BC343"/>
  <c r="BD343"/>
  <c r="BE343"/>
  <c r="BF343"/>
  <c r="BG343"/>
  <c r="BH343"/>
  <c r="BI343"/>
  <c r="BJ343"/>
  <c r="BK343"/>
  <c r="BA343"/>
  <c r="BL343"/>
  <c r="AZ343"/>
  <c r="BB344"/>
  <c r="BC344"/>
  <c r="BD344"/>
  <c r="BE344"/>
  <c r="BF344"/>
  <c r="BG344"/>
  <c r="BH344"/>
  <c r="BI344"/>
  <c r="BJ344"/>
  <c r="BK344"/>
  <c r="BA344"/>
  <c r="BL344"/>
  <c r="AZ344"/>
  <c r="BB345"/>
  <c r="BC345"/>
  <c r="BD345"/>
  <c r="BE345"/>
  <c r="BF345"/>
  <c r="BG345"/>
  <c r="BH345"/>
  <c r="BI345"/>
  <c r="BJ345"/>
  <c r="BK345"/>
  <c r="BA345"/>
  <c r="BL345"/>
  <c r="AZ345"/>
  <c r="BB346"/>
  <c r="BC346"/>
  <c r="BD346"/>
  <c r="BE346"/>
  <c r="BF346"/>
  <c r="BG346"/>
  <c r="BH346"/>
  <c r="BI346"/>
  <c r="BJ346"/>
  <c r="BK346"/>
  <c r="BA346"/>
  <c r="BL346"/>
  <c r="AZ346"/>
  <c r="BB347"/>
  <c r="BC347"/>
  <c r="BD347"/>
  <c r="BE347"/>
  <c r="BF347"/>
  <c r="BG347"/>
  <c r="BH347"/>
  <c r="BI347"/>
  <c r="BJ347"/>
  <c r="BK347"/>
  <c r="BA347"/>
  <c r="BL347"/>
  <c r="AZ347"/>
  <c r="BB348"/>
  <c r="BC348"/>
  <c r="BD348"/>
  <c r="BE348"/>
  <c r="BF348"/>
  <c r="BG348"/>
  <c r="BH348"/>
  <c r="BI348"/>
  <c r="BJ348"/>
  <c r="BK348"/>
  <c r="BA348"/>
  <c r="BL348"/>
  <c r="AZ348"/>
  <c r="BB349"/>
  <c r="BC349"/>
  <c r="BD349"/>
  <c r="BE349"/>
  <c r="BF349"/>
  <c r="BG349"/>
  <c r="BH349"/>
  <c r="BI349"/>
  <c r="BJ349"/>
  <c r="BK349"/>
  <c r="BA349"/>
  <c r="BL349"/>
  <c r="AZ349"/>
  <c r="BB350"/>
  <c r="BC350"/>
  <c r="BD350"/>
  <c r="BE350"/>
  <c r="BF350"/>
  <c r="BG350"/>
  <c r="BH350"/>
  <c r="BI350"/>
  <c r="BJ350"/>
  <c r="BK350"/>
  <c r="BA350"/>
  <c r="BL350"/>
  <c r="AZ350"/>
  <c r="BB351"/>
  <c r="BC351"/>
  <c r="BD351"/>
  <c r="BE351"/>
  <c r="BF351"/>
  <c r="BG351"/>
  <c r="BH351"/>
  <c r="BI351"/>
  <c r="BJ351"/>
  <c r="BK351"/>
  <c r="BA351"/>
  <c r="BL351"/>
  <c r="AZ351"/>
  <c r="BB352"/>
  <c r="BC352"/>
  <c r="BD352"/>
  <c r="BE352"/>
  <c r="BF352"/>
  <c r="BG352"/>
  <c r="BH352"/>
  <c r="BI352"/>
  <c r="BJ352"/>
  <c r="BK352"/>
  <c r="BA352"/>
  <c r="BL352"/>
  <c r="AZ352"/>
  <c r="BB353"/>
  <c r="BC353"/>
  <c r="BD353"/>
  <c r="BE353"/>
  <c r="BF353"/>
  <c r="BG353"/>
  <c r="BH353"/>
  <c r="BI353"/>
  <c r="BJ353"/>
  <c r="BK353"/>
  <c r="BA353"/>
  <c r="BL353"/>
  <c r="AZ353"/>
  <c r="BB354"/>
  <c r="BC354"/>
  <c r="BD354"/>
  <c r="BE354"/>
  <c r="BF354"/>
  <c r="BG354"/>
  <c r="BH354"/>
  <c r="BI354"/>
  <c r="BJ354"/>
  <c r="BK354"/>
  <c r="BA354"/>
  <c r="BL354"/>
  <c r="AZ354"/>
  <c r="BB355"/>
  <c r="BC355"/>
  <c r="BD355"/>
  <c r="BE355"/>
  <c r="BF355"/>
  <c r="BG355"/>
  <c r="BH355"/>
  <c r="BI355"/>
  <c r="BJ355"/>
  <c r="BK355"/>
  <c r="BA355"/>
  <c r="BL355"/>
  <c r="AZ355"/>
  <c r="BB356"/>
  <c r="BC356"/>
  <c r="BD356"/>
  <c r="BE356"/>
  <c r="BF356"/>
  <c r="BG356"/>
  <c r="BH356"/>
  <c r="BI356"/>
  <c r="BJ356"/>
  <c r="BK356"/>
  <c r="BA356"/>
  <c r="BL356"/>
  <c r="AZ356"/>
  <c r="BB357"/>
  <c r="BC357"/>
  <c r="BD357"/>
  <c r="BE357"/>
  <c r="BF357"/>
  <c r="BG357"/>
  <c r="BH357"/>
  <c r="BI357"/>
  <c r="BJ357"/>
  <c r="BK357"/>
  <c r="BA357"/>
  <c r="BL357"/>
  <c r="AZ357"/>
  <c r="BB358"/>
  <c r="BC358"/>
  <c r="BD358"/>
  <c r="BE358"/>
  <c r="BF358"/>
  <c r="BG358"/>
  <c r="BH358"/>
  <c r="BI358"/>
  <c r="BJ358"/>
  <c r="BK358"/>
  <c r="BA358"/>
  <c r="BL358"/>
  <c r="AZ358"/>
  <c r="BB359"/>
  <c r="BC359"/>
  <c r="BD359"/>
  <c r="BE359"/>
  <c r="BF359"/>
  <c r="BG359"/>
  <c r="BH359"/>
  <c r="BI359"/>
  <c r="BJ359"/>
  <c r="BK359"/>
  <c r="BA359"/>
  <c r="BL359"/>
  <c r="AZ359"/>
  <c r="BB360"/>
  <c r="BC360"/>
  <c r="BD360"/>
  <c r="BE360"/>
  <c r="BF360"/>
  <c r="BG360"/>
  <c r="BH360"/>
  <c r="BI360"/>
  <c r="BJ360"/>
  <c r="BK360"/>
  <c r="BA360"/>
  <c r="BL360"/>
  <c r="AZ360"/>
  <c r="BB361"/>
  <c r="BC361"/>
  <c r="BD361"/>
  <c r="BE361"/>
  <c r="BF361"/>
  <c r="BG361"/>
  <c r="BH361"/>
  <c r="BI361"/>
  <c r="BJ361"/>
  <c r="BK361"/>
  <c r="BA361"/>
  <c r="BL361"/>
  <c r="AZ361"/>
  <c r="BB362"/>
  <c r="BC362"/>
  <c r="BD362"/>
  <c r="BE362"/>
  <c r="BF362"/>
  <c r="BG362"/>
  <c r="BH362"/>
  <c r="BI362"/>
  <c r="BJ362"/>
  <c r="BK362"/>
  <c r="BA362"/>
  <c r="BL362"/>
  <c r="AZ362"/>
  <c r="BB363"/>
  <c r="BC363"/>
  <c r="BD363"/>
  <c r="BE363"/>
  <c r="BF363"/>
  <c r="BG363"/>
  <c r="BH363"/>
  <c r="BI363"/>
  <c r="BJ363"/>
  <c r="BK363"/>
  <c r="BA363"/>
  <c r="BL363"/>
  <c r="AZ363"/>
  <c r="BB364"/>
  <c r="BC364"/>
  <c r="BD364"/>
  <c r="BE364"/>
  <c r="BF364"/>
  <c r="BG364"/>
  <c r="BH364"/>
  <c r="BI364"/>
  <c r="BJ364"/>
  <c r="BK364"/>
  <c r="BA364"/>
  <c r="BL364"/>
  <c r="AZ364"/>
  <c r="BB365"/>
  <c r="BC365"/>
  <c r="BD365"/>
  <c r="BE365"/>
  <c r="BF365"/>
  <c r="BG365"/>
  <c r="BH365"/>
  <c r="BI365"/>
  <c r="BJ365"/>
  <c r="BK365"/>
  <c r="BA365"/>
  <c r="BL365"/>
  <c r="AZ365"/>
  <c r="BB366"/>
  <c r="BC366"/>
  <c r="BD366"/>
  <c r="BE366"/>
  <c r="BF366"/>
  <c r="BG366"/>
  <c r="BH366"/>
  <c r="BI366"/>
  <c r="BJ366"/>
  <c r="BK366"/>
  <c r="BA366"/>
  <c r="BL366"/>
  <c r="AZ366"/>
  <c r="BB367"/>
  <c r="BC367"/>
  <c r="BD367"/>
  <c r="BE367"/>
  <c r="BF367"/>
  <c r="BG367"/>
  <c r="BH367"/>
  <c r="BI367"/>
  <c r="BJ367"/>
  <c r="BK367"/>
  <c r="BA367"/>
  <c r="BL367"/>
  <c r="AZ367"/>
  <c r="BB368"/>
  <c r="BC368"/>
  <c r="BD368"/>
  <c r="BE368"/>
  <c r="BF368"/>
  <c r="BG368"/>
  <c r="BH368"/>
  <c r="BI368"/>
  <c r="BJ368"/>
  <c r="BK368"/>
  <c r="BA368"/>
  <c r="BL368"/>
  <c r="AZ368"/>
  <c r="BB369"/>
  <c r="BC369"/>
  <c r="BD369"/>
  <c r="BE369"/>
  <c r="BF369"/>
  <c r="BG369"/>
  <c r="BH369"/>
  <c r="BI369"/>
  <c r="BJ369"/>
  <c r="BK369"/>
  <c r="BA369"/>
  <c r="BL369"/>
  <c r="AZ369"/>
  <c r="BB370"/>
  <c r="BC370"/>
  <c r="BD370"/>
  <c r="BE370"/>
  <c r="BF370"/>
  <c r="BG370"/>
  <c r="BH370"/>
  <c r="BI370"/>
  <c r="BJ370"/>
  <c r="BK370"/>
  <c r="BA370"/>
  <c r="BL370"/>
  <c r="AZ370"/>
  <c r="BB371"/>
  <c r="BC371"/>
  <c r="BD371"/>
  <c r="BE371"/>
  <c r="BF371"/>
  <c r="BG371"/>
  <c r="BH371"/>
  <c r="BI371"/>
  <c r="BJ371"/>
  <c r="BK371"/>
  <c r="BA371"/>
  <c r="BL371"/>
  <c r="AZ371"/>
  <c r="BB372"/>
  <c r="BC372"/>
  <c r="BD372"/>
  <c r="BE372"/>
  <c r="BF372"/>
  <c r="BG372"/>
  <c r="BH372"/>
  <c r="BI372"/>
  <c r="BJ372"/>
  <c r="BK372"/>
  <c r="BA372"/>
  <c r="BL372"/>
  <c r="AZ372"/>
  <c r="BB373"/>
  <c r="BC373"/>
  <c r="BD373"/>
  <c r="BE373"/>
  <c r="BF373"/>
  <c r="BG373"/>
  <c r="BH373"/>
  <c r="BI373"/>
  <c r="BJ373"/>
  <c r="BK373"/>
  <c r="BA373"/>
  <c r="BL373"/>
  <c r="AZ373"/>
  <c r="BB374"/>
  <c r="BC374"/>
  <c r="BD374"/>
  <c r="BE374"/>
  <c r="BF374"/>
  <c r="BG374"/>
  <c r="BH374"/>
  <c r="BI374"/>
  <c r="BJ374"/>
  <c r="BK374"/>
  <c r="BA374"/>
  <c r="BL374"/>
  <c r="AZ374"/>
  <c r="BB375"/>
  <c r="BC375"/>
  <c r="BD375"/>
  <c r="BE375"/>
  <c r="BF375"/>
  <c r="BG375"/>
  <c r="BH375"/>
  <c r="BI375"/>
  <c r="BJ375"/>
  <c r="BK375"/>
  <c r="BA375"/>
  <c r="BL375"/>
  <c r="AZ375"/>
  <c r="BB376"/>
  <c r="BC376"/>
  <c r="BD376"/>
  <c r="BE376"/>
  <c r="BF376"/>
  <c r="BG376"/>
  <c r="BH376"/>
  <c r="BI376"/>
  <c r="BJ376"/>
  <c r="BK376"/>
  <c r="BA376"/>
  <c r="BL376"/>
  <c r="AZ376"/>
  <c r="BB377"/>
  <c r="BC377"/>
  <c r="BD377"/>
  <c r="BE377"/>
  <c r="BF377"/>
  <c r="BG377"/>
  <c r="BH377"/>
  <c r="BI377"/>
  <c r="BJ377"/>
  <c r="BK377"/>
  <c r="BA377"/>
  <c r="BL377"/>
  <c r="AZ377"/>
  <c r="BB378"/>
  <c r="BC378"/>
  <c r="BD378"/>
  <c r="BE378"/>
  <c r="BF378"/>
  <c r="BG378"/>
  <c r="BH378"/>
  <c r="BI378"/>
  <c r="BJ378"/>
  <c r="BK378"/>
  <c r="BA378"/>
  <c r="BL378"/>
  <c r="AZ378"/>
  <c r="BB379"/>
  <c r="BC379"/>
  <c r="BD379"/>
  <c r="BE379"/>
  <c r="BF379"/>
  <c r="BG379"/>
  <c r="BH379"/>
  <c r="BI379"/>
  <c r="BJ379"/>
  <c r="BK379"/>
  <c r="BA379"/>
  <c r="BL379"/>
  <c r="AZ379"/>
  <c r="BB380"/>
  <c r="BC380"/>
  <c r="BD380"/>
  <c r="BE380"/>
  <c r="BF380"/>
  <c r="BG380"/>
  <c r="BH380"/>
  <c r="BI380"/>
  <c r="BJ380"/>
  <c r="BK380"/>
  <c r="BA380"/>
  <c r="BL380"/>
  <c r="AZ380"/>
  <c r="BB381"/>
  <c r="BC381"/>
  <c r="BD381"/>
  <c r="BE381"/>
  <c r="BF381"/>
  <c r="BG381"/>
  <c r="BH381"/>
  <c r="BI381"/>
  <c r="BJ381"/>
  <c r="BK381"/>
  <c r="BA381"/>
  <c r="BL381"/>
  <c r="AZ381"/>
  <c r="BB382"/>
  <c r="BC382"/>
  <c r="BD382"/>
  <c r="BE382"/>
  <c r="BF382"/>
  <c r="BG382"/>
  <c r="BH382"/>
  <c r="BI382"/>
  <c r="BJ382"/>
  <c r="BK382"/>
  <c r="BA382"/>
  <c r="BL382"/>
  <c r="AZ382"/>
  <c r="BB383"/>
  <c r="BC383"/>
  <c r="BD383"/>
  <c r="BE383"/>
  <c r="BF383"/>
  <c r="BG383"/>
  <c r="BH383"/>
  <c r="BI383"/>
  <c r="BJ383"/>
  <c r="BK383"/>
  <c r="BA383"/>
  <c r="BL383"/>
  <c r="AZ383"/>
  <c r="BB384"/>
  <c r="BC384"/>
  <c r="BD384"/>
  <c r="BE384"/>
  <c r="BF384"/>
  <c r="BG384"/>
  <c r="BH384"/>
  <c r="BI384"/>
  <c r="BJ384"/>
  <c r="BK384"/>
  <c r="BA384"/>
  <c r="BL384"/>
  <c r="AZ384"/>
  <c r="BB385"/>
  <c r="BC385"/>
  <c r="BD385"/>
  <c r="BE385"/>
  <c r="BF385"/>
  <c r="BG385"/>
  <c r="BH385"/>
  <c r="BI385"/>
  <c r="BJ385"/>
  <c r="BK385"/>
  <c r="BA385"/>
  <c r="BL385"/>
  <c r="AZ385"/>
  <c r="BB386"/>
  <c r="BC386"/>
  <c r="BD386"/>
  <c r="BE386"/>
  <c r="BF386"/>
  <c r="BG386"/>
  <c r="BH386"/>
  <c r="BI386"/>
  <c r="BJ386"/>
  <c r="BK386"/>
  <c r="BA386"/>
  <c r="BL386"/>
  <c r="AZ386"/>
  <c r="BB387"/>
  <c r="BC387"/>
  <c r="BD387"/>
  <c r="BE387"/>
  <c r="BF387"/>
  <c r="BG387"/>
  <c r="BH387"/>
  <c r="BI387"/>
  <c r="BJ387"/>
  <c r="BK387"/>
  <c r="BA387"/>
  <c r="BL387"/>
  <c r="AZ387"/>
  <c r="BB388"/>
  <c r="BC388"/>
  <c r="BD388"/>
  <c r="BE388"/>
  <c r="BF388"/>
  <c r="BG388"/>
  <c r="BH388"/>
  <c r="BI388"/>
  <c r="BJ388"/>
  <c r="BK388"/>
  <c r="BA388"/>
  <c r="BL388"/>
  <c r="AZ388"/>
  <c r="BB389"/>
  <c r="BC389"/>
  <c r="BD389"/>
  <c r="BE389"/>
  <c r="BF389"/>
  <c r="BG389"/>
  <c r="BH389"/>
  <c r="BI389"/>
  <c r="BJ389"/>
  <c r="BK389"/>
  <c r="BA389"/>
  <c r="BL389"/>
  <c r="AZ389"/>
  <c r="BB390"/>
  <c r="BC390"/>
  <c r="BD390"/>
  <c r="BE390"/>
  <c r="BF390"/>
  <c r="BG390"/>
  <c r="BH390"/>
  <c r="BI390"/>
  <c r="BJ390"/>
  <c r="BK390"/>
  <c r="BA390"/>
  <c r="BL390"/>
  <c r="AZ390"/>
  <c r="BB391"/>
  <c r="BC391"/>
  <c r="BD391"/>
  <c r="BE391"/>
  <c r="BF391"/>
  <c r="BG391"/>
  <c r="BH391"/>
  <c r="BI391"/>
  <c r="BJ391"/>
  <c r="BK391"/>
  <c r="BA391"/>
  <c r="BL391"/>
  <c r="AZ391"/>
  <c r="BB392"/>
  <c r="BC392"/>
  <c r="BD392"/>
  <c r="BE392"/>
  <c r="BF392"/>
  <c r="BG392"/>
  <c r="BH392"/>
  <c r="BI392"/>
  <c r="BJ392"/>
  <c r="BK392"/>
  <c r="BA392"/>
  <c r="BL392"/>
  <c r="AZ392"/>
  <c r="BB393"/>
  <c r="BC393"/>
  <c r="BD393"/>
  <c r="BE393"/>
  <c r="BF393"/>
  <c r="BG393"/>
  <c r="BH393"/>
  <c r="BI393"/>
  <c r="BJ393"/>
  <c r="BK393"/>
  <c r="BA393"/>
  <c r="BL393"/>
  <c r="AZ393"/>
  <c r="BB394"/>
  <c r="BC394"/>
  <c r="BD394"/>
  <c r="BE394"/>
  <c r="BF394"/>
  <c r="BG394"/>
  <c r="BH394"/>
  <c r="BI394"/>
  <c r="BJ394"/>
  <c r="BK394"/>
  <c r="BA394"/>
  <c r="BL394"/>
  <c r="AZ394"/>
  <c r="BB395"/>
  <c r="BC395"/>
  <c r="BD395"/>
  <c r="BE395"/>
  <c r="BF395"/>
  <c r="BG395"/>
  <c r="BH395"/>
  <c r="BI395"/>
  <c r="BJ395"/>
  <c r="BK395"/>
  <c r="BA395"/>
  <c r="BL395"/>
  <c r="AZ395"/>
  <c r="BB396"/>
  <c r="BC396"/>
  <c r="BD396"/>
  <c r="BE396"/>
  <c r="BF396"/>
  <c r="BG396"/>
  <c r="BH396"/>
  <c r="BI396"/>
  <c r="BJ396"/>
  <c r="BK396"/>
  <c r="BA396"/>
  <c r="BL396"/>
  <c r="AZ396"/>
  <c r="BB397"/>
  <c r="BC397"/>
  <c r="BD397"/>
  <c r="BE397"/>
  <c r="BF397"/>
  <c r="BG397"/>
  <c r="BH397"/>
  <c r="BI397"/>
  <c r="BJ397"/>
  <c r="BK397"/>
  <c r="BA397"/>
  <c r="BL397"/>
  <c r="AZ397"/>
  <c r="BB398"/>
  <c r="BC398"/>
  <c r="BD398"/>
  <c r="BE398"/>
  <c r="BF398"/>
  <c r="BG398"/>
  <c r="BH398"/>
  <c r="BI398"/>
  <c r="BJ398"/>
  <c r="BK398"/>
  <c r="BA398"/>
  <c r="BL398"/>
  <c r="AZ398"/>
  <c r="BB399"/>
  <c r="BC399"/>
  <c r="BD399"/>
  <c r="BE399"/>
  <c r="BF399"/>
  <c r="BG399"/>
  <c r="BH399"/>
  <c r="BI399"/>
  <c r="BJ399"/>
  <c r="BK399"/>
  <c r="BA399"/>
  <c r="BL399"/>
  <c r="AZ399"/>
  <c r="BB400"/>
  <c r="BC400"/>
  <c r="BD400"/>
  <c r="BE400"/>
  <c r="BF400"/>
  <c r="BG400"/>
  <c r="BH400"/>
  <c r="BI400"/>
  <c r="BJ400"/>
  <c r="BK400"/>
  <c r="BA400"/>
  <c r="BL400"/>
  <c r="AZ400"/>
  <c r="BB401"/>
  <c r="BC401"/>
  <c r="BD401"/>
  <c r="BE401"/>
  <c r="BF401"/>
  <c r="BG401"/>
  <c r="BH401"/>
  <c r="BI401"/>
  <c r="BJ401"/>
  <c r="BK401"/>
  <c r="BA401"/>
  <c r="BL401"/>
  <c r="AZ401"/>
  <c r="BB402"/>
  <c r="BC402"/>
  <c r="BD402"/>
  <c r="BE402"/>
  <c r="BF402"/>
  <c r="BG402"/>
  <c r="BH402"/>
  <c r="BI402"/>
  <c r="BJ402"/>
  <c r="BK402"/>
  <c r="BA402"/>
  <c r="BL402"/>
  <c r="AZ402"/>
  <c r="BB403"/>
  <c r="BC403"/>
  <c r="BD403"/>
  <c r="BE403"/>
  <c r="BF403"/>
  <c r="BG403"/>
  <c r="BH403"/>
  <c r="BI403"/>
  <c r="BJ403"/>
  <c r="BK403"/>
  <c r="BA403"/>
  <c r="BL403"/>
  <c r="AZ403"/>
  <c r="BB404"/>
  <c r="BC404"/>
  <c r="BD404"/>
  <c r="BE404"/>
  <c r="BF404"/>
  <c r="BG404"/>
  <c r="BH404"/>
  <c r="BI404"/>
  <c r="BJ404"/>
  <c r="BK404"/>
  <c r="BA404"/>
  <c r="BL404"/>
  <c r="AZ404"/>
  <c r="BB405"/>
  <c r="BC405"/>
  <c r="BD405"/>
  <c r="BE405"/>
  <c r="BF405"/>
  <c r="BG405"/>
  <c r="BH405"/>
  <c r="BI405"/>
  <c r="BJ405"/>
  <c r="BK405"/>
  <c r="BA405"/>
  <c r="BL405"/>
  <c r="AZ405"/>
  <c r="BB406"/>
  <c r="BC406"/>
  <c r="BD406"/>
  <c r="BE406"/>
  <c r="BF406"/>
  <c r="BG406"/>
  <c r="BH406"/>
  <c r="BI406"/>
  <c r="BJ406"/>
  <c r="BK406"/>
  <c r="BA406"/>
  <c r="BL406"/>
  <c r="AZ406"/>
  <c r="BB407"/>
  <c r="BC407"/>
  <c r="BD407"/>
  <c r="BE407"/>
  <c r="BF407"/>
  <c r="BG407"/>
  <c r="BH407"/>
  <c r="BI407"/>
  <c r="BJ407"/>
  <c r="BK407"/>
  <c r="BA407"/>
  <c r="BL407"/>
  <c r="AZ407"/>
  <c r="BB408"/>
  <c r="BC408"/>
  <c r="BD408"/>
  <c r="BE408"/>
  <c r="BF408"/>
  <c r="BG408"/>
  <c r="BH408"/>
  <c r="BI408"/>
  <c r="BJ408"/>
  <c r="BK408"/>
  <c r="BA408"/>
  <c r="BL408"/>
  <c r="AZ408"/>
  <c r="BB409"/>
  <c r="BC409"/>
  <c r="BD409"/>
  <c r="BE409"/>
  <c r="BF409"/>
  <c r="BG409"/>
  <c r="BH409"/>
  <c r="BI409"/>
  <c r="BJ409"/>
  <c r="BK409"/>
  <c r="BA409"/>
  <c r="BL409"/>
  <c r="AZ409"/>
  <c r="BB410"/>
  <c r="BC410"/>
  <c r="BD410"/>
  <c r="BE410"/>
  <c r="BF410"/>
  <c r="BG410"/>
  <c r="BH410"/>
  <c r="BI410"/>
  <c r="BJ410"/>
  <c r="BK410"/>
  <c r="BA410"/>
  <c r="BL410"/>
  <c r="AZ410"/>
  <c r="BB411"/>
  <c r="BC411"/>
  <c r="BD411"/>
  <c r="BE411"/>
  <c r="BF411"/>
  <c r="BG411"/>
  <c r="BH411"/>
  <c r="BI411"/>
  <c r="BJ411"/>
  <c r="BK411"/>
  <c r="BA411"/>
  <c r="BL411"/>
  <c r="AZ411"/>
  <c r="BB412"/>
  <c r="BC412"/>
  <c r="BD412"/>
  <c r="BE412"/>
  <c r="BF412"/>
  <c r="BG412"/>
  <c r="BH412"/>
  <c r="BI412"/>
  <c r="BJ412"/>
  <c r="BK412"/>
  <c r="BA412"/>
  <c r="BL412"/>
  <c r="AZ412"/>
  <c r="BB413"/>
  <c r="BC413"/>
  <c r="BD413"/>
  <c r="BE413"/>
  <c r="BF413"/>
  <c r="BG413"/>
  <c r="BH413"/>
  <c r="BI413"/>
  <c r="BJ413"/>
  <c r="BK413"/>
  <c r="BA413"/>
  <c r="BL413"/>
  <c r="AZ413"/>
  <c r="BB414"/>
  <c r="BC414"/>
  <c r="BD414"/>
  <c r="BE414"/>
  <c r="BF414"/>
  <c r="BG414"/>
  <c r="BH414"/>
  <c r="BI414"/>
  <c r="BJ414"/>
  <c r="BK414"/>
  <c r="BA414"/>
  <c r="BL414"/>
  <c r="AZ414"/>
  <c r="BB415"/>
  <c r="BC415"/>
  <c r="BD415"/>
  <c r="BE415"/>
  <c r="BF415"/>
  <c r="BG415"/>
  <c r="BH415"/>
  <c r="BI415"/>
  <c r="BJ415"/>
  <c r="BK415"/>
  <c r="BA415"/>
  <c r="BL415"/>
  <c r="AZ415"/>
  <c r="BB416"/>
  <c r="BC416"/>
  <c r="BD416"/>
  <c r="BE416"/>
  <c r="BF416"/>
  <c r="BG416"/>
  <c r="BH416"/>
  <c r="BI416"/>
  <c r="BJ416"/>
  <c r="BK416"/>
  <c r="BA416"/>
  <c r="BL416"/>
  <c r="AZ416"/>
  <c r="BB417"/>
  <c r="BC417"/>
  <c r="BD417"/>
  <c r="BE417"/>
  <c r="BF417"/>
  <c r="BG417"/>
  <c r="BH417"/>
  <c r="BI417"/>
  <c r="BJ417"/>
  <c r="BK417"/>
  <c r="BA417"/>
  <c r="BL417"/>
  <c r="AZ417"/>
  <c r="BB418"/>
  <c r="BC418"/>
  <c r="BD418"/>
  <c r="BE418"/>
  <c r="BF418"/>
  <c r="BG418"/>
  <c r="BH418"/>
  <c r="BI418"/>
  <c r="BJ418"/>
  <c r="BK418"/>
  <c r="BA418"/>
  <c r="BL418"/>
  <c r="AZ418"/>
  <c r="BB419"/>
  <c r="BC419"/>
  <c r="BD419"/>
  <c r="BE419"/>
  <c r="BF419"/>
  <c r="BG419"/>
  <c r="BH419"/>
  <c r="BI419"/>
  <c r="BJ419"/>
  <c r="BK419"/>
  <c r="BA419"/>
  <c r="BL419"/>
  <c r="AZ419"/>
  <c r="BB420"/>
  <c r="BC420"/>
  <c r="BD420"/>
  <c r="BE420"/>
  <c r="BF420"/>
  <c r="BG420"/>
  <c r="BH420"/>
  <c r="BI420"/>
  <c r="BJ420"/>
  <c r="BK420"/>
  <c r="BA420"/>
  <c r="BL420"/>
  <c r="AZ420"/>
  <c r="BB421"/>
  <c r="BC421"/>
  <c r="BD421"/>
  <c r="BE421"/>
  <c r="BF421"/>
  <c r="BG421"/>
  <c r="BH421"/>
  <c r="BI421"/>
  <c r="BJ421"/>
  <c r="BK421"/>
  <c r="BA421"/>
  <c r="BL421"/>
  <c r="AZ421"/>
  <c r="BB422"/>
  <c r="BC422"/>
  <c r="BD422"/>
  <c r="BE422"/>
  <c r="BF422"/>
  <c r="BG422"/>
  <c r="BH422"/>
  <c r="BI422"/>
  <c r="BJ422"/>
  <c r="BK422"/>
  <c r="BA422"/>
  <c r="BL422"/>
  <c r="AZ422"/>
  <c r="BB423"/>
  <c r="BC423"/>
  <c r="BD423"/>
  <c r="BE423"/>
  <c r="BF423"/>
  <c r="BG423"/>
  <c r="BH423"/>
  <c r="BI423"/>
  <c r="BJ423"/>
  <c r="BK423"/>
  <c r="BA423"/>
  <c r="BL423"/>
  <c r="AZ423"/>
  <c r="BB424"/>
  <c r="BC424"/>
  <c r="BD424"/>
  <c r="BE424"/>
  <c r="BF424"/>
  <c r="BG424"/>
  <c r="BH424"/>
  <c r="BI424"/>
  <c r="BJ424"/>
  <c r="BK424"/>
  <c r="BA424"/>
  <c r="BL424"/>
  <c r="AZ424"/>
  <c r="BB425"/>
  <c r="BC425"/>
  <c r="BD425"/>
  <c r="BE425"/>
  <c r="BF425"/>
  <c r="BG425"/>
  <c r="BH425"/>
  <c r="BI425"/>
  <c r="BJ425"/>
  <c r="BK425"/>
  <c r="BA425"/>
  <c r="BL425"/>
  <c r="AZ425"/>
  <c r="BB426"/>
  <c r="BC426"/>
  <c r="BD426"/>
  <c r="BE426"/>
  <c r="BF426"/>
  <c r="BG426"/>
  <c r="BH426"/>
  <c r="BI426"/>
  <c r="BJ426"/>
  <c r="BK426"/>
  <c r="BA426"/>
  <c r="BL426"/>
  <c r="AZ426"/>
  <c r="BB427"/>
  <c r="BC427"/>
  <c r="BD427"/>
  <c r="BE427"/>
  <c r="BF427"/>
  <c r="BG427"/>
  <c r="BH427"/>
  <c r="BI427"/>
  <c r="BJ427"/>
  <c r="BK427"/>
  <c r="BA427"/>
  <c r="BL427"/>
  <c r="AZ427"/>
  <c r="BB428"/>
  <c r="BC428"/>
  <c r="BD428"/>
  <c r="BE428"/>
  <c r="BF428"/>
  <c r="BG428"/>
  <c r="BH428"/>
  <c r="BI428"/>
  <c r="BJ428"/>
  <c r="BK428"/>
  <c r="BA428"/>
  <c r="BL428"/>
  <c r="AZ428"/>
  <c r="BB429"/>
  <c r="BC429"/>
  <c r="BD429"/>
  <c r="BE429"/>
  <c r="BF429"/>
  <c r="BG429"/>
  <c r="BH429"/>
  <c r="BI429"/>
  <c r="BJ429"/>
  <c r="BK429"/>
  <c r="BA429"/>
  <c r="BL429"/>
  <c r="AZ429"/>
  <c r="BB430"/>
  <c r="BC430"/>
  <c r="BD430"/>
  <c r="BE430"/>
  <c r="BF430"/>
  <c r="BG430"/>
  <c r="BH430"/>
  <c r="BI430"/>
  <c r="BJ430"/>
  <c r="BK430"/>
  <c r="BA430"/>
  <c r="BL430"/>
  <c r="AZ430"/>
  <c r="BB431"/>
  <c r="BC431"/>
  <c r="BD431"/>
  <c r="BE431"/>
  <c r="BF431"/>
  <c r="BG431"/>
  <c r="BH431"/>
  <c r="BI431"/>
  <c r="BJ431"/>
  <c r="BK431"/>
  <c r="BA431"/>
  <c r="BL431"/>
  <c r="AZ431"/>
  <c r="BB432"/>
  <c r="BC432"/>
  <c r="BD432"/>
  <c r="BE432"/>
  <c r="BF432"/>
  <c r="BG432"/>
  <c r="BH432"/>
  <c r="BI432"/>
  <c r="BJ432"/>
  <c r="BK432"/>
  <c r="BA432"/>
  <c r="BL432"/>
  <c r="AZ432"/>
  <c r="BB433"/>
  <c r="BC433"/>
  <c r="BD433"/>
  <c r="BE433"/>
  <c r="BF433"/>
  <c r="BG433"/>
  <c r="BH433"/>
  <c r="BI433"/>
  <c r="BJ433"/>
  <c r="BK433"/>
  <c r="BA433"/>
  <c r="BL433"/>
  <c r="AZ433"/>
  <c r="BB434"/>
  <c r="BC434"/>
  <c r="BD434"/>
  <c r="BE434"/>
  <c r="BF434"/>
  <c r="BG434"/>
  <c r="BH434"/>
  <c r="BI434"/>
  <c r="BJ434"/>
  <c r="BK434"/>
  <c r="BA434"/>
  <c r="BL434"/>
  <c r="AZ434"/>
  <c r="BB435"/>
  <c r="BC435"/>
  <c r="BD435"/>
  <c r="BE435"/>
  <c r="BF435"/>
  <c r="BG435"/>
  <c r="BH435"/>
  <c r="BI435"/>
  <c r="BJ435"/>
  <c r="BK435"/>
  <c r="BA435"/>
  <c r="BL435"/>
  <c r="AZ435"/>
  <c r="BB436"/>
  <c r="BC436"/>
  <c r="BD436"/>
  <c r="BE436"/>
  <c r="BF436"/>
  <c r="BG436"/>
  <c r="BH436"/>
  <c r="BI436"/>
  <c r="BJ436"/>
  <c r="BK436"/>
  <c r="BA436"/>
  <c r="BL436"/>
  <c r="AZ436"/>
  <c r="BB437"/>
  <c r="BC437"/>
  <c r="BD437"/>
  <c r="BE437"/>
  <c r="BF437"/>
  <c r="BG437"/>
  <c r="BH437"/>
  <c r="BI437"/>
  <c r="BJ437"/>
  <c r="BK437"/>
  <c r="BA437"/>
  <c r="BL437"/>
  <c r="AZ437"/>
  <c r="BB438"/>
  <c r="BC438"/>
  <c r="BD438"/>
  <c r="BE438"/>
  <c r="BF438"/>
  <c r="BG438"/>
  <c r="BH438"/>
  <c r="BI438"/>
  <c r="BJ438"/>
  <c r="BK438"/>
  <c r="BA438"/>
  <c r="BL438"/>
  <c r="AZ438"/>
  <c r="BB439"/>
  <c r="BC439"/>
  <c r="BD439"/>
  <c r="BE439"/>
  <c r="BF439"/>
  <c r="BG439"/>
  <c r="BH439"/>
  <c r="BI439"/>
  <c r="BJ439"/>
  <c r="BK439"/>
  <c r="BA439"/>
  <c r="BL439"/>
  <c r="AZ439"/>
  <c r="BB440"/>
  <c r="BC440"/>
  <c r="BD440"/>
  <c r="BE440"/>
  <c r="BF440"/>
  <c r="BG440"/>
  <c r="BH440"/>
  <c r="BI440"/>
  <c r="BJ440"/>
  <c r="BK440"/>
  <c r="BA440"/>
  <c r="BL440"/>
  <c r="AZ440"/>
  <c r="BB441"/>
  <c r="BC441"/>
  <c r="BD441"/>
  <c r="BE441"/>
  <c r="BF441"/>
  <c r="BG441"/>
  <c r="BH441"/>
  <c r="BI441"/>
  <c r="BJ441"/>
  <c r="BK441"/>
  <c r="BA441"/>
  <c r="BL441"/>
  <c r="AZ441"/>
  <c r="BB442"/>
  <c r="BC442"/>
  <c r="BD442"/>
  <c r="BE442"/>
  <c r="BF442"/>
  <c r="BG442"/>
  <c r="BH442"/>
  <c r="BI442"/>
  <c r="BJ442"/>
  <c r="BK442"/>
  <c r="BA442"/>
  <c r="BL442"/>
  <c r="AZ442"/>
  <c r="BB443"/>
  <c r="BC443"/>
  <c r="BD443"/>
  <c r="BE443"/>
  <c r="BF443"/>
  <c r="BG443"/>
  <c r="BH443"/>
  <c r="BI443"/>
  <c r="BJ443"/>
  <c r="BK443"/>
  <c r="BA443"/>
  <c r="BL443"/>
  <c r="AZ443"/>
  <c r="BB444"/>
  <c r="BC444"/>
  <c r="BD444"/>
  <c r="BE444"/>
  <c r="BF444"/>
  <c r="BG444"/>
  <c r="BH444"/>
  <c r="BI444"/>
  <c r="BJ444"/>
  <c r="BK444"/>
  <c r="BA444"/>
  <c r="BL444"/>
  <c r="AZ444"/>
  <c r="BB445"/>
  <c r="BC445"/>
  <c r="BD445"/>
  <c r="BE445"/>
  <c r="BF445"/>
  <c r="BG445"/>
  <c r="BH445"/>
  <c r="BI445"/>
  <c r="BJ445"/>
  <c r="BK445"/>
  <c r="BA445"/>
  <c r="BL445"/>
  <c r="AZ445"/>
  <c r="BB446"/>
  <c r="BC446"/>
  <c r="BD446"/>
  <c r="BE446"/>
  <c r="BF446"/>
  <c r="BG446"/>
  <c r="BH446"/>
  <c r="BI446"/>
  <c r="BJ446"/>
  <c r="BK446"/>
  <c r="BA446"/>
  <c r="BL446"/>
  <c r="AZ446"/>
  <c r="BB447"/>
  <c r="BC447"/>
  <c r="BD447"/>
  <c r="BE447"/>
  <c r="BF447"/>
  <c r="BG447"/>
  <c r="BH447"/>
  <c r="BI447"/>
  <c r="BJ447"/>
  <c r="BK447"/>
  <c r="BA447"/>
  <c r="BL447"/>
  <c r="AZ447"/>
  <c r="BB448"/>
  <c r="BC448"/>
  <c r="BD448"/>
  <c r="BE448"/>
  <c r="BF448"/>
  <c r="BG448"/>
  <c r="BH448"/>
  <c r="BI448"/>
  <c r="BJ448"/>
  <c r="BK448"/>
  <c r="BA448"/>
  <c r="BL448"/>
  <c r="AZ448"/>
  <c r="BB449"/>
  <c r="BC449"/>
  <c r="BD449"/>
  <c r="BE449"/>
  <c r="BF449"/>
  <c r="BG449"/>
  <c r="BH449"/>
  <c r="BI449"/>
  <c r="BJ449"/>
  <c r="BK449"/>
  <c r="BA449"/>
  <c r="BL449"/>
  <c r="AZ449"/>
  <c r="BB450"/>
  <c r="BC450"/>
  <c r="BD450"/>
  <c r="BE450"/>
  <c r="BF450"/>
  <c r="BG450"/>
  <c r="BH450"/>
  <c r="BI450"/>
  <c r="BJ450"/>
  <c r="BK450"/>
  <c r="BA450"/>
  <c r="BL450"/>
  <c r="AZ450"/>
  <c r="BB451"/>
  <c r="BC451"/>
  <c r="BD451"/>
  <c r="BE451"/>
  <c r="BF451"/>
  <c r="BG451"/>
  <c r="BH451"/>
  <c r="BI451"/>
  <c r="BJ451"/>
  <c r="BK451"/>
  <c r="BA451"/>
  <c r="BL451"/>
  <c r="AZ451"/>
  <c r="BB452"/>
  <c r="BC452"/>
  <c r="BD452"/>
  <c r="BE452"/>
  <c r="BF452"/>
  <c r="BG452"/>
  <c r="BH452"/>
  <c r="BI452"/>
  <c r="BJ452"/>
  <c r="BK452"/>
  <c r="BA452"/>
  <c r="BL452"/>
  <c r="AZ452"/>
  <c r="BB453"/>
  <c r="BC453"/>
  <c r="BD453"/>
  <c r="BE453"/>
  <c r="BF453"/>
  <c r="BG453"/>
  <c r="BH453"/>
  <c r="BI453"/>
  <c r="BJ453"/>
  <c r="BK453"/>
  <c r="BA453"/>
  <c r="BL453"/>
  <c r="AZ453"/>
  <c r="BB454"/>
  <c r="BC454"/>
  <c r="BD454"/>
  <c r="BE454"/>
  <c r="BF454"/>
  <c r="BG454"/>
  <c r="BH454"/>
  <c r="BI454"/>
  <c r="BJ454"/>
  <c r="BK454"/>
  <c r="BA454"/>
  <c r="BL454"/>
  <c r="AZ454"/>
  <c r="BB455"/>
  <c r="BC455"/>
  <c r="BD455"/>
  <c r="BE455"/>
  <c r="BF455"/>
  <c r="BG455"/>
  <c r="BH455"/>
  <c r="BI455"/>
  <c r="BJ455"/>
  <c r="BK455"/>
  <c r="BA455"/>
  <c r="BL455"/>
  <c r="AZ455"/>
  <c r="BB456"/>
  <c r="BC456"/>
  <c r="BD456"/>
  <c r="BE456"/>
  <c r="BF456"/>
  <c r="BG456"/>
  <c r="BH456"/>
  <c r="BI456"/>
  <c r="BJ456"/>
  <c r="BK456"/>
  <c r="BA456"/>
  <c r="BL456"/>
  <c r="AZ456"/>
  <c r="BB457"/>
  <c r="BC457"/>
  <c r="BD457"/>
  <c r="BE457"/>
  <c r="BF457"/>
  <c r="BG457"/>
  <c r="BH457"/>
  <c r="BI457"/>
  <c r="BJ457"/>
  <c r="BK457"/>
  <c r="BA457"/>
  <c r="BL457"/>
  <c r="AZ457"/>
  <c r="BB458"/>
  <c r="BC458"/>
  <c r="BD458"/>
  <c r="BE458"/>
  <c r="BF458"/>
  <c r="BG458"/>
  <c r="BH458"/>
  <c r="BI458"/>
  <c r="BJ458"/>
  <c r="BK458"/>
  <c r="BA458"/>
  <c r="BL458"/>
  <c r="AZ458"/>
  <c r="BB459"/>
  <c r="BC459"/>
  <c r="BD459"/>
  <c r="BE459"/>
  <c r="BF459"/>
  <c r="BG459"/>
  <c r="BH459"/>
  <c r="BI459"/>
  <c r="BJ459"/>
  <c r="BK459"/>
  <c r="BA459"/>
  <c r="BL459"/>
  <c r="AZ459"/>
  <c r="BB460"/>
  <c r="BC460"/>
  <c r="BD460"/>
  <c r="BE460"/>
  <c r="BF460"/>
  <c r="BG460"/>
  <c r="BH460"/>
  <c r="BI460"/>
  <c r="BJ460"/>
  <c r="BK460"/>
  <c r="BA460"/>
  <c r="BL460"/>
  <c r="AZ460"/>
  <c r="BB461"/>
  <c r="BC461"/>
  <c r="BD461"/>
  <c r="BE461"/>
  <c r="BF461"/>
  <c r="BG461"/>
  <c r="BH461"/>
  <c r="BI461"/>
  <c r="BJ461"/>
  <c r="BK461"/>
  <c r="BA461"/>
  <c r="BL461"/>
  <c r="AZ461"/>
  <c r="BB462"/>
  <c r="BC462"/>
  <c r="BD462"/>
  <c r="BE462"/>
  <c r="BF462"/>
  <c r="BG462"/>
  <c r="BH462"/>
  <c r="BI462"/>
  <c r="BJ462"/>
  <c r="BK462"/>
  <c r="BA462"/>
  <c r="BL462"/>
  <c r="AZ462"/>
  <c r="BB463"/>
  <c r="BC463"/>
  <c r="BD463"/>
  <c r="BE463"/>
  <c r="BF463"/>
  <c r="BG463"/>
  <c r="BH463"/>
  <c r="BI463"/>
  <c r="BJ463"/>
  <c r="BK463"/>
  <c r="BA463"/>
  <c r="BL463"/>
  <c r="AZ463"/>
  <c r="BB464"/>
  <c r="BC464"/>
  <c r="BD464"/>
  <c r="BE464"/>
  <c r="BF464"/>
  <c r="BG464"/>
  <c r="BH464"/>
  <c r="BI464"/>
  <c r="BJ464"/>
  <c r="BK464"/>
  <c r="BA464"/>
  <c r="BL464"/>
  <c r="AZ464"/>
  <c r="BB465"/>
  <c r="BC465"/>
  <c r="BD465"/>
  <c r="BE465"/>
  <c r="BF465"/>
  <c r="BG465"/>
  <c r="BH465"/>
  <c r="BI465"/>
  <c r="BJ465"/>
  <c r="BK465"/>
  <c r="BA465"/>
  <c r="BL465"/>
  <c r="AZ465"/>
  <c r="BB466"/>
  <c r="BC466"/>
  <c r="BD466"/>
  <c r="BE466"/>
  <c r="BF466"/>
  <c r="BG466"/>
  <c r="BH466"/>
  <c r="BI466"/>
  <c r="BJ466"/>
  <c r="BK466"/>
  <c r="BA466"/>
  <c r="BL466"/>
  <c r="AZ466"/>
  <c r="BB467"/>
  <c r="BC467"/>
  <c r="BD467"/>
  <c r="BE467"/>
  <c r="BF467"/>
  <c r="BG467"/>
  <c r="BH467"/>
  <c r="BI467"/>
  <c r="BJ467"/>
  <c r="BK467"/>
  <c r="BA467"/>
  <c r="BL467"/>
  <c r="AZ467"/>
  <c r="BB468"/>
  <c r="BC468"/>
  <c r="BD468"/>
  <c r="BE468"/>
  <c r="BF468"/>
  <c r="BG468"/>
  <c r="BH468"/>
  <c r="BI468"/>
  <c r="BJ468"/>
  <c r="BK468"/>
  <c r="BA468"/>
  <c r="BL468"/>
  <c r="AZ468"/>
  <c r="BB469"/>
  <c r="BC469"/>
  <c r="BD469"/>
  <c r="BE469"/>
  <c r="BF469"/>
  <c r="BG469"/>
  <c r="BH469"/>
  <c r="BI469"/>
  <c r="BJ469"/>
  <c r="BK469"/>
  <c r="BA469"/>
  <c r="BL469"/>
  <c r="AZ469"/>
  <c r="BB470"/>
  <c r="BC470"/>
  <c r="BD470"/>
  <c r="BE470"/>
  <c r="BF470"/>
  <c r="BG470"/>
  <c r="BH470"/>
  <c r="BI470"/>
  <c r="BJ470"/>
  <c r="BK470"/>
  <c r="BA470"/>
  <c r="BL470"/>
  <c r="AZ470"/>
  <c r="BB471"/>
  <c r="BC471"/>
  <c r="BD471"/>
  <c r="BE471"/>
  <c r="BF471"/>
  <c r="BG471"/>
  <c r="BH471"/>
  <c r="BI471"/>
  <c r="BJ471"/>
  <c r="BK471"/>
  <c r="BA471"/>
  <c r="BL471"/>
  <c r="AZ471"/>
  <c r="BB472"/>
  <c r="BC472"/>
  <c r="BD472"/>
  <c r="BE472"/>
  <c r="BF472"/>
  <c r="BG472"/>
  <c r="BH472"/>
  <c r="BI472"/>
  <c r="BJ472"/>
  <c r="BK472"/>
  <c r="BA472"/>
  <c r="BL472"/>
  <c r="AZ472"/>
  <c r="BB473"/>
  <c r="BC473"/>
  <c r="BD473"/>
  <c r="BE473"/>
  <c r="BF473"/>
  <c r="BG473"/>
  <c r="BH473"/>
  <c r="BI473"/>
  <c r="BJ473"/>
  <c r="BK473"/>
  <c r="BA473"/>
  <c r="BL473"/>
  <c r="AZ473"/>
  <c r="BB474"/>
  <c r="BC474"/>
  <c r="BD474"/>
  <c r="BE474"/>
  <c r="BF474"/>
  <c r="BG474"/>
  <c r="BH474"/>
  <c r="BI474"/>
  <c r="BJ474"/>
  <c r="BK474"/>
  <c r="BA474"/>
  <c r="BL474"/>
  <c r="AZ474"/>
  <c r="BB475"/>
  <c r="BC475"/>
  <c r="BD475"/>
  <c r="BE475"/>
  <c r="BF475"/>
  <c r="BG475"/>
  <c r="BH475"/>
  <c r="BI475"/>
  <c r="BJ475"/>
  <c r="BK475"/>
  <c r="BA475"/>
  <c r="BL475"/>
  <c r="AZ475"/>
  <c r="BB476"/>
  <c r="BC476"/>
  <c r="BD476"/>
  <c r="BE476"/>
  <c r="BF476"/>
  <c r="BG476"/>
  <c r="BH476"/>
  <c r="BI476"/>
  <c r="BJ476"/>
  <c r="BK476"/>
  <c r="BA476"/>
  <c r="BL476"/>
  <c r="AZ476"/>
  <c r="BB477"/>
  <c r="BC477"/>
  <c r="BD477"/>
  <c r="BE477"/>
  <c r="BF477"/>
  <c r="BG477"/>
  <c r="BH477"/>
  <c r="BI477"/>
  <c r="BJ477"/>
  <c r="BK477"/>
  <c r="BA477"/>
  <c r="BL477"/>
  <c r="AZ477"/>
  <c r="BB478"/>
  <c r="BC478"/>
  <c r="BD478"/>
  <c r="BE478"/>
  <c r="BF478"/>
  <c r="BG478"/>
  <c r="BH478"/>
  <c r="BI478"/>
  <c r="BJ478"/>
  <c r="BK478"/>
  <c r="BA478"/>
  <c r="BL478"/>
  <c r="AZ478"/>
  <c r="BB479"/>
  <c r="BC479"/>
  <c r="BD479"/>
  <c r="BE479"/>
  <c r="BF479"/>
  <c r="BG479"/>
  <c r="BH479"/>
  <c r="BI479"/>
  <c r="BJ479"/>
  <c r="BK479"/>
  <c r="BA479"/>
  <c r="BL479"/>
  <c r="AZ479"/>
  <c r="BB480"/>
  <c r="BC480"/>
  <c r="BD480"/>
  <c r="BE480"/>
  <c r="BF480"/>
  <c r="BG480"/>
  <c r="BH480"/>
  <c r="BI480"/>
  <c r="BJ480"/>
  <c r="BK480"/>
  <c r="BA480"/>
  <c r="BL480"/>
  <c r="AZ480"/>
  <c r="BB481"/>
  <c r="BC481"/>
  <c r="BD481"/>
  <c r="BE481"/>
  <c r="BF481"/>
  <c r="BG481"/>
  <c r="BH481"/>
  <c r="BI481"/>
  <c r="BJ481"/>
  <c r="BK481"/>
  <c r="BA481"/>
  <c r="BL481"/>
  <c r="AZ481"/>
  <c r="BB482"/>
  <c r="BC482"/>
  <c r="BD482"/>
  <c r="BE482"/>
  <c r="BF482"/>
  <c r="BG482"/>
  <c r="BH482"/>
  <c r="BI482"/>
  <c r="BJ482"/>
  <c r="BK482"/>
  <c r="BA482"/>
  <c r="BL482"/>
  <c r="AZ482"/>
  <c r="BB483"/>
  <c r="BC483"/>
  <c r="BD483"/>
  <c r="BE483"/>
  <c r="BF483"/>
  <c r="BG483"/>
  <c r="BH483"/>
  <c r="BI483"/>
  <c r="BJ483"/>
  <c r="BK483"/>
  <c r="BA483"/>
  <c r="BL483"/>
  <c r="AZ483"/>
  <c r="BB484"/>
  <c r="BC484"/>
  <c r="BD484"/>
  <c r="BE484"/>
  <c r="BF484"/>
  <c r="BG484"/>
  <c r="BH484"/>
  <c r="BI484"/>
  <c r="BJ484"/>
  <c r="BK484"/>
  <c r="BA484"/>
  <c r="BL484"/>
  <c r="AZ484"/>
  <c r="BB485"/>
  <c r="BC485"/>
  <c r="BD485"/>
  <c r="BE485"/>
  <c r="BF485"/>
  <c r="BG485"/>
  <c r="BH485"/>
  <c r="BI485"/>
  <c r="BJ485"/>
  <c r="BK485"/>
  <c r="BA485"/>
  <c r="BL485"/>
  <c r="AZ485"/>
  <c r="BB486"/>
  <c r="BC486"/>
  <c r="BD486"/>
  <c r="BE486"/>
  <c r="BF486"/>
  <c r="BG486"/>
  <c r="BH486"/>
  <c r="BI486"/>
  <c r="BJ486"/>
  <c r="BK486"/>
  <c r="BA486"/>
  <c r="BL486"/>
  <c r="AZ486"/>
  <c r="BB487"/>
  <c r="BC487"/>
  <c r="BD487"/>
  <c r="BE487"/>
  <c r="BF487"/>
  <c r="BG487"/>
  <c r="BH487"/>
  <c r="BI487"/>
  <c r="BJ487"/>
  <c r="BK487"/>
  <c r="BA487"/>
  <c r="BL487"/>
  <c r="AZ487"/>
  <c r="BB488"/>
  <c r="BC488"/>
  <c r="BD488"/>
  <c r="BE488"/>
  <c r="BF488"/>
  <c r="BG488"/>
  <c r="BH488"/>
  <c r="BI488"/>
  <c r="BJ488"/>
  <c r="BK488"/>
  <c r="BA488"/>
  <c r="BL488"/>
  <c r="AZ488"/>
  <c r="BB489"/>
  <c r="BC489"/>
  <c r="BD489"/>
  <c r="BE489"/>
  <c r="BF489"/>
  <c r="BG489"/>
  <c r="BH489"/>
  <c r="BI489"/>
  <c r="BJ489"/>
  <c r="BK489"/>
  <c r="BA489"/>
  <c r="BL489"/>
  <c r="AZ489"/>
  <c r="BB490"/>
  <c r="BC490"/>
  <c r="BD490"/>
  <c r="BE490"/>
  <c r="BF490"/>
  <c r="BG490"/>
  <c r="BH490"/>
  <c r="BI490"/>
  <c r="BJ490"/>
  <c r="BK490"/>
  <c r="BA490"/>
  <c r="BL490"/>
  <c r="AZ490"/>
  <c r="BB491"/>
  <c r="BC491"/>
  <c r="BD491"/>
  <c r="BE491"/>
  <c r="BF491"/>
  <c r="BG491"/>
  <c r="BH491"/>
  <c r="BI491"/>
  <c r="BJ491"/>
  <c r="BK491"/>
  <c r="BA491"/>
  <c r="BL491"/>
  <c r="AZ491"/>
  <c r="BB492"/>
  <c r="BC492"/>
  <c r="BD492"/>
  <c r="BE492"/>
  <c r="BF492"/>
  <c r="BG492"/>
  <c r="BH492"/>
  <c r="BI492"/>
  <c r="BJ492"/>
  <c r="BK492"/>
  <c r="BA492"/>
  <c r="BL492"/>
  <c r="AZ492"/>
  <c r="BB493"/>
  <c r="BC493"/>
  <c r="BD493"/>
  <c r="BE493"/>
  <c r="BF493"/>
  <c r="BG493"/>
  <c r="BH493"/>
  <c r="BI493"/>
  <c r="BJ493"/>
  <c r="BK493"/>
  <c r="BA493"/>
  <c r="BL493"/>
  <c r="AZ493"/>
  <c r="BB494"/>
  <c r="BC494"/>
  <c r="BD494"/>
  <c r="BE494"/>
  <c r="BF494"/>
  <c r="BG494"/>
  <c r="BH494"/>
  <c r="BI494"/>
  <c r="BJ494"/>
  <c r="BK494"/>
  <c r="BA494"/>
  <c r="BL494"/>
  <c r="AZ494"/>
  <c r="BB495"/>
  <c r="BC495"/>
  <c r="BD495"/>
  <c r="BE495"/>
  <c r="BF495"/>
  <c r="BG495"/>
  <c r="BH495"/>
  <c r="BI495"/>
  <c r="BJ495"/>
  <c r="BK495"/>
  <c r="BA495"/>
  <c r="BL495"/>
  <c r="AZ495"/>
  <c r="BB496"/>
  <c r="BC496"/>
  <c r="BD496"/>
  <c r="BE496"/>
  <c r="BF496"/>
  <c r="BG496"/>
  <c r="BH496"/>
  <c r="BI496"/>
  <c r="BJ496"/>
  <c r="BK496"/>
  <c r="BA496"/>
  <c r="BL496"/>
  <c r="AZ496"/>
  <c r="BB497"/>
  <c r="BC497"/>
  <c r="BD497"/>
  <c r="BE497"/>
  <c r="BF497"/>
  <c r="BG497"/>
  <c r="BH497"/>
  <c r="BI497"/>
  <c r="BJ497"/>
  <c r="BK497"/>
  <c r="BA497"/>
  <c r="BL497"/>
  <c r="AZ497"/>
  <c r="BB498"/>
  <c r="BC498"/>
  <c r="BD498"/>
  <c r="BE498"/>
  <c r="BF498"/>
  <c r="BG498"/>
  <c r="BH498"/>
  <c r="BI498"/>
  <c r="BJ498"/>
  <c r="BK498"/>
  <c r="BA498"/>
  <c r="BL498"/>
  <c r="AZ498"/>
  <c r="BB499"/>
  <c r="BC499"/>
  <c r="BD499"/>
  <c r="BE499"/>
  <c r="BF499"/>
  <c r="BG499"/>
  <c r="BH499"/>
  <c r="BI499"/>
  <c r="BJ499"/>
  <c r="BK499"/>
  <c r="BA499"/>
  <c r="BL499"/>
  <c r="AZ499"/>
  <c r="BB500"/>
  <c r="BC500"/>
  <c r="BD500"/>
  <c r="BE500"/>
  <c r="BF500"/>
  <c r="BG500"/>
  <c r="BH500"/>
  <c r="BI500"/>
  <c r="BJ500"/>
  <c r="BK500"/>
  <c r="BA500"/>
  <c r="BL500"/>
  <c r="AZ500"/>
  <c r="BB501"/>
  <c r="BC501"/>
  <c r="BD501"/>
  <c r="BE501"/>
  <c r="BF501"/>
  <c r="BG501"/>
  <c r="BH501"/>
  <c r="BI501"/>
  <c r="BJ501"/>
  <c r="BK501"/>
  <c r="BA501"/>
  <c r="BL501"/>
  <c r="AZ501"/>
  <c r="BB502"/>
  <c r="BC502"/>
  <c r="BD502"/>
  <c r="BE502"/>
  <c r="BF502"/>
  <c r="BG502"/>
  <c r="BH502"/>
  <c r="BI502"/>
  <c r="BJ502"/>
  <c r="BK502"/>
  <c r="BA502"/>
  <c r="BL502"/>
  <c r="AZ502"/>
  <c r="BB503"/>
  <c r="BC503"/>
  <c r="BD503"/>
  <c r="BE503"/>
  <c r="BF503"/>
  <c r="BG503"/>
  <c r="BH503"/>
  <c r="BI503"/>
  <c r="BJ503"/>
  <c r="BK503"/>
  <c r="BA503"/>
  <c r="BL503"/>
  <c r="AZ503"/>
  <c r="BB504"/>
  <c r="BC504"/>
  <c r="BD504"/>
  <c r="BE504"/>
  <c r="BF504"/>
  <c r="BG504"/>
  <c r="BH504"/>
  <c r="BI504"/>
  <c r="BJ504"/>
  <c r="BK504"/>
  <c r="BA504"/>
  <c r="BL504"/>
  <c r="AZ504"/>
  <c r="BB505"/>
  <c r="BC505"/>
  <c r="BD505"/>
  <c r="BE505"/>
  <c r="BF505"/>
  <c r="BG505"/>
  <c r="BH505"/>
  <c r="BI505"/>
  <c r="BJ505"/>
  <c r="BK505"/>
  <c r="BA505"/>
  <c r="BL505"/>
  <c r="AZ505"/>
  <c r="BB506"/>
  <c r="BC506"/>
  <c r="BD506"/>
  <c r="BE506"/>
  <c r="BF506"/>
  <c r="BG506"/>
  <c r="BH506"/>
  <c r="BI506"/>
  <c r="BJ506"/>
  <c r="BK506"/>
  <c r="BA506"/>
  <c r="BL506"/>
  <c r="AZ506"/>
  <c r="BB507"/>
  <c r="BC507"/>
  <c r="BD507"/>
  <c r="BE507"/>
  <c r="BF507"/>
  <c r="BG507"/>
  <c r="BH507"/>
  <c r="BI507"/>
  <c r="BJ507"/>
  <c r="BK507"/>
  <c r="BA507"/>
  <c r="BL507"/>
  <c r="AZ507"/>
  <c r="BB508"/>
  <c r="BC508"/>
  <c r="BD508"/>
  <c r="BE508"/>
  <c r="BF508"/>
  <c r="BG508"/>
  <c r="BH508"/>
  <c r="BI508"/>
  <c r="BJ508"/>
  <c r="BK508"/>
  <c r="BA508"/>
  <c r="BL508"/>
  <c r="AZ508"/>
  <c r="BB509"/>
  <c r="BC509"/>
  <c r="BD509"/>
  <c r="BE509"/>
  <c r="BF509"/>
  <c r="BG509"/>
  <c r="BH509"/>
  <c r="BI509"/>
  <c r="BJ509"/>
  <c r="BK509"/>
  <c r="BA509"/>
  <c r="BL509"/>
  <c r="AZ509"/>
  <c r="BB510"/>
  <c r="BC510"/>
  <c r="BD510"/>
  <c r="BE510"/>
  <c r="BF510"/>
  <c r="BG510"/>
  <c r="BH510"/>
  <c r="BI510"/>
  <c r="BJ510"/>
  <c r="BK510"/>
  <c r="BA510"/>
  <c r="BL510"/>
  <c r="AZ510"/>
  <c r="BB511"/>
  <c r="BC511"/>
  <c r="BD511"/>
  <c r="BE511"/>
  <c r="BF511"/>
  <c r="BG511"/>
  <c r="BH511"/>
  <c r="BI511"/>
  <c r="BJ511"/>
  <c r="BK511"/>
  <c r="BA511"/>
  <c r="BL511"/>
  <c r="AZ511"/>
  <c r="BB512"/>
  <c r="BC512"/>
  <c r="BD512"/>
  <c r="BE512"/>
  <c r="BF512"/>
  <c r="BG512"/>
  <c r="BH512"/>
  <c r="BI512"/>
  <c r="BJ512"/>
  <c r="BK512"/>
  <c r="BA512"/>
  <c r="BL512"/>
  <c r="AZ512"/>
  <c r="BB513"/>
  <c r="BC513"/>
  <c r="BD513"/>
  <c r="BE513"/>
  <c r="BF513"/>
  <c r="BG513"/>
  <c r="BH513"/>
  <c r="BI513"/>
  <c r="BJ513"/>
  <c r="BK513"/>
  <c r="BA513"/>
  <c r="BL513"/>
  <c r="AZ513"/>
  <c r="BB514"/>
  <c r="BC514"/>
  <c r="BD514"/>
  <c r="BE514"/>
  <c r="BF514"/>
  <c r="BG514"/>
  <c r="BH514"/>
  <c r="BI514"/>
  <c r="BJ514"/>
  <c r="BK514"/>
  <c r="BA514"/>
  <c r="BL514"/>
  <c r="AZ514"/>
  <c r="BB515"/>
  <c r="BC515"/>
  <c r="BD515"/>
  <c r="BE515"/>
  <c r="BF515"/>
  <c r="BG515"/>
  <c r="BH515"/>
  <c r="BI515"/>
  <c r="BJ515"/>
  <c r="BK515"/>
  <c r="BA515"/>
  <c r="BL515"/>
  <c r="AZ515"/>
  <c r="BB516"/>
  <c r="BC516"/>
  <c r="BD516"/>
  <c r="BE516"/>
  <c r="BF516"/>
  <c r="BG516"/>
  <c r="BH516"/>
  <c r="BI516"/>
  <c r="BJ516"/>
  <c r="BK516"/>
  <c r="BA516"/>
  <c r="BL516"/>
  <c r="AZ516"/>
  <c r="BB517"/>
  <c r="BC517"/>
  <c r="BD517"/>
  <c r="BE517"/>
  <c r="BF517"/>
  <c r="BG517"/>
  <c r="BH517"/>
  <c r="BI517"/>
  <c r="BJ517"/>
  <c r="BK517"/>
  <c r="BA517"/>
  <c r="BL517"/>
  <c r="AZ517"/>
  <c r="BB518"/>
  <c r="BC518"/>
  <c r="BD518"/>
  <c r="BE518"/>
  <c r="BF518"/>
  <c r="BG518"/>
  <c r="BH518"/>
  <c r="BI518"/>
  <c r="BJ518"/>
  <c r="BK518"/>
  <c r="BA518"/>
  <c r="BL518"/>
  <c r="AZ518"/>
  <c r="BB519"/>
  <c r="BC519"/>
  <c r="BD519"/>
  <c r="BE519"/>
  <c r="BF519"/>
  <c r="BG519"/>
  <c r="BH519"/>
  <c r="BI519"/>
  <c r="BJ519"/>
  <c r="BK519"/>
  <c r="BA519"/>
  <c r="BL519"/>
  <c r="AZ519"/>
  <c r="BB520"/>
  <c r="BC520"/>
  <c r="BD520"/>
  <c r="BE520"/>
  <c r="BF520"/>
  <c r="BG520"/>
  <c r="BH520"/>
  <c r="BI520"/>
  <c r="BJ520"/>
  <c r="BK520"/>
  <c r="BA520"/>
  <c r="BL520"/>
  <c r="AZ520"/>
  <c r="BB521"/>
  <c r="BC521"/>
  <c r="BD521"/>
  <c r="BE521"/>
  <c r="BF521"/>
  <c r="BG521"/>
  <c r="BH521"/>
  <c r="BI521"/>
  <c r="BJ521"/>
  <c r="BK521"/>
  <c r="BA521"/>
  <c r="BL521"/>
  <c r="AZ521"/>
  <c r="BB522"/>
  <c r="BC522"/>
  <c r="BD522"/>
  <c r="BE522"/>
  <c r="BF522"/>
  <c r="BG522"/>
  <c r="BH522"/>
  <c r="BI522"/>
  <c r="BJ522"/>
  <c r="BK522"/>
  <c r="BA522"/>
  <c r="BL522"/>
  <c r="AZ522"/>
  <c r="BB523"/>
  <c r="BC523"/>
  <c r="BD523"/>
  <c r="BE523"/>
  <c r="BF523"/>
  <c r="BG523"/>
  <c r="BH523"/>
  <c r="BI523"/>
  <c r="BJ523"/>
  <c r="BK523"/>
  <c r="BA523"/>
  <c r="BL523"/>
  <c r="AZ523"/>
  <c r="BB524"/>
  <c r="BC524"/>
  <c r="BD524"/>
  <c r="BE524"/>
  <c r="BF524"/>
  <c r="BG524"/>
  <c r="BH524"/>
  <c r="BI524"/>
  <c r="BJ524"/>
  <c r="BK524"/>
  <c r="BA524"/>
  <c r="BL524"/>
  <c r="AZ524"/>
  <c r="BB525"/>
  <c r="BC525"/>
  <c r="BD525"/>
  <c r="BE525"/>
  <c r="BF525"/>
  <c r="BG525"/>
  <c r="BH525"/>
  <c r="BI525"/>
  <c r="BJ525"/>
  <c r="BK525"/>
  <c r="BA525"/>
  <c r="BL525"/>
  <c r="AZ525"/>
  <c r="BB526"/>
  <c r="BC526"/>
  <c r="BD526"/>
  <c r="BE526"/>
  <c r="BF526"/>
  <c r="BG526"/>
  <c r="BH526"/>
  <c r="BI526"/>
  <c r="BJ526"/>
  <c r="BK526"/>
  <c r="BA526"/>
  <c r="BL526"/>
  <c r="AZ526"/>
  <c r="BB527"/>
  <c r="BC527"/>
  <c r="BD527"/>
  <c r="BE527"/>
  <c r="BF527"/>
  <c r="BG527"/>
  <c r="BH527"/>
  <c r="BI527"/>
  <c r="BJ527"/>
  <c r="BK527"/>
  <c r="BA527"/>
  <c r="BL527"/>
  <c r="AZ527"/>
  <c r="BB528"/>
  <c r="BC528"/>
  <c r="BD528"/>
  <c r="BE528"/>
  <c r="BF528"/>
  <c r="BG528"/>
  <c r="BH528"/>
  <c r="BI528"/>
  <c r="BJ528"/>
  <c r="BK528"/>
  <c r="BA528"/>
  <c r="BL528"/>
  <c r="AZ528"/>
  <c r="BB529"/>
  <c r="BC529"/>
  <c r="BD529"/>
  <c r="BE529"/>
  <c r="BF529"/>
  <c r="BG529"/>
  <c r="BH529"/>
  <c r="BI529"/>
  <c r="BJ529"/>
  <c r="BK529"/>
  <c r="BA529"/>
  <c r="BL529"/>
  <c r="AZ529"/>
  <c r="BB530"/>
  <c r="BC530"/>
  <c r="BD530"/>
  <c r="BE530"/>
  <c r="BF530"/>
  <c r="BG530"/>
  <c r="BH530"/>
  <c r="BI530"/>
  <c r="BJ530"/>
  <c r="BK530"/>
  <c r="BA530"/>
  <c r="BL530"/>
  <c r="AZ530"/>
  <c r="BB531"/>
  <c r="BC531"/>
  <c r="BD531"/>
  <c r="BE531"/>
  <c r="BF531"/>
  <c r="BG531"/>
  <c r="BH531"/>
  <c r="BI531"/>
  <c r="BJ531"/>
  <c r="BK531"/>
  <c r="BA531"/>
  <c r="BL531"/>
  <c r="AZ531"/>
  <c r="BB532"/>
  <c r="BC532"/>
  <c r="BD532"/>
  <c r="BE532"/>
  <c r="BF532"/>
  <c r="BG532"/>
  <c r="BH532"/>
  <c r="BI532"/>
  <c r="BJ532"/>
  <c r="BK532"/>
  <c r="BA532"/>
  <c r="BL532"/>
  <c r="AZ532"/>
  <c r="BB533"/>
  <c r="BC533"/>
  <c r="BD533"/>
  <c r="BE533"/>
  <c r="BF533"/>
  <c r="BG533"/>
  <c r="BH533"/>
  <c r="BI533"/>
  <c r="BJ533"/>
  <c r="BK533"/>
  <c r="BA533"/>
  <c r="BL533"/>
  <c r="AZ533"/>
  <c r="BB534"/>
  <c r="BC534"/>
  <c r="BD534"/>
  <c r="BE534"/>
  <c r="BF534"/>
  <c r="BG534"/>
  <c r="BH534"/>
  <c r="BI534"/>
  <c r="BJ534"/>
  <c r="BK534"/>
  <c r="BA534"/>
  <c r="BL534"/>
  <c r="AZ534"/>
  <c r="BB535"/>
  <c r="BC535"/>
  <c r="BD535"/>
  <c r="BE535"/>
  <c r="BF535"/>
  <c r="BG535"/>
  <c r="BH535"/>
  <c r="BI535"/>
  <c r="BJ535"/>
  <c r="BK535"/>
  <c r="BA535"/>
  <c r="BL535"/>
  <c r="AZ535"/>
  <c r="BB536"/>
  <c r="BC536"/>
  <c r="BD536"/>
  <c r="BE536"/>
  <c r="BF536"/>
  <c r="BG536"/>
  <c r="BH536"/>
  <c r="BI536"/>
  <c r="BJ536"/>
  <c r="BK536"/>
  <c r="BA536"/>
  <c r="BL536"/>
  <c r="AZ536"/>
  <c r="BB537"/>
  <c r="BC537"/>
  <c r="BD537"/>
  <c r="BE537"/>
  <c r="BF537"/>
  <c r="BG537"/>
  <c r="BH537"/>
  <c r="BI537"/>
  <c r="BJ537"/>
  <c r="BK537"/>
  <c r="BA537"/>
  <c r="BL537"/>
  <c r="AZ537"/>
  <c r="BB538"/>
  <c r="BC538"/>
  <c r="BD538"/>
  <c r="BE538"/>
  <c r="BF538"/>
  <c r="BG538"/>
  <c r="BH538"/>
  <c r="BI538"/>
  <c r="BJ538"/>
  <c r="BK538"/>
  <c r="BA538"/>
  <c r="BL538"/>
  <c r="AZ538"/>
  <c r="BB539"/>
  <c r="BC539"/>
  <c r="BD539"/>
  <c r="BE539"/>
  <c r="BF539"/>
  <c r="BG539"/>
  <c r="BH539"/>
  <c r="BI539"/>
  <c r="BJ539"/>
  <c r="BK539"/>
  <c r="BA539"/>
  <c r="BL539"/>
  <c r="AZ539"/>
  <c r="BB540"/>
  <c r="BC540"/>
  <c r="BD540"/>
  <c r="BE540"/>
  <c r="BF540"/>
  <c r="BG540"/>
  <c r="BH540"/>
  <c r="BI540"/>
  <c r="BJ540"/>
  <c r="BK540"/>
  <c r="BA540"/>
  <c r="BL540"/>
  <c r="AZ540"/>
  <c r="BB541"/>
  <c r="BC541"/>
  <c r="BD541"/>
  <c r="BE541"/>
  <c r="BF541"/>
  <c r="BG541"/>
  <c r="BH541"/>
  <c r="BI541"/>
  <c r="BJ541"/>
  <c r="BK541"/>
  <c r="BA541"/>
  <c r="BL541"/>
  <c r="AZ541"/>
  <c r="BB542"/>
  <c r="BC542"/>
  <c r="BD542"/>
  <c r="BE542"/>
  <c r="BF542"/>
  <c r="BG542"/>
  <c r="BH542"/>
  <c r="BI542"/>
  <c r="BJ542"/>
  <c r="BK542"/>
  <c r="BA542"/>
  <c r="BL542"/>
  <c r="AZ542"/>
  <c r="BB543"/>
  <c r="BC543"/>
  <c r="BD543"/>
  <c r="BE543"/>
  <c r="BF543"/>
  <c r="BG543"/>
  <c r="BH543"/>
  <c r="BI543"/>
  <c r="BJ543"/>
  <c r="BK543"/>
  <c r="BA543"/>
  <c r="BL543"/>
  <c r="AZ543"/>
  <c r="BB544"/>
  <c r="BC544"/>
  <c r="BD544"/>
  <c r="BE544"/>
  <c r="BF544"/>
  <c r="BG544"/>
  <c r="BH544"/>
  <c r="BI544"/>
  <c r="BJ544"/>
  <c r="BK544"/>
  <c r="BA544"/>
  <c r="BL544"/>
  <c r="AZ544"/>
  <c r="BB545"/>
  <c r="BC545"/>
  <c r="BD545"/>
  <c r="BE545"/>
  <c r="BF545"/>
  <c r="BG545"/>
  <c r="BH545"/>
  <c r="BI545"/>
  <c r="BJ545"/>
  <c r="BK545"/>
  <c r="BA545"/>
  <c r="BL545"/>
  <c r="AZ545"/>
  <c r="BB546"/>
  <c r="BC546"/>
  <c r="BD546"/>
  <c r="BE546"/>
  <c r="BF546"/>
  <c r="BG546"/>
  <c r="BH546"/>
  <c r="BI546"/>
  <c r="BJ546"/>
  <c r="BK546"/>
  <c r="BA546"/>
  <c r="BL546"/>
  <c r="AZ546"/>
  <c r="BB547"/>
  <c r="BC547"/>
  <c r="BD547"/>
  <c r="BE547"/>
  <c r="BF547"/>
  <c r="BG547"/>
  <c r="BH547"/>
  <c r="BI547"/>
  <c r="BJ547"/>
  <c r="BK547"/>
  <c r="BA547"/>
  <c r="BL547"/>
  <c r="AZ547"/>
  <c r="BB548"/>
  <c r="BC548"/>
  <c r="BD548"/>
  <c r="BE548"/>
  <c r="BF548"/>
  <c r="BG548"/>
  <c r="BH548"/>
  <c r="BI548"/>
  <c r="BJ548"/>
  <c r="BK548"/>
  <c r="BA548"/>
  <c r="BL548"/>
  <c r="AZ548"/>
  <c r="BB549"/>
  <c r="BC549"/>
  <c r="BD549"/>
  <c r="BE549"/>
  <c r="BF549"/>
  <c r="BG549"/>
  <c r="BH549"/>
  <c r="BI549"/>
  <c r="BJ549"/>
  <c r="BK549"/>
  <c r="BA549"/>
  <c r="BL549"/>
  <c r="AZ549"/>
  <c r="BB550"/>
  <c r="BC550"/>
  <c r="BD550"/>
  <c r="BE550"/>
  <c r="BF550"/>
  <c r="BG550"/>
  <c r="BH550"/>
  <c r="BI550"/>
  <c r="BJ550"/>
  <c r="BK550"/>
  <c r="BA550"/>
  <c r="BL550"/>
  <c r="AZ550"/>
  <c r="BB551"/>
  <c r="BC551"/>
  <c r="BD551"/>
  <c r="BE551"/>
  <c r="BF551"/>
  <c r="BG551"/>
  <c r="BH551"/>
  <c r="BI551"/>
  <c r="BJ551"/>
  <c r="BK551"/>
  <c r="BA551"/>
  <c r="BL551"/>
  <c r="AZ551"/>
  <c r="BB552"/>
  <c r="BC552"/>
  <c r="BD552"/>
  <c r="BE552"/>
  <c r="BF552"/>
  <c r="BG552"/>
  <c r="BH552"/>
  <c r="BI552"/>
  <c r="BJ552"/>
  <c r="BK552"/>
  <c r="BA552"/>
  <c r="BL552"/>
  <c r="AZ552"/>
  <c r="BB553"/>
  <c r="BC553"/>
  <c r="BD553"/>
  <c r="BE553"/>
  <c r="BF553"/>
  <c r="BG553"/>
  <c r="BH553"/>
  <c r="BI553"/>
  <c r="BJ553"/>
  <c r="BK553"/>
  <c r="BA553"/>
  <c r="BL553"/>
  <c r="AZ553"/>
  <c r="BB554"/>
  <c r="BC554"/>
  <c r="BD554"/>
  <c r="BE554"/>
  <c r="BF554"/>
  <c r="BG554"/>
  <c r="BH554"/>
  <c r="BI554"/>
  <c r="BJ554"/>
  <c r="BK554"/>
  <c r="BA554"/>
  <c r="BL554"/>
  <c r="AZ554"/>
  <c r="BB555"/>
  <c r="BC555"/>
  <c r="BD555"/>
  <c r="BE555"/>
  <c r="BF555"/>
  <c r="BG555"/>
  <c r="BH555"/>
  <c r="BI555"/>
  <c r="BJ555"/>
  <c r="BK555"/>
  <c r="BA555"/>
  <c r="BL555"/>
  <c r="AZ555"/>
  <c r="BB556"/>
  <c r="BC556"/>
  <c r="BD556"/>
  <c r="BE556"/>
  <c r="BF556"/>
  <c r="BG556"/>
  <c r="BH556"/>
  <c r="BI556"/>
  <c r="BJ556"/>
  <c r="BK556"/>
  <c r="BA556"/>
  <c r="BL556"/>
  <c r="AZ556"/>
  <c r="BB557"/>
  <c r="BC557"/>
  <c r="BD557"/>
  <c r="BE557"/>
  <c r="BF557"/>
  <c r="BG557"/>
  <c r="BH557"/>
  <c r="BI557"/>
  <c r="BJ557"/>
  <c r="BK557"/>
  <c r="BA557"/>
  <c r="BL557"/>
  <c r="AZ557"/>
  <c r="BB558"/>
  <c r="BC558"/>
  <c r="BD558"/>
  <c r="BE558"/>
  <c r="BF558"/>
  <c r="BG558"/>
  <c r="BH558"/>
  <c r="BI558"/>
  <c r="BJ558"/>
  <c r="BK558"/>
  <c r="BA558"/>
  <c r="BL558"/>
  <c r="AZ558"/>
  <c r="BB559"/>
  <c r="BC559"/>
  <c r="BD559"/>
  <c r="BE559"/>
  <c r="BF559"/>
  <c r="BG559"/>
  <c r="BH559"/>
  <c r="BI559"/>
  <c r="BJ559"/>
  <c r="BK559"/>
  <c r="BA559"/>
  <c r="BL559"/>
  <c r="AZ559"/>
  <c r="BB560"/>
  <c r="BC560"/>
  <c r="BD560"/>
  <c r="BE560"/>
  <c r="BF560"/>
  <c r="BG560"/>
  <c r="BH560"/>
  <c r="BI560"/>
  <c r="BJ560"/>
  <c r="BK560"/>
  <c r="BA560"/>
  <c r="BL560"/>
  <c r="AZ560"/>
  <c r="BB561"/>
  <c r="BC561"/>
  <c r="BD561"/>
  <c r="BE561"/>
  <c r="BF561"/>
  <c r="BG561"/>
  <c r="BH561"/>
  <c r="BI561"/>
  <c r="BJ561"/>
  <c r="BK561"/>
  <c r="BA561"/>
  <c r="BL561"/>
  <c r="AZ561"/>
  <c r="BB562"/>
  <c r="BC562"/>
  <c r="BD562"/>
  <c r="BE562"/>
  <c r="BF562"/>
  <c r="BG562"/>
  <c r="BH562"/>
  <c r="BI562"/>
  <c r="BJ562"/>
  <c r="BK562"/>
  <c r="BA562"/>
  <c r="BL562"/>
  <c r="AZ562"/>
  <c r="BB563"/>
  <c r="BC563"/>
  <c r="BD563"/>
  <c r="BE563"/>
  <c r="BF563"/>
  <c r="BG563"/>
  <c r="BH563"/>
  <c r="BI563"/>
  <c r="BJ563"/>
  <c r="BK563"/>
  <c r="BA563"/>
  <c r="BL563"/>
  <c r="AZ563"/>
  <c r="BB564"/>
  <c r="BC564"/>
  <c r="BD564"/>
  <c r="BE564"/>
  <c r="BF564"/>
  <c r="BG564"/>
  <c r="BH564"/>
  <c r="BI564"/>
  <c r="BJ564"/>
  <c r="BK564"/>
  <c r="BA564"/>
  <c r="BL564"/>
  <c r="AZ564"/>
  <c r="BB565"/>
  <c r="BC565"/>
  <c r="BD565"/>
  <c r="BE565"/>
  <c r="BF565"/>
  <c r="BG565"/>
  <c r="BH565"/>
  <c r="BI565"/>
  <c r="BJ565"/>
  <c r="BK565"/>
  <c r="BA565"/>
  <c r="BL565"/>
  <c r="AZ565"/>
  <c r="BB566"/>
  <c r="BC566"/>
  <c r="BD566"/>
  <c r="BE566"/>
  <c r="BF566"/>
  <c r="BG566"/>
  <c r="BH566"/>
  <c r="BI566"/>
  <c r="BJ566"/>
  <c r="BK566"/>
  <c r="BA566"/>
  <c r="BL566"/>
  <c r="AZ566"/>
  <c r="BB567"/>
  <c r="BC567"/>
  <c r="BD567"/>
  <c r="BE567"/>
  <c r="BF567"/>
  <c r="BG567"/>
  <c r="BH567"/>
  <c r="BI567"/>
  <c r="BJ567"/>
  <c r="BK567"/>
  <c r="BA567"/>
  <c r="BL567"/>
  <c r="AZ567"/>
  <c r="BB568"/>
  <c r="BC568"/>
  <c r="BD568"/>
  <c r="BE568"/>
  <c r="BF568"/>
  <c r="BG568"/>
  <c r="BH568"/>
  <c r="BI568"/>
  <c r="BJ568"/>
  <c r="BK568"/>
  <c r="BA568"/>
  <c r="BL568"/>
  <c r="AZ568"/>
  <c r="BB569"/>
  <c r="BC569"/>
  <c r="BD569"/>
  <c r="BE569"/>
  <c r="BF569"/>
  <c r="BG569"/>
  <c r="BH569"/>
  <c r="BI569"/>
  <c r="BJ569"/>
  <c r="BK569"/>
  <c r="BA569"/>
  <c r="BL569"/>
  <c r="AZ569"/>
  <c r="BB570"/>
  <c r="BC570"/>
  <c r="BD570"/>
  <c r="BE570"/>
  <c r="BF570"/>
  <c r="BG570"/>
  <c r="BH570"/>
  <c r="BI570"/>
  <c r="BJ570"/>
  <c r="BK570"/>
  <c r="BA570"/>
  <c r="BL570"/>
  <c r="AZ570"/>
  <c r="BB571"/>
  <c r="BC571"/>
  <c r="BD571"/>
  <c r="BE571"/>
  <c r="BF571"/>
  <c r="BG571"/>
  <c r="BH571"/>
  <c r="BI571"/>
  <c r="BJ571"/>
  <c r="BK571"/>
  <c r="BA571"/>
  <c r="BL571"/>
  <c r="AZ571"/>
  <c r="BB572"/>
  <c r="BC572"/>
  <c r="BD572"/>
  <c r="BE572"/>
  <c r="BF572"/>
  <c r="BG572"/>
  <c r="BH572"/>
  <c r="BI572"/>
  <c r="BJ572"/>
  <c r="BK572"/>
  <c r="BA572"/>
  <c r="BL572"/>
  <c r="AZ572"/>
  <c r="BB573"/>
  <c r="BC573"/>
  <c r="BD573"/>
  <c r="BE573"/>
  <c r="BF573"/>
  <c r="BG573"/>
  <c r="BH573"/>
  <c r="BI573"/>
  <c r="BJ573"/>
  <c r="BK573"/>
  <c r="BA573"/>
  <c r="BL573"/>
  <c r="AZ573"/>
  <c r="BB574"/>
  <c r="BC574"/>
  <c r="BD574"/>
  <c r="BE574"/>
  <c r="BF574"/>
  <c r="BG574"/>
  <c r="BH574"/>
  <c r="BI574"/>
  <c r="BJ574"/>
  <c r="BK574"/>
  <c r="BA574"/>
  <c r="BL574"/>
  <c r="AZ574"/>
  <c r="BB575"/>
  <c r="BC575"/>
  <c r="BD575"/>
  <c r="BE575"/>
  <c r="BF575"/>
  <c r="BG575"/>
  <c r="BH575"/>
  <c r="BI575"/>
  <c r="BJ575"/>
  <c r="BK575"/>
  <c r="BA575"/>
  <c r="BL575"/>
  <c r="AZ575"/>
  <c r="BB576"/>
  <c r="BC576"/>
  <c r="BD576"/>
  <c r="BE576"/>
  <c r="BF576"/>
  <c r="BG576"/>
  <c r="BH576"/>
  <c r="BI576"/>
  <c r="BJ576"/>
  <c r="BK576"/>
  <c r="BA576"/>
  <c r="BL576"/>
  <c r="AZ576"/>
  <c r="BB577"/>
  <c r="BC577"/>
  <c r="BD577"/>
  <c r="BE577"/>
  <c r="BF577"/>
  <c r="BG577"/>
  <c r="BH577"/>
  <c r="BI577"/>
  <c r="BJ577"/>
  <c r="BK577"/>
  <c r="BA577"/>
  <c r="BL577"/>
  <c r="AZ577"/>
  <c r="BB578"/>
  <c r="BC578"/>
  <c r="BD578"/>
  <c r="BE578"/>
  <c r="BF578"/>
  <c r="BG578"/>
  <c r="BH578"/>
  <c r="BI578"/>
  <c r="BJ578"/>
  <c r="BK578"/>
  <c r="BA578"/>
  <c r="BL578"/>
  <c r="AZ578"/>
  <c r="BB579"/>
  <c r="BC579"/>
  <c r="BD579"/>
  <c r="BE579"/>
  <c r="BF579"/>
  <c r="BG579"/>
  <c r="BH579"/>
  <c r="BI579"/>
  <c r="BJ579"/>
  <c r="BK579"/>
  <c r="BA579"/>
  <c r="BL579"/>
  <c r="AZ579"/>
  <c r="BB580"/>
  <c r="BC580"/>
  <c r="BD580"/>
  <c r="BE580"/>
  <c r="BF580"/>
  <c r="BG580"/>
  <c r="BH580"/>
  <c r="BI580"/>
  <c r="BJ580"/>
  <c r="BK580"/>
  <c r="BA580"/>
  <c r="BL580"/>
  <c r="AZ580"/>
  <c r="BB581"/>
  <c r="BC581"/>
  <c r="BD581"/>
  <c r="BE581"/>
  <c r="BF581"/>
  <c r="BG581"/>
  <c r="BH581"/>
  <c r="BI581"/>
  <c r="BJ581"/>
  <c r="BK581"/>
  <c r="BA581"/>
  <c r="BL581"/>
  <c r="AZ581"/>
  <c r="BB582"/>
  <c r="BC582"/>
  <c r="BD582"/>
  <c r="BE582"/>
  <c r="BF582"/>
  <c r="BG582"/>
  <c r="BH582"/>
  <c r="BI582"/>
  <c r="BJ582"/>
  <c r="BK582"/>
  <c r="BA582"/>
  <c r="BL582"/>
  <c r="AZ582"/>
  <c r="BB583"/>
  <c r="BC583"/>
  <c r="BD583"/>
  <c r="BE583"/>
  <c r="BF583"/>
  <c r="BG583"/>
  <c r="BH583"/>
  <c r="BI583"/>
  <c r="BJ583"/>
  <c r="BK583"/>
  <c r="BA583"/>
  <c r="BL583"/>
  <c r="AZ583"/>
  <c r="BB584"/>
  <c r="BC584"/>
  <c r="BD584"/>
  <c r="BE584"/>
  <c r="BF584"/>
  <c r="BG584"/>
  <c r="BH584"/>
  <c r="BI584"/>
  <c r="BJ584"/>
  <c r="BK584"/>
  <c r="BA584"/>
  <c r="BL584"/>
  <c r="AZ584"/>
  <c r="BB585"/>
  <c r="BC585"/>
  <c r="BD585"/>
  <c r="BE585"/>
  <c r="BF585"/>
  <c r="BG585"/>
  <c r="BH585"/>
  <c r="BI585"/>
  <c r="BJ585"/>
  <c r="BK585"/>
  <c r="BA585"/>
  <c r="BL585"/>
  <c r="AZ585"/>
  <c r="BB586"/>
  <c r="BC586"/>
  <c r="BD586"/>
  <c r="BE586"/>
  <c r="BF586"/>
  <c r="BG586"/>
  <c r="BH586"/>
  <c r="BI586"/>
  <c r="BJ586"/>
  <c r="BK586"/>
  <c r="BA586"/>
  <c r="BL586"/>
  <c r="AZ586"/>
  <c r="BB587"/>
  <c r="BC587"/>
  <c r="BD587"/>
  <c r="BE587"/>
  <c r="BF587"/>
  <c r="BG587"/>
  <c r="BH587"/>
  <c r="BI587"/>
  <c r="BJ587"/>
  <c r="BK587"/>
  <c r="BA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M19" i="9"/>
  <c r="C118"/>
  <c r="C14" i="74"/>
  <c r="E3" i="6"/>
  <c r="M18" i="9"/>
  <c r="B118"/>
  <c r="B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A15" i="62"/>
  <c r="A14"/>
  <c r="A13"/>
  <c r="B59" i="72"/>
  <c r="A19" i="62"/>
  <c r="A12"/>
  <c r="B58" i="72"/>
  <c r="A120" i="9"/>
  <c r="H2" i="52"/>
  <c r="A1"/>
  <c r="A3" i="53"/>
  <c r="A15" i="51"/>
  <c r="B12" i="72"/>
  <c r="C76" i="9"/>
  <c r="I107" i="40"/>
  <c r="K6" i="4"/>
  <c r="B22" i="31"/>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V29"/>
  <c r="AB25"/>
  <c r="Y25"/>
  <c r="Z25"/>
  <c r="AB24"/>
  <c r="Y24"/>
  <c r="Z24"/>
  <c r="AB23"/>
  <c r="Y23"/>
  <c r="Z23"/>
  <c r="V25"/>
  <c r="AB21"/>
  <c r="Y21"/>
  <c r="Z21"/>
  <c r="AB20"/>
  <c r="Y20"/>
  <c r="Z20"/>
  <c r="AB19"/>
  <c r="Y19"/>
  <c r="Z19"/>
  <c r="V21"/>
  <c r="S21"/>
  <c r="X18"/>
  <c r="U21"/>
  <c r="AA18"/>
  <c r="S25"/>
  <c r="X22"/>
  <c r="S29"/>
  <c r="X26"/>
  <c r="U29"/>
  <c r="AA26"/>
  <c r="N57"/>
  <c r="U25"/>
  <c r="AA22"/>
  <c r="Y18"/>
  <c r="Z18"/>
  <c r="AB18"/>
  <c r="X19"/>
  <c r="AA19"/>
  <c r="X20"/>
  <c r="AA20"/>
  <c r="X21"/>
  <c r="AA21"/>
  <c r="Y22"/>
  <c r="Z22"/>
  <c r="AB22"/>
  <c r="X23"/>
  <c r="AA23"/>
  <c r="X24"/>
  <c r="AA24"/>
  <c r="X25"/>
  <c r="AA25"/>
  <c r="Y26"/>
  <c r="Z26"/>
  <c r="AB26"/>
  <c r="X27"/>
  <c r="AA27"/>
  <c r="F40"/>
  <c r="F41"/>
  <c r="V41"/>
  <c r="Y3"/>
  <c r="Z3"/>
  <c r="Y14"/>
  <c r="Z14"/>
  <c r="Y15"/>
  <c r="Z15"/>
  <c r="Y16"/>
  <c r="Z16"/>
  <c r="Y17"/>
  <c r="Z17"/>
  <c r="X14"/>
  <c r="X15"/>
  <c r="X16"/>
  <c r="X1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S17"/>
  <c r="AB14"/>
  <c r="AB15"/>
  <c r="AB16"/>
  <c r="AB17"/>
  <c r="AA3"/>
  <c r="AA14"/>
  <c r="AA15"/>
  <c r="AA16"/>
  <c r="AA17"/>
  <c r="U17"/>
  <c r="C55"/>
  <c r="O56"/>
  <c r="D56"/>
  <c r="C53"/>
  <c r="D52"/>
  <c r="D72"/>
  <c r="C71"/>
  <c r="D71"/>
  <c r="D64"/>
  <c r="C63"/>
  <c r="D63"/>
  <c r="N54"/>
  <c r="N55"/>
  <c r="D76"/>
  <c r="C75"/>
  <c r="D75"/>
  <c r="D68"/>
  <c r="C67"/>
  <c r="D67"/>
  <c r="D60"/>
  <c r="C59"/>
  <c r="D59"/>
  <c r="C49"/>
  <c r="D48"/>
  <c r="C45"/>
  <c r="D44"/>
  <c r="P56"/>
  <c r="E55"/>
  <c r="C41"/>
  <c r="D40"/>
  <c r="C33"/>
  <c r="D32"/>
  <c r="V17"/>
  <c r="P54"/>
  <c r="P55"/>
  <c r="O55"/>
  <c r="D55"/>
  <c r="O54"/>
  <c r="T21"/>
  <c r="T25"/>
  <c r="T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C7"/>
  <c r="AC21" i="37"/>
  <c r="W21"/>
  <c r="AC21" i="34"/>
  <c r="W21"/>
  <c r="AC21" i="33"/>
  <c r="W21"/>
  <c r="AB21" i="21"/>
  <c r="U21"/>
  <c r="G83"/>
  <c r="J21"/>
  <c r="C40" i="69"/>
  <c r="F38" i="68"/>
  <c r="E37"/>
  <c r="F36"/>
  <c r="F35"/>
  <c r="F21"/>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67"/>
  <c r="D60"/>
  <c r="D61"/>
  <c r="D62"/>
  <c r="D63"/>
  <c r="D64"/>
  <c r="D65"/>
  <c r="D66"/>
  <c r="D59"/>
  <c r="E59"/>
  <c r="B57"/>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L22" i="4"/>
  <c r="B61" i="72"/>
  <c r="L20" i="4"/>
  <c r="A5" i="62"/>
  <c r="B72" i="72"/>
  <c r="A4" i="62"/>
  <c r="B70" i="72"/>
  <c r="F33" i="9"/>
  <c r="B37" i="48"/>
  <c r="B2" i="72"/>
  <c r="B13" i="53"/>
  <c r="B29" i="72"/>
  <c r="R35" i="4"/>
  <c r="Q35"/>
  <c r="P35"/>
  <c r="O35"/>
  <c r="N35"/>
  <c r="M35"/>
  <c r="L35"/>
  <c r="K34"/>
  <c r="T34"/>
  <c r="G13" i="1"/>
  <c r="G11"/>
  <c r="H15" i="4"/>
  <c r="G15"/>
  <c r="E15"/>
  <c r="D15"/>
  <c r="F7" i="1"/>
  <c r="G7"/>
  <c r="L21" i="4"/>
  <c r="F19"/>
  <c r="F2" i="52"/>
  <c r="B50" i="72"/>
  <c r="D2" i="52"/>
  <c r="B46" i="72"/>
  <c r="B8" i="53"/>
  <c r="B23" i="72"/>
  <c r="L4" i="9"/>
  <c r="B17" i="72"/>
  <c r="B15"/>
  <c r="A3" i="51"/>
  <c r="C8" i="11"/>
  <c r="B2" i="49"/>
  <c r="B7"/>
  <c r="B40" i="48"/>
  <c r="B3" i="72"/>
  <c r="N1" i="43"/>
  <c r="F35" i="4"/>
  <c r="J55" i="39"/>
  <c r="H34" i="43"/>
  <c r="H35"/>
  <c r="H36"/>
  <c r="H37"/>
  <c r="H38"/>
  <c r="H39"/>
  <c r="H33"/>
  <c r="F15"/>
  <c r="E15"/>
  <c r="D15"/>
  <c r="C15"/>
  <c r="C10"/>
  <c r="C11"/>
  <c r="C9"/>
  <c r="A7"/>
  <c r="F33" i="15"/>
  <c r="F61"/>
  <c r="M19"/>
  <c r="M10" i="1"/>
  <c r="O10"/>
  <c r="B22"/>
  <c r="B23"/>
  <c r="B24"/>
  <c r="B43"/>
  <c r="D78" i="9"/>
  <c r="E20" i="6"/>
  <c r="E21"/>
  <c r="M8" i="1"/>
  <c r="F23" i="15"/>
  <c r="D24"/>
  <c r="O8" i="1"/>
  <c r="P8"/>
  <c r="M13"/>
  <c r="O13"/>
  <c r="P13"/>
  <c r="E22" i="6"/>
  <c r="E23"/>
  <c r="E24"/>
  <c r="E25"/>
  <c r="E26"/>
  <c r="BC10" i="3"/>
  <c r="BD10"/>
  <c r="BB10"/>
  <c r="I5"/>
  <c r="AD5"/>
  <c r="AH5"/>
  <c r="AL5"/>
  <c r="AP5"/>
  <c r="F35" i="11"/>
  <c r="F36"/>
  <c r="F38"/>
  <c r="E37"/>
  <c r="F20"/>
  <c r="F21"/>
  <c r="C21"/>
  <c r="F7"/>
  <c r="C7"/>
  <c r="C5"/>
  <c r="F12" i="12"/>
  <c r="F13"/>
  <c r="F15"/>
  <c r="E14"/>
  <c r="BC11" i="3"/>
  <c r="BD11"/>
  <c r="BB11"/>
  <c r="E19" i="12"/>
  <c r="E20"/>
  <c r="E17"/>
  <c r="F22"/>
  <c r="F23"/>
  <c r="C17" i="9"/>
  <c r="D17"/>
  <c r="I55"/>
  <c r="F55"/>
  <c r="O53"/>
  <c r="D89"/>
  <c r="C89"/>
  <c r="C87"/>
  <c r="G12" i="1"/>
  <c r="J55" i="9"/>
  <c r="B31" i="1"/>
  <c r="B52"/>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E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J5" i="3"/>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F17" i="21"/>
  <c r="AA17"/>
  <c r="H17"/>
  <c r="AB17"/>
  <c r="F15"/>
  <c r="S15"/>
  <c r="AB11"/>
  <c r="J41" i="39"/>
  <c r="W41"/>
  <c r="AC45"/>
  <c r="W44"/>
  <c r="W36"/>
  <c r="W35"/>
  <c r="U36"/>
  <c r="S35"/>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4"/>
  <c r="C7" i="36"/>
  <c r="W35" i="40"/>
  <c r="A118" i="9"/>
  <c r="A4" i="52"/>
  <c r="B41" i="72"/>
  <c r="J11" i="39"/>
  <c r="W11"/>
  <c r="F11"/>
  <c r="AA11"/>
  <c r="A12" i="52"/>
  <c r="B56" i="72"/>
  <c r="S11" i="39"/>
  <c r="G4" i="4"/>
  <c r="I4"/>
  <c r="K5"/>
  <c r="B47" i="48"/>
  <c r="A2" i="9"/>
  <c r="F59" i="43"/>
  <c r="H62"/>
  <c r="BJ5" i="3"/>
  <c r="BH5"/>
  <c r="BF5"/>
  <c r="BD5"/>
  <c r="AC5"/>
  <c r="BK5"/>
  <c r="BI5"/>
  <c r="BG5"/>
  <c r="BE5"/>
  <c r="BC5"/>
  <c r="BB5"/>
  <c r="E8" i="6"/>
  <c r="F27"/>
  <c r="U36" i="40"/>
  <c r="F36" i="43"/>
  <c r="N10"/>
  <c r="F81"/>
  <c r="H83"/>
  <c r="H113"/>
  <c r="F48"/>
  <c r="H52"/>
  <c r="F70"/>
  <c r="H73"/>
  <c r="M11"/>
  <c r="D17"/>
  <c r="F39"/>
  <c r="I17"/>
  <c r="F35"/>
  <c r="J17"/>
  <c r="U17" i="39"/>
  <c r="S14" i="35"/>
  <c r="U43" i="21"/>
  <c r="U35"/>
  <c r="AC35"/>
  <c r="U10"/>
  <c r="G8" i="1"/>
  <c r="G9"/>
  <c r="G10"/>
  <c r="F48" i="9"/>
  <c r="O52"/>
  <c r="AC11" i="39"/>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C40" i="11"/>
  <c r="H75" i="43"/>
  <c r="H50"/>
  <c r="F23" i="39"/>
  <c r="AA23"/>
  <c r="H27" i="36"/>
  <c r="U27"/>
  <c r="F27"/>
  <c r="AA27"/>
  <c r="H33" i="34"/>
  <c r="U33"/>
  <c r="F32" i="37"/>
  <c r="AA32"/>
  <c r="G96"/>
  <c r="H96"/>
  <c r="I96"/>
  <c r="J96"/>
  <c r="K96"/>
  <c r="L96"/>
  <c r="M96"/>
  <c r="F20" i="36"/>
  <c r="AA20"/>
  <c r="J33" i="34"/>
  <c r="AC33"/>
  <c r="H23" i="39"/>
  <c r="U23"/>
  <c r="D48" i="9"/>
  <c r="M52"/>
  <c r="H86" i="43"/>
  <c r="H82"/>
  <c r="H87"/>
  <c r="M9" i="1"/>
  <c r="O9"/>
  <c r="P9"/>
  <c r="AE9"/>
  <c r="D93" i="9"/>
  <c r="E12" i="6"/>
  <c r="E15"/>
  <c r="E60" i="40"/>
  <c r="E13" i="6"/>
  <c r="E58" i="40"/>
  <c r="AC26" i="33"/>
  <c r="W26"/>
  <c r="W27" i="34"/>
  <c r="AC27"/>
  <c r="AB34" i="36"/>
  <c r="U34"/>
  <c r="AB33"/>
  <c r="U33"/>
  <c r="AC12" i="39"/>
  <c r="W12"/>
  <c r="AC39" i="40"/>
  <c r="W39"/>
  <c r="B113" i="43"/>
  <c r="B115"/>
  <c r="C115"/>
  <c r="K101"/>
  <c r="K103"/>
  <c r="F101"/>
  <c r="F104"/>
  <c r="N101"/>
  <c r="N102"/>
  <c r="G101"/>
  <c r="G105"/>
  <c r="C101"/>
  <c r="C104"/>
  <c r="J101"/>
  <c r="J104"/>
  <c r="N104" i="46"/>
  <c r="W12" i="33"/>
  <c r="AC12"/>
  <c r="AA32" i="36"/>
  <c r="S32"/>
  <c r="AA39" i="34"/>
  <c r="U30" i="33"/>
  <c r="AC13" i="34"/>
  <c r="AA47"/>
  <c r="W28" i="37"/>
  <c r="S19" i="39"/>
  <c r="F12" i="33"/>
  <c r="H12" i="39"/>
  <c r="AB12"/>
  <c r="F39" i="40"/>
  <c r="S12" i="1"/>
  <c r="R12"/>
  <c r="B12"/>
  <c r="E12"/>
  <c r="S10"/>
  <c r="AQ10"/>
  <c r="R10"/>
  <c r="B10"/>
  <c r="E10"/>
  <c r="D1" i="66"/>
  <c r="E10"/>
  <c r="M12" i="1"/>
  <c r="O12"/>
  <c r="P12"/>
  <c r="S13"/>
  <c r="AR13"/>
  <c r="R13"/>
  <c r="S11"/>
  <c r="AQ11"/>
  <c r="R11"/>
  <c r="S9"/>
  <c r="AR9"/>
  <c r="R9"/>
  <c r="J51" i="67"/>
  <c r="C42" i="1"/>
  <c r="B41"/>
  <c r="F31" i="12"/>
  <c r="C4"/>
  <c r="C31"/>
  <c r="H100" i="43"/>
  <c r="C30" i="66"/>
  <c r="E26"/>
  <c r="AC34" i="33"/>
  <c r="AA34"/>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M1"/>
  <c r="N8"/>
  <c r="D120" i="9"/>
  <c r="C18"/>
  <c r="D18"/>
  <c r="F34" i="67"/>
  <c r="F62"/>
  <c r="M20"/>
  <c r="F34" i="15"/>
  <c r="F62"/>
  <c r="E10" i="6"/>
  <c r="BA5" i="3"/>
  <c r="E27"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E32" i="6"/>
  <c r="L19"/>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D102"/>
  <c r="E102"/>
  <c r="H102"/>
  <c r="I102"/>
  <c r="L102"/>
  <c r="M102"/>
  <c r="D103"/>
  <c r="E103"/>
  <c r="F103"/>
  <c r="H103"/>
  <c r="I103"/>
  <c r="L103"/>
  <c r="M103"/>
  <c r="D104"/>
  <c r="E104"/>
  <c r="H104"/>
  <c r="I104"/>
  <c r="L104"/>
  <c r="M104"/>
  <c r="N104"/>
  <c r="D105"/>
  <c r="E105"/>
  <c r="F105"/>
  <c r="H105"/>
  <c r="I105"/>
  <c r="L105"/>
  <c r="M105"/>
  <c r="D106"/>
  <c r="E106"/>
  <c r="H106"/>
  <c r="I106"/>
  <c r="J106"/>
  <c r="L106"/>
  <c r="M106"/>
  <c r="D107"/>
  <c r="E107"/>
  <c r="H107"/>
  <c r="I107"/>
  <c r="L107"/>
  <c r="M107"/>
  <c r="N107"/>
  <c r="S2"/>
  <c r="E56" i="40"/>
  <c r="AR12" i="1"/>
  <c r="AQ12"/>
  <c r="T12"/>
  <c r="AR10"/>
  <c r="T10"/>
  <c r="E19" i="69"/>
  <c r="E19" i="68"/>
  <c r="E19" i="11"/>
  <c r="E1" i="73"/>
  <c r="G41" i="69"/>
  <c r="G22"/>
  <c r="G41" i="68"/>
  <c r="G22"/>
  <c r="G27" i="12"/>
  <c r="G26"/>
  <c r="G41" i="11"/>
  <c r="G22"/>
  <c r="G25" i="12"/>
  <c r="C109" i="43"/>
  <c r="J109"/>
  <c r="C100"/>
  <c r="K109"/>
  <c r="E11"/>
  <c r="E10"/>
  <c r="E9"/>
  <c r="E8"/>
  <c r="C7"/>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N3"/>
  <c r="F38"/>
  <c r="F37"/>
  <c r="M9"/>
  <c r="N5"/>
  <c r="M12"/>
  <c r="B19" i="53"/>
  <c r="B37" i="72"/>
  <c r="C7" i="39"/>
  <c r="C68"/>
  <c r="C7" i="35"/>
  <c r="C7" i="33"/>
  <c r="C58"/>
  <c r="D58"/>
  <c r="E58"/>
  <c r="F58"/>
  <c r="G58"/>
  <c r="H58"/>
  <c r="I58"/>
  <c r="J58"/>
  <c r="K58"/>
  <c r="L58"/>
  <c r="M58"/>
  <c r="N58"/>
  <c r="O58"/>
  <c r="C7" i="21"/>
  <c r="C58"/>
  <c r="C7" i="40"/>
  <c r="C63"/>
  <c r="M47" i="9"/>
  <c r="O19" i="43"/>
  <c r="T35" i="4"/>
  <c r="A19" i="51"/>
  <c r="B14" i="72"/>
  <c r="C46" i="36"/>
  <c r="D46"/>
  <c r="C59" i="34"/>
  <c r="D59"/>
  <c r="E59"/>
  <c r="F59"/>
  <c r="C52" i="37"/>
  <c r="D52"/>
  <c r="E52"/>
  <c r="F52"/>
  <c r="A4" i="51"/>
  <c r="B6" i="72"/>
  <c r="C48" i="35"/>
  <c r="D48"/>
  <c r="E48"/>
  <c r="H66" i="43"/>
  <c r="H65"/>
  <c r="H64"/>
  <c r="H63"/>
  <c r="H55"/>
  <c r="H56"/>
  <c r="H72"/>
  <c r="L20" i="6"/>
  <c r="E62" i="39"/>
  <c r="E56"/>
  <c r="E51" i="40"/>
  <c r="B6" i="1"/>
  <c r="E6"/>
  <c r="S8"/>
  <c r="M1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B13" i="49"/>
  <c r="E4" i="4"/>
  <c r="B11" i="49"/>
  <c r="C4" i="4"/>
  <c r="K4"/>
  <c r="B46" i="48"/>
  <c r="B4" i="72"/>
  <c r="AQ13" i="1"/>
  <c r="M6"/>
  <c r="O6"/>
  <c r="P6"/>
  <c r="F30" i="68"/>
  <c r="F30" i="11"/>
  <c r="C48"/>
  <c r="F28" i="67"/>
  <c r="F52" i="9"/>
  <c r="M18" i="67"/>
  <c r="F32"/>
  <c r="F60"/>
  <c r="F30" i="69"/>
  <c r="C48"/>
  <c r="F32" i="15"/>
  <c r="F60"/>
  <c r="M18"/>
  <c r="F28"/>
  <c r="E63" i="39"/>
  <c r="T11" i="1"/>
  <c r="D9" i="69"/>
  <c r="C9"/>
  <c r="D19" i="12"/>
  <c r="C19"/>
  <c r="AQ9" i="1"/>
  <c r="AR11"/>
  <c r="E59" i="40"/>
  <c r="C28" i="15"/>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AA12"/>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S6" i="43"/>
  <c r="C23"/>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M14" i="1"/>
  <c r="O14"/>
  <c r="P14"/>
  <c r="BL5" i="3"/>
  <c r="J59" i="9"/>
  <c r="J61"/>
  <c r="K21" i="6"/>
  <c r="M21"/>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K19"/>
  <c r="S6" i="1"/>
  <c r="AQ6"/>
  <c r="K25" i="6"/>
  <c r="M25"/>
  <c r="I25"/>
  <c r="S25"/>
  <c r="K23"/>
  <c r="M23"/>
  <c r="I23"/>
  <c r="S23"/>
  <c r="E109" i="43"/>
  <c r="H109"/>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M19" i="6"/>
  <c r="S21"/>
  <c r="L27"/>
  <c r="S26"/>
  <c r="S22"/>
  <c r="M20"/>
  <c r="I20"/>
  <c r="AP7" i="1"/>
  <c r="M7"/>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I19"/>
  <c r="M27"/>
  <c r="M16" i="1"/>
  <c r="N16"/>
  <c r="F27" i="11"/>
  <c r="AC11" i="37"/>
  <c r="W11"/>
  <c r="W11" i="34"/>
  <c r="AC11"/>
  <c r="H20" i="6"/>
  <c r="B2" i="74"/>
  <c r="E6" i="3"/>
  <c r="D10" i="68"/>
  <c r="C10"/>
  <c r="D10" i="11"/>
  <c r="C10"/>
  <c r="D20" i="12"/>
  <c r="C20"/>
  <c r="D19" i="6"/>
  <c r="D25"/>
  <c r="D26"/>
  <c r="D15"/>
  <c r="C18" i="4"/>
  <c r="D22" i="6"/>
  <c r="D8"/>
  <c r="D21"/>
  <c r="D23"/>
  <c r="D24"/>
  <c r="D14"/>
  <c r="D20"/>
  <c r="R20"/>
  <c r="R7" i="1"/>
  <c r="D5" i="6"/>
  <c r="D6"/>
  <c r="D12"/>
  <c r="D9"/>
  <c r="D11"/>
  <c r="D10"/>
  <c r="D13"/>
  <c r="L19" i="9"/>
  <c r="D28" i="6"/>
  <c r="D29"/>
  <c r="E61" i="40"/>
  <c r="H25" i="6"/>
  <c r="R25"/>
  <c r="H22"/>
  <c r="H23"/>
  <c r="H21"/>
  <c r="H26"/>
  <c r="H24"/>
  <c r="P16" i="1"/>
  <c r="C11" i="12"/>
  <c r="C15"/>
  <c r="F34" i="11"/>
  <c r="C37"/>
  <c r="F11" i="12"/>
  <c r="C23"/>
  <c r="F34" i="68"/>
  <c r="H19" i="6"/>
  <c r="S19"/>
  <c r="S27"/>
  <c r="I27"/>
  <c r="F50" i="11"/>
  <c r="F50" i="69"/>
  <c r="F50" i="68"/>
  <c r="C47" i="11"/>
  <c r="D45"/>
  <c r="C29"/>
  <c r="D27"/>
  <c r="L16" i="1"/>
  <c r="C34" i="11"/>
  <c r="C38"/>
  <c r="R26" i="6"/>
  <c r="R23"/>
  <c r="R24"/>
  <c r="R21"/>
  <c r="R8" i="1"/>
  <c r="R22" i="6"/>
  <c r="D30"/>
  <c r="D16"/>
  <c r="A7" i="51"/>
  <c r="B7" i="72"/>
  <c r="C4" i="52"/>
  <c r="B45" i="72"/>
  <c r="A10" i="51"/>
  <c r="B9" i="72"/>
  <c r="D27" i="6"/>
  <c r="H27"/>
  <c r="R19"/>
  <c r="C35" i="11"/>
  <c r="D31" i="6"/>
  <c r="I6"/>
  <c r="R27"/>
  <c r="R6" i="1"/>
  <c r="I5" i="6"/>
  <c r="E2" i="70"/>
  <c r="C34" i="69"/>
  <c r="D10"/>
  <c r="C10"/>
  <c r="S16" i="1"/>
  <c r="AE7"/>
  <c r="T16"/>
  <c r="AE8"/>
  <c r="L48" i="15"/>
  <c r="J53"/>
  <c r="F1"/>
  <c r="AE6" i="1"/>
  <c r="AG6"/>
  <c r="H109" i="9"/>
  <c r="M49"/>
  <c r="L68"/>
  <c r="M68"/>
  <c r="L65"/>
  <c r="M65"/>
  <c r="L66"/>
  <c r="M66"/>
  <c r="L64"/>
  <c r="M64"/>
  <c r="L63"/>
  <c r="M63"/>
  <c r="L67"/>
  <c r="M67"/>
  <c r="H110"/>
  <c r="D18" i="53"/>
  <c r="B35" i="72"/>
  <c r="D124" i="9"/>
  <c r="D16" i="53"/>
  <c r="B34" i="72"/>
  <c r="M69" i="9"/>
  <c r="D10" i="52"/>
  <c r="H14" i="74"/>
  <c r="D17" i="53"/>
  <c r="B36" i="72"/>
  <c r="D125" i="9"/>
  <c r="D11" i="52"/>
  <c r="N69" i="9"/>
  <c r="B7" i="74"/>
  <c r="D7"/>
  <c r="C7"/>
  <c r="J7" i="33"/>
  <c r="W7"/>
  <c r="F7"/>
  <c r="S7"/>
  <c r="H7"/>
  <c r="AB7"/>
  <c r="T48"/>
  <c r="G48"/>
  <c r="H112" i="9"/>
  <c r="D21" i="53"/>
  <c r="B39" i="72"/>
  <c r="H111" i="9"/>
  <c r="D126"/>
  <c r="D19" i="53"/>
  <c r="D59" i="9"/>
  <c r="M55"/>
  <c r="B38" i="72"/>
  <c r="D20" i="53"/>
  <c r="B40" i="72"/>
  <c r="I14" i="74"/>
  <c r="B8"/>
  <c r="D127" i="9"/>
  <c r="D13" i="52"/>
  <c r="D12"/>
  <c r="D8" i="74"/>
  <c r="C8"/>
  <c r="AD3" i="71"/>
  <c r="B4" i="62"/>
  <c r="B71" i="72"/>
  <c r="C65" i="40"/>
  <c r="D63"/>
  <c r="G16" i="1"/>
  <c r="AA7" i="33"/>
  <c r="R48"/>
  <c r="C36" i="11"/>
  <c r="C33"/>
  <c r="C39"/>
  <c r="C46"/>
  <c r="C45"/>
  <c r="C36" i="68"/>
  <c r="C13" i="12"/>
  <c r="C30" i="69"/>
  <c r="C77" i="9"/>
  <c r="C74"/>
  <c r="C28" i="67"/>
  <c r="C30" i="68"/>
  <c r="H77" i="43"/>
  <c r="H76"/>
  <c r="H51"/>
  <c r="H67"/>
  <c r="H59"/>
  <c r="H60"/>
  <c r="H61"/>
  <c r="M4"/>
  <c r="M5"/>
  <c r="N12"/>
  <c r="N11"/>
  <c r="M2"/>
  <c r="M7"/>
  <c r="H70"/>
  <c r="H54"/>
  <c r="N9"/>
  <c r="M8"/>
  <c r="H48"/>
  <c r="H74"/>
  <c r="M6"/>
  <c r="N7"/>
  <c r="N4"/>
  <c r="N2"/>
  <c r="H49"/>
  <c r="N17"/>
  <c r="L17"/>
  <c r="O17"/>
  <c r="M17"/>
  <c r="E17"/>
  <c r="E48" i="33"/>
  <c r="R49"/>
  <c r="G52"/>
  <c r="H52"/>
  <c r="AC7"/>
  <c r="V48"/>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U13" i="71"/>
  <c r="S13"/>
  <c r="T13"/>
  <c r="AB11"/>
  <c r="X9"/>
  <c r="X8"/>
  <c r="AA9"/>
  <c r="AA8"/>
  <c r="X12"/>
  <c r="Z7"/>
  <c r="Y8"/>
  <c r="Z8"/>
  <c r="AB9"/>
  <c r="AB8"/>
  <c r="S9"/>
  <c r="C94" i="9"/>
  <c r="C92"/>
  <c r="C20" i="11"/>
  <c r="C28"/>
  <c r="C27"/>
  <c r="Y9" i="71"/>
  <c r="Z9"/>
  <c r="E7" i="49"/>
  <c r="AB3" i="71"/>
  <c r="X3"/>
  <c r="E10" i="49"/>
  <c r="E14"/>
  <c r="AF3" i="71"/>
  <c r="P24" i="43"/>
  <c r="B66" i="40"/>
  <c r="P21" i="43"/>
  <c r="P22"/>
  <c r="C14" i="12"/>
  <c r="B9" i="49"/>
  <c r="D19" i="68"/>
  <c r="C19"/>
  <c r="E6" i="49"/>
  <c r="B8"/>
  <c r="E4"/>
  <c r="B14"/>
  <c r="B22"/>
  <c r="C47" i="68"/>
  <c r="D45"/>
  <c r="C34"/>
  <c r="C35"/>
  <c r="D65" i="40"/>
  <c r="E63"/>
  <c r="G17" i="43"/>
  <c r="D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9" i="33"/>
  <c r="C48"/>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P25" i="43"/>
  <c r="E65" i="40"/>
  <c r="F63"/>
  <c r="E41" i="43"/>
  <c r="C41"/>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T9" i="71"/>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T14" i="43"/>
  <c r="V14"/>
  <c r="U9" i="71"/>
  <c r="G65" i="40"/>
  <c r="H63"/>
  <c r="H68" i="39"/>
  <c r="G70"/>
  <c r="R50" i="34"/>
  <c r="E49"/>
  <c r="U7"/>
  <c r="AB7"/>
  <c r="T49"/>
  <c r="G49"/>
  <c r="E52" i="21"/>
  <c r="F52"/>
  <c r="E53"/>
  <c r="F53"/>
  <c r="I53" i="34"/>
  <c r="J53"/>
  <c r="I54"/>
  <c r="J54"/>
  <c r="C48" i="21"/>
  <c r="C49"/>
  <c r="C39" i="43"/>
  <c r="E39"/>
  <c r="T3"/>
  <c r="V3"/>
  <c r="T6"/>
  <c r="V6"/>
  <c r="C38"/>
  <c r="G38"/>
  <c r="I38"/>
  <c r="T5"/>
  <c r="V5"/>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F40" i="15"/>
  <c r="B10" i="76"/>
  <c r="M27" i="67"/>
  <c r="F16" i="15"/>
  <c r="B8" i="76"/>
  <c r="M29" i="67"/>
  <c r="AO7" i="1"/>
  <c r="F20" i="31"/>
  <c r="M21" i="15"/>
  <c r="F5" i="73"/>
  <c r="D2" i="21"/>
  <c r="C5" i="15"/>
  <c r="C32"/>
  <c r="C14"/>
  <c r="C15"/>
  <c r="C16"/>
  <c r="F43"/>
  <c r="C17"/>
  <c r="C18"/>
  <c r="C19"/>
  <c r="C20"/>
  <c r="D3" i="73"/>
  <c r="D5"/>
  <c r="K1"/>
  <c r="G1"/>
  <c r="B40" i="1"/>
  <c r="F24" i="15"/>
  <c r="C23"/>
  <c r="F26"/>
  <c r="C26"/>
  <c r="C24"/>
  <c r="C27"/>
  <c r="C29"/>
  <c r="C33"/>
  <c r="F35"/>
  <c r="C34"/>
  <c r="C31"/>
  <c r="F36"/>
  <c r="C36"/>
  <c r="F13"/>
  <c r="C13"/>
  <c r="F37"/>
  <c r="C37"/>
  <c r="F38"/>
  <c r="C38"/>
  <c r="C30"/>
  <c r="C39"/>
  <c r="F42"/>
  <c r="F41"/>
  <c r="C40"/>
  <c r="M6"/>
  <c r="M8"/>
  <c r="M7"/>
  <c r="M9"/>
  <c r="J6"/>
  <c r="M11"/>
  <c r="J10"/>
  <c r="J5"/>
  <c r="J26"/>
  <c r="J29"/>
  <c r="J57"/>
  <c r="J55"/>
  <c r="J58"/>
  <c r="J59"/>
  <c r="J60"/>
  <c r="C76"/>
  <c r="L51"/>
  <c r="L57"/>
  <c r="L47"/>
  <c r="L58"/>
  <c r="L59"/>
  <c r="L60"/>
  <c r="L46"/>
  <c r="B2"/>
  <c r="AO6" i="1"/>
  <c r="E11" i="76"/>
  <c r="F7" i="73"/>
  <c r="F36" i="67"/>
  <c r="M6"/>
  <c r="AO12" i="1"/>
  <c r="F6" i="67"/>
  <c r="D34" i="9"/>
  <c r="D2" i="37"/>
  <c r="B2"/>
  <c r="B3"/>
  <c r="D20" i="9"/>
  <c r="E9" i="76"/>
  <c r="F40" i="67"/>
  <c r="F42"/>
  <c r="M21"/>
  <c r="E2" i="68"/>
  <c r="F35" i="67"/>
  <c r="J15" i="15"/>
  <c r="F7" i="67"/>
  <c r="D2" i="36"/>
  <c r="M24" i="67"/>
  <c r="F13"/>
  <c r="AO13" i="1"/>
  <c r="C76" i="67"/>
  <c r="B13" i="76"/>
  <c r="B9"/>
  <c r="M28" i="67"/>
  <c r="B7" i="76"/>
  <c r="M23" i="15"/>
  <c r="D19" i="9"/>
  <c r="J15" i="67"/>
  <c r="AO8" i="1"/>
  <c r="F3" i="73"/>
  <c r="C19" i="9"/>
  <c r="L47" i="67"/>
  <c r="M26" i="15"/>
  <c r="M29"/>
  <c r="F16" i="67"/>
  <c r="M22"/>
  <c r="F6" i="73"/>
  <c r="M8" i="67"/>
  <c r="B3" i="15"/>
  <c r="C20" i="9"/>
  <c r="F9" i="67"/>
  <c r="AO9" i="1"/>
  <c r="B11" i="76"/>
  <c r="F37" i="67"/>
  <c r="AO11" i="1"/>
  <c r="D7" i="73"/>
  <c r="D6"/>
  <c r="F8" i="67"/>
  <c r="E7" i="76"/>
  <c r="M24" i="15"/>
  <c r="E10" i="76"/>
  <c r="AO10" i="1"/>
  <c r="M23" i="67"/>
  <c r="E2" i="69"/>
  <c r="E12" i="76"/>
  <c r="M22" i="15"/>
  <c r="F38" i="67"/>
  <c r="E8" i="76"/>
  <c r="E13"/>
  <c r="D2" i="35"/>
  <c r="M28" i="15"/>
  <c r="E6" i="76"/>
  <c r="B6"/>
  <c r="F43" i="67"/>
  <c r="F41"/>
  <c r="B12" i="76"/>
  <c r="M26" i="67"/>
  <c r="M27" i="15"/>
  <c r="D35" i="9"/>
  <c r="F31" i="67"/>
  <c r="F31" i="15"/>
  <c r="E9" i="49"/>
  <c r="E13"/>
  <c r="E21"/>
  <c r="E8"/>
  <c r="B10"/>
  <c r="E11"/>
  <c r="E22"/>
  <c r="B4"/>
  <c r="C29" i="69"/>
  <c r="D27"/>
  <c r="B6" i="49"/>
  <c r="R16" i="1"/>
  <c r="D37" i="68"/>
  <c r="C37"/>
  <c r="C38"/>
  <c r="C12" i="12"/>
  <c r="C8" i="69"/>
  <c r="C5"/>
  <c r="F69" i="67"/>
  <c r="F71"/>
  <c r="B2" i="76"/>
  <c r="E2"/>
  <c r="B2" i="35"/>
  <c r="B3"/>
  <c r="F66" i="67"/>
  <c r="B10" i="70"/>
  <c r="F51" i="67"/>
  <c r="F69" i="15"/>
  <c r="B11" i="70"/>
  <c r="F65" i="15"/>
  <c r="F65" i="67"/>
  <c r="B9" i="70"/>
  <c r="N59" i="15"/>
  <c r="M59"/>
  <c r="C103" i="9"/>
  <c r="G20"/>
  <c r="M59" i="67"/>
  <c r="L58"/>
  <c r="N59"/>
  <c r="L59"/>
  <c r="D22" i="9"/>
  <c r="G1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B2" i="33"/>
  <c r="B3"/>
  <c r="C27" i="67"/>
  <c r="B2" i="34"/>
  <c r="B3"/>
  <c r="L56" i="15"/>
  <c r="Q50"/>
  <c r="I54"/>
  <c r="J53" i="67"/>
  <c r="J57"/>
  <c r="J55"/>
  <c r="J58"/>
  <c r="Q50"/>
  <c r="L56"/>
  <c r="I54"/>
  <c r="C38" i="69"/>
  <c r="C35"/>
  <c r="C20" i="68"/>
  <c r="C28"/>
  <c r="C27"/>
  <c r="C16" i="12"/>
  <c r="D19" i="69"/>
  <c r="C18" i="12"/>
  <c r="C17" i="67"/>
  <c r="C16"/>
  <c r="F59" i="15"/>
  <c r="F59" i="67"/>
  <c r="C14"/>
  <c r="M17" i="15"/>
  <c r="M17" i="67"/>
  <c r="C33" i="68"/>
  <c r="C39"/>
  <c r="C46"/>
  <c r="C45"/>
  <c r="C15" i="67"/>
  <c r="C18"/>
  <c r="C19"/>
  <c r="C19" i="69"/>
  <c r="D37"/>
  <c r="C37"/>
  <c r="C33"/>
  <c r="G21" i="9"/>
  <c r="C32"/>
  <c r="Q61" i="67"/>
  <c r="Q74"/>
  <c r="Q60"/>
  <c r="Q73"/>
  <c r="Q74" i="15"/>
  <c r="Q61"/>
  <c r="C49" i="67"/>
  <c r="F11"/>
  <c r="M11"/>
  <c r="J10"/>
  <c r="M28" i="43"/>
  <c r="O28"/>
  <c r="N28"/>
  <c r="B3" i="76"/>
  <c r="C21" i="12"/>
  <c r="Q52" i="67"/>
  <c r="F1"/>
  <c r="Q52" i="15"/>
  <c r="B2" i="70"/>
  <c r="B3"/>
  <c r="J18" i="67"/>
  <c r="J5"/>
  <c r="C32"/>
  <c r="Q60" i="15"/>
  <c r="Q73"/>
  <c r="C39" i="69"/>
  <c r="C46"/>
  <c r="C45"/>
  <c r="J18" i="15"/>
  <c r="J26" i="67"/>
  <c r="J29"/>
  <c r="J24"/>
  <c r="C22" i="12"/>
  <c r="C30"/>
  <c r="C28"/>
  <c r="C53" i="15"/>
  <c r="C48"/>
  <c r="C10" i="67"/>
  <c r="C5"/>
  <c r="C53"/>
  <c r="C48"/>
  <c r="C35" i="9"/>
  <c r="F118"/>
  <c r="H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D14" i="74"/>
  <c r="H119" i="9"/>
  <c r="H5" i="52"/>
  <c r="H4"/>
  <c r="I118" i="9"/>
  <c r="H101"/>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H107" i="9"/>
  <c r="D5" i="53"/>
  <c r="M48" i="9"/>
  <c r="D45"/>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D55" i="9"/>
  <c r="M53"/>
  <c r="C64"/>
  <c r="C63"/>
  <c r="C67"/>
  <c r="C68"/>
  <c r="D54"/>
  <c r="C78"/>
  <c r="C73"/>
  <c r="C85"/>
  <c r="C72"/>
  <c r="C79"/>
  <c r="C93"/>
  <c r="C86"/>
  <c r="D52"/>
  <c r="D53"/>
  <c r="B20" i="72"/>
  <c r="D6" i="53"/>
  <c r="B22" i="72"/>
  <c r="Q48" i="15"/>
  <c r="J22"/>
  <c r="J13"/>
  <c r="J23"/>
  <c r="Q48" i="67"/>
  <c r="L46"/>
  <c r="C64"/>
  <c r="C61"/>
  <c r="C59"/>
  <c r="C56" i="11"/>
  <c r="C57"/>
  <c r="J13" i="67"/>
  <c r="J23"/>
  <c r="J22"/>
  <c r="C75"/>
  <c r="C56"/>
  <c r="C65"/>
  <c r="C37"/>
  <c r="C30"/>
  <c r="C39"/>
  <c r="Q70"/>
  <c r="D5" i="74"/>
  <c r="C5"/>
  <c r="D13" i="53"/>
  <c r="H108" i="9"/>
  <c r="D15" i="53"/>
  <c r="B31" i="72"/>
  <c r="D122" i="9"/>
  <c r="C57" i="69"/>
  <c r="C56"/>
  <c r="Q70" i="15"/>
  <c r="C75"/>
  <c r="C56"/>
  <c r="C65"/>
  <c r="C64"/>
  <c r="C61"/>
  <c r="C59"/>
  <c r="C58"/>
  <c r="C67"/>
  <c r="C68"/>
  <c r="C57" i="68"/>
  <c r="C56"/>
  <c r="J16" i="67"/>
  <c r="J25"/>
  <c r="J16" i="15"/>
  <c r="J25"/>
  <c r="Q69"/>
  <c r="Q68"/>
  <c r="Q69" i="67"/>
  <c r="Q68"/>
  <c r="C40"/>
  <c r="C71" i="15"/>
  <c r="G14" i="74"/>
  <c r="B6"/>
  <c r="D123" i="9"/>
  <c r="D9" i="52"/>
  <c r="D8"/>
  <c r="D14" i="53"/>
  <c r="B32" i="72"/>
  <c r="B30"/>
  <c r="C80" i="67"/>
  <c r="C79"/>
  <c r="C80" i="9"/>
  <c r="C81"/>
  <c r="E80"/>
  <c r="E81"/>
  <c r="C80" i="15"/>
  <c r="C79"/>
  <c r="C58" i="67"/>
  <c r="C67"/>
  <c r="C68"/>
  <c r="C95" i="9"/>
  <c r="L51" i="67"/>
  <c r="Q67"/>
  <c r="L57"/>
  <c r="L60"/>
  <c r="Q67" i="15"/>
  <c r="C96" i="9"/>
  <c r="E96"/>
  <c r="E97"/>
  <c r="C97"/>
  <c r="D58"/>
  <c r="D56"/>
  <c r="M54"/>
  <c r="N57"/>
  <c r="Q65" i="15"/>
  <c r="Q47"/>
  <c r="Q53"/>
  <c r="Q56"/>
  <c r="C43"/>
  <c r="C83"/>
  <c r="C82"/>
  <c r="C45" i="67"/>
  <c r="C46"/>
  <c r="C71"/>
  <c r="D6" i="74"/>
  <c r="C6"/>
  <c r="C46" i="15"/>
  <c r="Q56" i="67"/>
  <c r="C43"/>
  <c r="Q47"/>
  <c r="Q53"/>
  <c r="Q65"/>
  <c r="D2"/>
  <c r="C83"/>
  <c r="C82"/>
  <c r="B3"/>
  <c r="B2"/>
  <c r="N58" i="9"/>
  <c r="P57"/>
  <c r="N59"/>
  <c r="Q66" i="15"/>
  <c r="Q75"/>
  <c r="Q57"/>
  <c r="Q62"/>
  <c r="Q66" i="67"/>
  <c r="Q57"/>
  <c r="Q62"/>
  <c r="Q75"/>
  <c r="N61" i="9"/>
  <c r="N60"/>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<sst xmlns="http://schemas.openxmlformats.org/spreadsheetml/2006/main" count="7688" uniqueCount="3119">
  <si>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</si>
  <si>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</si>
  <si>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</si>
  <si>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</si>
  <si>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</si>
  <si>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</si>
  <si>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</si>
  <si>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</si>
  <si>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</si>
  <si>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</si>
  <si>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</si>
  <si>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</si>
  <si>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</si>
  <si>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</si>
  <si>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</si>
  <si>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</si>
  <si>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</si>
  <si>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</si>
  <si>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</si>
  <si>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</si>
  <si>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</si>
  <si>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</si>
  <si>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</si>
  <si>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</si>
  <si>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</si>
  <si>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</si>
  <si>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</si>
  <si>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</si>
  <si>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</si>
  <si>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</si>
  <si>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</si>
  <si>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</si>
  <si>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</si>
  <si>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</si>
  <si>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</si>
  <si>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</si>
  <si>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</si>
  <si>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</si>
  <si>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</si>
  <si>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</si>
  <si>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</si>
  <si>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</si>
  <si>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</si>
  <si>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</si>
  <si>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</si>
  <si>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</si>
  <si>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</si>
  <si>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</si>
  <si>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</si>
  <si>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</si>
  <si>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</si>
  <si>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</si>
  <si>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</si>
  <si>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</si>
  <si>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</si>
  <si>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</si>
  <si>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</si>
  <si>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</si>
  <si>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</si>
  <si>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</si>
  <si>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</si>
  <si>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</si>
  <si>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</si>
  <si>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</si>
  <si>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</si>
  <si>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</si>
  <si>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</si>
  <si>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</si>
  <si>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</si>
  <si>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</si>
  <si>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</si>
  <si>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</si>
  <si>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</si>
  <si>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</si>
  <si>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</si>
  <si>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</si>
  <si>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</si>
  <si>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</si>
  <si>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</si>
  <si>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</si>
  <si>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</si>
  <si>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</si>
  <si>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</si>
  <si>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</si>
  <si>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</si>
  <si>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</si>
  <si>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</si>
  <si>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</si>
  <si>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</si>
  <si>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</si>
  <si>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</si>
  <si>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</si>
  <si>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</si>
  <si>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</si>
  <si>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</si>
  <si>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</si>
  <si>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</si>
  <si>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</si>
  <si>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</si>
  <si>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</si>
  <si>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</si>
  <si>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</si>
  <si>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</si>
  <si>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</si>
  <si>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</si>
  <si>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</si>
  <si>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</si>
  <si>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</si>
  <si>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</si>
  <si>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</si>
  <si>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</si>
  <si>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</si>
  <si>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</si>
  <si>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</si>
  <si>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</si>
  <si>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</si>
  <si>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</si>
  <si>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</si>
  <si>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</si>
  <si>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</si>
  <si>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</si>
  <si>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</si>
  <si>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</si>
  <si>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</si>
  <si>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</si>
  <si>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</si>
  <si>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</si>
  <si>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</si>
  <si>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</si>
  <si>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</si>
  <si>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</si>
  <si>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</si>
  <si>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</si>
  <si>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</si>
  <si>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</si>
  <si>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</si>
  <si>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</si>
  <si>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</si>
  <si>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</si>
  <si>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</si>
  <si>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</si>
  <si>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</si>
  <si>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</si>
  <si>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</si>
  <si>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</si>
  <si>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</si>
  <si>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</si>
  <si>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</si>
  <si>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</si>
  <si>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</si>
  <si>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</si>
  <si>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</si>
  <si>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</si>
  <si>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</si>
  <si>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</si>
  <si>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</si>
  <si>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</si>
  <si>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</si>
  <si>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</si>
  <si>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</si>
  <si>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</si>
  <si>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</si>
  <si>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</si>
  <si>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</si>
  <si>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</si>
  <si>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</si>
  <si>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</si>
  <si>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</si>
  <si>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</si>
  <si>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</si>
  <si>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</si>
  <si>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</si>
  <si>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</si>
  <si>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</si>
  <si>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</si>
  <si>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</si>
  <si>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</si>
  <si>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</si>
  <si>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</si>
  <si>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</si>
  <si>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</si>
  <si>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</si>
  <si>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</si>
  <si>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</si>
  <si>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</si>
  <si>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</si>
  <si>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</si>
  <si>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</si>
  <si>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</si>
  <si>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</si>
  <si>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</si>
  <si>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</si>
  <si>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</si>
  <si>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</si>
  <si>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</si>
  <si>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</si>
  <si>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</si>
  <si>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</si>
  <si>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</si>
  <si>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</si>
  <si>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</si>
  <si>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</si>
  <si>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</si>
  <si>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</si>
  <si>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</si>
  <si>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</si>
  <si>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</si>
  <si>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</si>
  <si>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</si>
  <si>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</si>
  <si>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</si>
  <si>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</si>
  <si>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</si>
  <si>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</si>
  <si>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</si>
  <si>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</si>
  <si>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</si>
  <si>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</si>
  <si>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</si>
  <si>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</si>
  <si>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</si>
  <si>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</si>
  <si>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</si>
  <si>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</si>
  <si>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</si>
  <si>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</si>
  <si>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</si>
  <si>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</si>
  <si>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</si>
  <si>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</si>
  <si>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</si>
  <si>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</si>
  <si>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</si>
  <si>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</si>
  <si>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</si>
  <si>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</si>
  <si>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</si>
  <si>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</si>
  <si>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</si>
  <si>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</si>
  <si>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</si>
  <si>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</si>
  <si>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</si>
  <si>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</si>
  <si>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</si>
  <si>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</si>
  <si>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</si>
  <si>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</si>
  <si>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</si>
  <si>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</si>
  <si>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</si>
  <si>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</si>
  <si>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</si>
  <si>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</si>
  <si>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</si>
  <si>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</si>
  <si>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</si>
  <si>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</si>
  <si>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</si>
  <si>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</si>
  <si>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</si>
  <si>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</si>
  <si>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</si>
  <si>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</si>
  <si>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</si>
  <si>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</si>
  <si>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</si>
  <si>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</si>
  <si>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</si>
  <si>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</si>
  <si>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</si>
  <si>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</si>
  <si>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</si>
  <si>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</si>
  <si>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</si>
  <si>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</si>
  <si>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</si>
  <si>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</si>
  <si>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</si>
  <si>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</si>
  <si>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</si>
  <si>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</si>
  <si>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</si>
  <si>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</si>
  <si>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</si>
  <si>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</si>
  <si>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</si>
  <si>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</si>
  <si>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</si>
  <si>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</si>
  <si>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</si>
  <si>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</si>
  <si>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</si>
  <si>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</si>
  <si>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</si>
  <si>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</si>
  <si>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</si>
  <si>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</si>
  <si>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</si>
  <si>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</si>
  <si>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</si>
  <si>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</si>
  <si>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</si>
  <si>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</si>
  <si>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</si>
  <si>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</si>
  <si>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</si>
  <si>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</si>
  <si>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</si>
  <si>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</si>
  <si>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</si>
  <si>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</si>
  <si>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</si>
  <si>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</si>
  <si>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</si>
  <si>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</si>
  <si>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</si>
  <si>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</si>
  <si>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</si>
  <si>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</si>
  <si>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</si>
  <si>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</si>
  <si>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</si>
  <si>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</si>
  <si>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</si>
  <si>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</si>
  <si>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</si>
  <si>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</si>
  <si>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</si>
  <si>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</si>
  <si>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</si>
  <si>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</si>
  <si>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</si>
  <si>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</si>
  <si>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</si>
  <si>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</si>
  <si>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</si>
  <si>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</si>
  <si>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</si>
  <si>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</si>
  <si>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</si>
  <si>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</si>
  <si>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</si>
  <si>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</si>
  <si>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</si>
  <si>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</si>
  <si>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</si>
  <si>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</si>
  <si>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</si>
  <si>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</si>
  <si>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</si>
  <si>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</si>
  <si>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</si>
  <si>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</si>
  <si>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</si>
  <si>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</si>
  <si>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</si>
  <si>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</si>
  <si>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</si>
  <si>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</si>
  <si>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</si>
  <si>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</si>
  <si>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</si>
  <si>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</si>
  <si>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</si>
  <si>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</si>
  <si>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</si>
  <si>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</si>
  <si>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</si>
  <si>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</si>
  <si>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</si>
  <si>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</si>
  <si>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</si>
  <si>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</si>
  <si>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</si>
  <si>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</si>
  <si>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</si>
  <si>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</si>
  <si>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</si>
  <si>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</si>
  <si>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</si>
  <si>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</si>
  <si>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</si>
  <si>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</si>
  <si>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</si>
  <si>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</si>
  <si>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</si>
  <si>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</si>
  <si>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</si>
  <si>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</si>
  <si>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</si>
  <si>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</si>
  <si>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</si>
  <si>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</si>
  <si>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</si>
  <si>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</si>
  <si>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</si>
  <si>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</si>
  <si>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</si>
  <si>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</si>
  <si>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</si>
  <si>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</si>
  <si>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</si>
  <si>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</si>
  <si>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</si>
  <si>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</si>
  <si>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</si>
  <si>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</si>
  <si>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</si>
  <si>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</si>
  <si>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</si>
  <si>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</si>
  <si>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</si>
  <si>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</si>
  <si>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</si>
  <si>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</si>
  <si>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</si>
  <si>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</si>
  <si>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</si>
  <si>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</si>
  <si>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</si>
  <si>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</si>
  <si>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</si>
  <si>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</si>
  <si>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</si>
  <si>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</si>
  <si>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</si>
  <si>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</si>
  <si>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</si>
  <si>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</si>
  <si>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</si>
  <si>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</si>
  <si>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</si>
  <si>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</si>
  <si>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</si>
  <si>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</si>
  <si>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</si>
  <si>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</si>
  <si>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</si>
  <si>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</si>
  <si>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</si>
  <si>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</si>
  <si>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</si>
  <si>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</si>
  <si>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</si>
  <si>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</si>
  <si>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</si>
  <si>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</si>
  <si>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</si>
  <si>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</si>
  <si>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</si>
  <si>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</si>
  <si>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</si>
  <si>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</si>
  <si>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</si>
  <si>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</si>
  <si>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</si>
  <si>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</si>
  <si>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</si>
  <si>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</si>
  <si>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</si>
  <si>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</si>
  <si>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</si>
  <si>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</si>
  <si>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</si>
  <si>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</si>
  <si>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</si>
  <si>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</si>
  <si>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</si>
  <si>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</si>
  <si>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</si>
  <si>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</si>
  <si>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</si>
  <si>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</si>
  <si>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</si>
  <si>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</si>
  <si>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</si>
  <si>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</si>
  <si>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</si>
  <si>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</si>
  <si>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</si>
  <si>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</si>
  <si>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</si>
  <si>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</si>
  <si>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</si>
  <si>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</si>
  <si>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</si>
  <si>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</si>
  <si>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</si>
  <si>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</si>
  <si>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</si>
  <si>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</si>
  <si>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</si>
  <si>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</si>
  <si>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</si>
  <si>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</si>
  <si>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</si>
  <si>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</si>
  <si>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</si>
  <si>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</si>
  <si>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</si>
  <si>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</si>
  <si>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</si>
  <si>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</si>
  <si>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</si>
  <si>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</si>
  <si>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</si>
  <si>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</si>
  <si>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</si>
  <si>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</si>
  <si>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</si>
  <si>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</si>
  <si>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</si>
  <si>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</si>
  <si>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</si>
  <si>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</si>
  <si>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</si>
  <si>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</si>
  <si>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</si>
  <si>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</si>
  <si>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</si>
  <si>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</si>
  <si>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</si>
  <si>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</si>
  <si>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</si>
  <si>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</si>
  <si>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</si>
  <si>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</si>
  <si>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</si>
  <si>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</si>
  <si>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</si>
  <si>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</si>
  <si>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</si>
  <si>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</si>
  <si>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</si>
  <si>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</si>
  <si>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</si>
  <si>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</si>
  <si>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</si>
  <si>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</si>
  <si>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</si>
  <si>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</si>
  <si>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</si>
  <si>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</si>
  <si>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</si>
  <si>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</si>
  <si>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</si>
  <si>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</si>
  <si>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</si>
  <si>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</si>
  <si>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</si>
  <si>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</si>
  <si>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</si>
  <si>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</si>
  <si>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</si>
  <si>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</si>
  <si>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</si>
  <si>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</si>
  <si>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</si>
  <si>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</si>
  <si>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</si>
  <si>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</si>
  <si>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</si>
  <si>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</si>
  <si>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</si>
  <si>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</si>
  <si>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</si>
  <si>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</si>
  <si>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</si>
  <si>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</si>
  <si>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</si>
  <si>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</si>
  <si>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</si>
  <si>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</si>
  <si>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</si>
  <si>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</si>
  <si>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</si>
  <si>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</si>
  <si>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</si>
  <si>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</si>
  <si>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</si>
  <si>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</si>
  <si>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</si>
  <si>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</si>
  <si>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</si>
  <si>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</si>
  <si>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</si>
  <si>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</si>
  <si>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</si>
  <si>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</si>
  <si>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</si>
  <si>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</si>
  <si>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</si>
  <si>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</si>
  <si>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</si>
  <si>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</si>
  <si>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</si>
  <si>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</si>
  <si>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</si>
  <si>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</si>
  <si>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</si>
  <si>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</si>
  <si>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</si>
  <si>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</si>
  <si>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</si>
  <si>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</si>
  <si>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</si>
  <si>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</si>
  <si>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</si>
  <si>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</si>
  <si>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</si>
  <si>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</si>
  <si>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</si>
  <si>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</si>
  <si>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</si>
  <si>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</si>
  <si>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</si>
  <si>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</si>
  <si>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</si>
  <si>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</si>
  <si>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</si>
  <si>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</si>
  <si>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</si>
  <si>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</si>
  <si>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</si>
  <si>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</si>
  <si>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</si>
  <si>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</si>
  <si>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</si>
  <si>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</si>
  <si>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</si>
  <si>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</si>
  <si>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</si>
  <si>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</si>
  <si>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</si>
  <si>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</si>
  <si>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</si>
  <si>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</si>
  <si>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</si>
  <si>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</si>
  <si>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</si>
  <si>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</si>
  <si>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</si>
  <si>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</si>
  <si>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</si>
  <si>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</si>
  <si>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</si>
  <si>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</si>
  <si>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</si>
  <si>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</si>
  <si>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</si>
  <si>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</si>
  <si>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</si>
  <si>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</si>
  <si>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</si>
  <si>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</si>
  <si>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</si>
  <si>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</si>
  <si>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</si>
  <si>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</si>
  <si>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</si>
  <si>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</si>
  <si>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</si>
  <si>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</si>
  <si>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</si>
  <si>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</si>
  <si>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</si>
  <si>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</si>
  <si>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</si>
  <si>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</si>
  <si>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</si>
  <si>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</si>
  <si>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</si>
  <si>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</si>
  <si>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</si>
  <si>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</si>
  <si>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</si>
  <si>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</si>
  <si>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</si>
  <si>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</si>
  <si>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</si>
  <si>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</si>
  <si>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</si>
  <si>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</si>
  <si>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</si>
  <si>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</si>
  <si>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</si>
  <si>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</si>
  <si>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</si>
  <si>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</si>
  <si>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</si>
  <si>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</si>
  <si>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</si>
  <si>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</si>
  <si>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</si>
  <si>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</si>
  <si>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</si>
  <si>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</si>
  <si>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</si>
  <si>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</si>
  <si>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</si>
  <si>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</si>
  <si>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</si>
  <si>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</si>
  <si>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</si>
  <si>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</si>
  <si>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</si>
  <si>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</si>
  <si>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</si>
  <si>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</si>
  <si>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</si>
  <si>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</si>
  <si>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</si>
  <si>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</si>
  <si>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</si>
  <si>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</si>
  <si>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</si>
  <si>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</si>
  <si>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</si>
  <si>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</si>
  <si>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</si>
  <si>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</si>
  <si>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</si>
  <si>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</si>
  <si>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</si>
  <si>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</si>
  <si>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</si>
  <si>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</si>
  <si>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</si>
  <si>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</si>
  <si>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</si>
  <si>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</si>
  <si>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</si>
  <si>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</si>
  <si>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</si>
  <si>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</si>
  <si>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</si>
  <si>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</si>
  <si>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</si>
  <si>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</si>
  <si>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</si>
  <si>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</si>
  <si>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</si>
  <si>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</si>
  <si>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</si>
  <si>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</si>
  <si>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</si>
  <si>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</si>
  <si>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</si>
  <si>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</si>
  <si>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</si>
  <si>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</si>
  <si>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</si>
  <si>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</si>
  <si>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</si>
  <si>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</si>
  <si>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</si>
  <si>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</si>
  <si>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</si>
  <si>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</si>
  <si>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</si>
  <si>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</si>
  <si>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</si>
  <si>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</si>
  <si>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</si>
  <si>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</si>
  <si>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</si>
  <si>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</si>
  <si>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</si>
  <si>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</si>
  <si>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</si>
  <si>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</si>
  <si>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</si>
  <si>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</si>
  <si>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</si>
  <si>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</si>
  <si>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</si>
  <si>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</si>
  <si>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</si>
  <si>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</si>
  <si>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</si>
  <si>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</si>
  <si>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</si>
  <si>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</si>
  <si>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</si>
  <si>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</si>
  <si>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</si>
  <si>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</si>
  <si>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</si>
  <si>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</si>
  <si>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</si>
  <si>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</si>
  <si>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</si>
  <si>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</si>
  <si>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</si>
  <si>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</si>
  <si>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</si>
  <si>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</si>
  <si>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</si>
  <si>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</si>
  <si>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</si>
  <si>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</si>
  <si>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</si>
  <si>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</si>
  <si>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</si>
  <si>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</si>
  <si>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</si>
  <si>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</si>
  <si>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</si>
  <si>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</si>
  <si>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</si>
  <si>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</si>
  <si>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</si>
  <si>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</si>
  <si>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</si>
  <si>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</si>
  <si>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</si>
  <si>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</si>
  <si>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</si>
  <si>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</si>
  <si>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</si>
  <si>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</si>
  <si>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</si>
  <si>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</si>
  <si>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</si>
  <si>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</si>
  <si>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</si>
  <si>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</si>
  <si>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</si>
  <si>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</si>
  <si>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</si>
  <si>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</si>
  <si>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</si>
  <si>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</si>
  <si>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</si>
  <si>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</si>
  <si>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</si>
  <si>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</si>
  <si>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</si>
  <si>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</si>
  <si>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</si>
  <si>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</si>
  <si>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</si>
  <si>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</si>
  <si>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</si>
  <si>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</si>
  <si>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</si>
  <si>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</si>
  <si>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</si>
  <si>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</si>
  <si>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</si>
  <si>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</si>
  <si>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</si>
  <si>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</si>
  <si>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</si>
  <si>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</si>
  <si>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</si>
  <si>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</si>
  <si>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</si>
  <si>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</si>
  <si>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</si>
  <si>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</si>
  <si>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</si>
  <si>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</si>
  <si>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</si>
  <si>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</si>
  <si>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</si>
  <si>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</si>
  <si>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</si>
  <si>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</si>
  <si>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</si>
  <si>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</si>
  <si>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</si>
  <si>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</si>
  <si>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</si>
  <si>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</si>
  <si>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</si>
  <si>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</si>
  <si>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</si>
  <si>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</si>
  <si>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</si>
  <si>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</si>
  <si>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</si>
  <si>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</si>
  <si>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</si>
  <si>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</si>
  <si>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</si>
  <si>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</si>
  <si>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</si>
  <si>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</si>
  <si>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</si>
  <si>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</si>
  <si>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</si>
  <si>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</si>
  <si>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</si>
  <si>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</si>
  <si>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</si>
  <si>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</si>
  <si>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</si>
  <si>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</si>
  <si>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</si>
  <si>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</si>
  <si>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</si>
  <si>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</si>
  <si>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</si>
  <si>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</si>
  <si>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</si>
  <si>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</si>
  <si>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</si>
  <si>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</si>
  <si>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</si>
  <si>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</si>
  <si>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</si>
  <si>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</si>
  <si>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</si>
  <si>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</si>
  <si>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</si>
  <si>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</si>
  <si>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</si>
  <si>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</si>
  <si>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</si>
  <si>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</si>
  <si>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</si>
  <si>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</si>
  <si>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</si>
  <si>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</si>
  <si>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</si>
  <si>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</si>
  <si>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</si>
  <si>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</si>
  <si>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</si>
  <si>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</si>
  <si>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</si>
  <si>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</si>
  <si>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</si>
  <si>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</si>
  <si>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</si>
  <si>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</si>
  <si>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</si>
  <si>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</si>
  <si>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</si>
  <si>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</si>
  <si>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</si>
  <si>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</si>
  <si>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</si>
  <si>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</si>
  <si>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</si>
  <si>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</si>
  <si>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</si>
  <si>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</si>
  <si>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</si>
  <si>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</si>
  <si>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</si>
  <si>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</si>
  <si>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</si>
  <si>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</si>
  <si>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</si>
  <si>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</si>
  <si>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</si>
  <si>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</si>
  <si>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</si>
  <si>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</si>
  <si>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</si>
  <si>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</si>
  <si>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</si>
  <si>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</si>
  <si>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</si>
  <si>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</si>
  <si>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</si>
  <si>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</si>
  <si>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</si>
  <si>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</si>
  <si>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</si>
  <si>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</si>
  <si>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</si>
  <si>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</si>
  <si>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</si>
  <si>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</si>
  <si>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</si>
  <si>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</si>
  <si>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</si>
  <si>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</si>
  <si>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</si>
  <si>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</si>
  <si>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</si>
  <si>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</si>
  <si>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</si>
  <si>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</si>
  <si>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</si>
  <si>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</si>
  <si>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</si>
  <si>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</si>
  <si>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</si>
  <si>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</si>
  <si>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</si>
  <si>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</si>
  <si>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</si>
  <si>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</si>
  <si>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</si>
  <si>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</si>
  <si>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</si>
  <si>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</si>
  <si>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</si>
  <si>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</si>
  <si>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</si>
  <si>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</si>
  <si>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</si>
  <si>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</si>
  <si>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</si>
  <si>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</si>
  <si>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</si>
  <si>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</si>
  <si>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</si>
  <si>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</si>
  <si>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</si>
  <si>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</si>
  <si>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</si>
  <si>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</si>
  <si>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</si>
  <si>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</si>
  <si>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</si>
  <si>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</si>
  <si>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</si>
  <si>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</si>
  <si>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</si>
  <si>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</si>
  <si>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</si>
  <si>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</si>
  <si>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</si>
  <si>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</si>
  <si>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</si>
  <si>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</si>
  <si>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</si>
  <si>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</si>
  <si>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</si>
  <si>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</si>
  <si>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</si>
  <si>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</si>
  <si>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</si>
  <si>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</si>
  <si>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</si>
  <si>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</si>
  <si>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</si>
  <si>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</si>
  <si>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</si>
  <si>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</si>
  <si>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</si>
  <si>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</si>
  <si>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</si>
  <si>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</si>
  <si>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</si>
  <si>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</si>
  <si>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</si>
  <si>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</si>
  <si>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</si>
  <si>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</si>
  <si>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</si>
  <si>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</si>
  <si>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</si>
  <si>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</si>
  <si>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</si>
  <si>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</si>
  <si>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</si>
  <si>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</si>
  <si>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</si>
  <si>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</si>
  <si>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</si>
  <si>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</si>
  <si>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</si>
  <si>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</si>
  <si>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</si>
  <si>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</si>
  <si>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</si>
  <si>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</si>
  <si>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</si>
  <si>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</si>
  <si>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</si>
  <si>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</si>
  <si>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</si>
  <si>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</si>
  <si>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</si>
  <si>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</si>
  <si>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</si>
  <si>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</si>
  <si>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</si>
  <si>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</si>
  <si>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</si>
  <si>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</si>
  <si>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</si>
  <si>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</si>
  <si>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</si>
  <si>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</si>
  <si>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</si>
  <si>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</si>
  <si>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</si>
  <si>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</si>
  <si>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</si>
  <si>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</si>
  <si>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</si>
  <si>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</si>
  <si>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</si>
  <si>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</si>
  <si>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</si>
  <si>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</si>
  <si>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</si>
  <si>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</si>
  <si>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</si>
  <si>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</si>
  <si>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</si>
  <si>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</si>
  <si>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</si>
  <si>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</si>
  <si>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</si>
  <si>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</si>
  <si>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</si>
  <si>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</si>
  <si>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</si>
  <si>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</si>
  <si>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</si>
  <si>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</si>
  <si>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</si>
  <si>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</si>
  <si>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</si>
  <si>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</si>
  <si>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</si>
  <si>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</si>
  <si>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</si>
  <si>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</si>
  <si>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</si>
  <si>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</si>
  <si>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</si>
  <si>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</si>
  <si>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</si>
  <si>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</si>
  <si>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</si>
  <si>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</si>
  <si>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</si>
  <si>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</si>
  <si>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</si>
  <si>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</si>
  <si>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</si>
  <si>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</si>
  <si>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</si>
  <si>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</si>
  <si>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</si>
  <si>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</si>
  <si>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</si>
  <si>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</si>
  <si>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</si>
  <si>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</si>
  <si>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</si>
  <si>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</si>
  <si>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</si>
  <si>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</si>
  <si>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</si>
  <si>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</si>
  <si>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</si>
  <si>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</si>
  <si>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</si>
  <si>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</si>
  <si>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</si>
  <si>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</si>
  <si>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</si>
  <si>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</si>
  <si>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</si>
  <si>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</si>
  <si>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</si>
  <si>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</si>
  <si>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</si>
  <si>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</si>
  <si>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</si>
  <si>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</si>
  <si>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</si>
  <si>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</si>
  <si>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</si>
  <si>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</si>
  <si>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</si>
  <si>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</si>
  <si>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</si>
  <si>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</si>
  <si>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</si>
  <si>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</si>
  <si>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</si>
  <si>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</si>
  <si>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</si>
  <si>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</si>
  <si>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</si>
  <si>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</si>
  <si>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</si>
  <si>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</si>
  <si>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</si>
  <si>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</si>
  <si>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</si>
  <si>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</si>
  <si>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</si>
  <si>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</si>
  <si>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</si>
  <si>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</si>
  <si>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</si>
  <si>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</si>
  <si>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</si>
  <si>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</si>
  <si>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</si>
  <si>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</si>
  <si>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</si>
  <si>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</si>
  <si>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</si>
  <si>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</si>
  <si>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</si>
  <si>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</si>
  <si>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</si>
  <si>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</si>
  <si>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</si>
  <si>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</si>
  <si>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</si>
  <si>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</si>
  <si>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</si>
  <si>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</si>
  <si>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</si>
  <si>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</si>
  <si>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</si>
  <si>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</si>
  <si>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</si>
  <si>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</si>
  <si>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</si>
  <si>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</si>
  <si>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</si>
  <si>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</si>
  <si>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</si>
  <si>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</si>
  <si>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</si>
  <si>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</si>
  <si>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</si>
  <si>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</si>
  <si>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</si>
  <si>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</si>
  <si>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</si>
  <si>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</si>
  <si>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</si>
  <si>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</si>
  <si>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</si>
  <si>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</si>
  <si>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</si>
  <si>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</si>
  <si>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</si>
  <si>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</si>
  <si>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</si>
  <si>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</si>
  <si>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</si>
  <si>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</si>
  <si>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</si>
  <si>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</si>
  <si>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</si>
  <si>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</si>
  <si>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</si>
  <si>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</si>
  <si>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</si>
  <si>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</si>
  <si>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</si>
  <si>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</si>
  <si>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</si>
  <si>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</si>
  <si>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</si>
  <si>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</si>
  <si>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</si>
  <si>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</si>
  <si>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</si>
  <si>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</si>
  <si>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</si>
  <si>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</si>
  <si>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</si>
  <si>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</si>
  <si>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</si>
  <si>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</si>
  <si>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</si>
  <si>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</si>
  <si>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</si>
  <si>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</si>
  <si>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</si>
  <si>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</si>
  <si>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</si>
  <si>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</si>
  <si>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</si>
  <si>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</si>
  <si>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</si>
  <si>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</si>
  <si>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</si>
  <si>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</si>
  <si>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</si>
  <si>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</si>
  <si>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</si>
  <si>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</si>
  <si>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</si>
  <si>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</si>
  <si>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</si>
  <si>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</si>
  <si>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</si>
  <si>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</si>
  <si>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</si>
  <si>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</si>
  <si>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</si>
  <si>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</si>
  <si>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</si>
  <si>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</si>
  <si>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</si>
  <si>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</si>
  <si>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</si>
  <si>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</si>
  <si>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</si>
  <si>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</si>
  <si>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</si>
  <si>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</si>
  <si>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</si>
  <si>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</si>
  <si>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</si>
  <si>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</si>
  <si>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</si>
  <si>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</si>
  <si>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</si>
  <si>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</si>
  <si>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</si>
  <si>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</si>
  <si>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</si>
  <si>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</si>
  <si>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</si>
  <si>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</si>
  <si>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</si>
  <si>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</si>
  <si>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</si>
  <si>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</si>
  <si>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</si>
  <si>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</si>
  <si>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</si>
  <si>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</si>
  <si>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</si>
  <si>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</si>
  <si>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</si>
  <si>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</si>
  <si>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</si>
  <si>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</si>
  <si>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</si>
  <si>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</si>
  <si>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</si>
  <si>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</si>
  <si>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</si>
  <si>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</si>
  <si>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</si>
  <si>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</si>
  <si>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</si>
  <si>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</si>
  <si>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</si>
  <si>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</si>
  <si>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</si>
  <si>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</si>
  <si>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</si>
  <si>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</si>
  <si>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</si>
  <si>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</si>
  <si>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</si>
  <si>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</si>
  <si>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</si>
  <si>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</si>
  <si>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</si>
  <si>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</si>
  <si>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</si>
  <si>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</si>
  <si>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</si>
  <si>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</si>
  <si>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</si>
  <si>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</si>
  <si>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</si>
  <si>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</si>
  <si>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</si>
  <si>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</si>
  <si>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</si>
  <si>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</si>
  <si>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</si>
  <si>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</si>
  <si>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</si>
  <si>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</si>
  <si>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</si>
  <si>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</si>
  <si>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</si>
  <si>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</si>
  <si>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</si>
  <si>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</si>
  <si>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</si>
  <si>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</si>
  <si>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</si>
  <si>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</si>
  <si>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</si>
  <si>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</si>
  <si>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</si>
  <si>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</si>
  <si>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</si>
  <si>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</si>
  <si>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</si>
  <si>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</si>
  <si>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</si>
  <si>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</si>
  <si>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</si>
  <si>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</si>
  <si>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</si>
  <si>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</si>
  <si>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</si>
  <si>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</si>
  <si>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</si>
  <si>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</si>
  <si>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</si>
  <si>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</si>
  <si>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</si>
  <si>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</si>
  <si>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</si>
  <si>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</si>
  <si>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</si>
  <si>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</si>
  <si>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</si>
  <si>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</si>
  <si>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</si>
  <si>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</si>
  <si>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</si>
  <si>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</si>
  <si>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</si>
  <si>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</si>
  <si>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</si>
  <si>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</si>
  <si>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</si>
  <si>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</si>
  <si>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</si>
  <si>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</si>
  <si>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</si>
  <si>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</si>
  <si>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</si>
  <si>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</si>
  <si>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</si>
  <si>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</si>
  <si>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</si>
  <si>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</si>
  <si>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</si>
  <si>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</si>
  <si>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</si>
  <si>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</si>
  <si>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</si>
  <si>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</si>
  <si>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</si>
  <si>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</si>
  <si>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</si>
  <si>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</si>
  <si>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</si>
  <si>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</si>
  <si>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</si>
  <si>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</si>
  <si>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</si>
  <si>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</si>
  <si>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</si>
  <si>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</si>
  <si>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</si>
  <si>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</si>
  <si>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</si>
  <si>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</si>
  <si>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</si>
  <si>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</si>
  <si>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</si>
  <si>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</si>
  <si>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</si>
  <si>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</si>
  <si>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</si>
  <si>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</si>
  <si>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</si>
  <si>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</si>
  <si>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</si>
  <si>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</si>
  <si>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</si>
  <si>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</si>
  <si>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</si>
  <si>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</si>
  <si>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</si>
  <si>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</si>
  <si>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</si>
  <si>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</si>
  <si>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</si>
  <si>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</si>
  <si>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</si>
  <si>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</si>
  <si>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</si>
  <si>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</si>
  <si>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</si>
  <si>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</si>
  <si>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</si>
  <si>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</si>
  <si>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</si>
  <si>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</si>
  <si>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</si>
  <si>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</si>
  <si>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</si>
  <si>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</si>
  <si>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</si>
  <si>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</si>
  <si>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</si>
  <si>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</si>
  <si>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</si>
  <si>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</si>
  <si>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</si>
  <si>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</si>
  <si>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</si>
  <si>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</si>
  <si>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</si>
  <si>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</si>
  <si>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</si>
  <si>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</si>
  <si>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</si>
  <si>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</si>
  <si>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</si>
  <si>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</si>
  <si>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</si>
  <si>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</si>
  <si>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</si>
  <si>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</si>
  <si>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</si>
  <si>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</si>
  <si>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</si>
  <si>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</si>
  <si>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</si>
  <si>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</si>
  <si>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</si>
  <si>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</si>
  <si>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</si>
  <si>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</si>
  <si>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</si>
  <si>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</si>
  <si>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</si>
  <si>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</si>
  <si>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</si>
  <si>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</si>
  <si>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</si>
  <si>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</si>
  <si>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</si>
  <si>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</si>
  <si>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</si>
  <si>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</si>
  <si>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</si>
  <si>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</si>
  <si>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</si>
  <si>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</si>
  <si>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</si>
  <si>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</si>
  <si>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</si>
  <si>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</si>
  <si>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</si>
  <si>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</si>
  <si>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</si>
  <si>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</si>
  <si>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</si>
  <si>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</si>
  <si>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</si>
  <si>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</si>
  <si>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</si>
  <si>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</si>
  <si>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</si>
  <si>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</si>
  <si>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</si>
  <si>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</si>
  <si>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</si>
  <si>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</si>
  <si>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</si>
  <si>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</si>
  <si>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</si>
  <si>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</si>
  <si>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</si>
  <si>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</si>
  <si>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</si>
  <si>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</si>
  <si>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</si>
  <si>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</si>
  <si>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</si>
  <si>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</si>
  <si>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</si>
  <si>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</si>
  <si>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</si>
  <si>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</si>
  <si>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</si>
  <si>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</si>
  <si>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</si>
  <si>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</si>
  <si>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</si>
  <si>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</si>
  <si>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</si>
  <si>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</si>
  <si>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</si>
  <si>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</si>
  <si>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</si>
  <si>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</si>
  <si>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</si>
  <si>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</si>
  <si>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</si>
  <si>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</si>
  <si>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</si>
  <si>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</si>
  <si>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</si>
  <si>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</si>
  <si>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</si>
  <si>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</si>
  <si>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</si>
  <si>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</si>
  <si>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</si>
  <si>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</si>
  <si>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</si>
  <si>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</si>
  <si>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</si>
  <si>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</si>
  <si>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</si>
  <si>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</si>
  <si>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</si>
  <si>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</si>
  <si>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</si>
  <si>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</si>
  <si>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</si>
  <si>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</si>
  <si>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</si>
  <si>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</si>
  <si>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</si>
  <si>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</si>
  <si>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</si>
  <si>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</si>
  <si>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</si>
  <si>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</si>
  <si>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</si>
  <si>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</si>
  <si>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</si>
  <si>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</si>
  <si>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</si>
  <si>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</si>
  <si>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</si>
  <si>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</si>
  <si>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</si>
  <si>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</si>
  <si>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</si>
  <si>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</si>
  <si>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</si>
  <si>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</si>
  <si>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</si>
  <si>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</si>
  <si>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</si>
  <si>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</si>
  <si>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</si>
  <si>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</si>
  <si>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</si>
  <si>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</si>
  <si>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</si>
  <si>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</si>
  <si>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</si>
  <si>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</si>
  <si>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</si>
  <si>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</si>
  <si>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</si>
  <si>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</si>
  <si>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</si>
  <si>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</si>
  <si>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</si>
  <si>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</si>
  <si>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</si>
  <si>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</si>
  <si>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</si>
  <si>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</si>
  <si>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</si>
  <si>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</si>
  <si>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</si>
  <si>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</si>
  <si>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</si>
  <si>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</si>
  <si>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</si>
  <si>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</si>
  <si>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</si>
  <si>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</si>
  <si>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</si>
  <si>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</si>
  <si>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</si>
  <si>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</si>
  <si>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</si>
  <si>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</si>
  <si>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</si>
  <si>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</si>
  <si>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</si>
  <si>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</si>
  <si>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</si>
  <si>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</si>
  <si>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</si>
  <si>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</si>
  <si>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</si>
  <si>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</si>
  <si>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</si>
  <si>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</si>
  <si>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</si>
  <si>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</si>
  <si>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</si>
  <si>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</si>
  <si>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</si>
  <si>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</si>
  <si>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</si>
  <si>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</si>
  <si>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</si>
  <si>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</si>
  <si>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</si>
  <si>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</si>
  <si>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</si>
  <si>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</si>
  <si>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</si>
  <si>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</si>
  <si>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</si>
  <si>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</si>
  <si>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</si>
  <si>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</si>
  <si>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</si>
  <si>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</si>
  <si>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</si>
  <si>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</si>
  <si>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</si>
  <si>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</si>
  <si>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</si>
  <si>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</si>
  <si>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</si>
  <si>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</si>
  <si>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</si>
  <si>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</si>
  <si>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</si>
  <si>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</si>
  <si>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</si>
  <si>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</si>
  <si>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</si>
  <si>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</si>
  <si>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</si>
  <si>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</si>
  <si>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</si>
  <si>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</si>
  <si>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</si>
  <si>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</si>
  <si>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</si>
  <si>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</si>
  <si>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</si>
  <si>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</si>
  <si>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</si>
  <si>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</si>
  <si>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</si>
  <si>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</si>
  <si>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</si>
  <si>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</si>
  <si>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</si>
  <si>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</si>
  <si>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</si>
  <si>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</si>
  <si>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</si>
  <si>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</si>
  <si>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</si>
  <si>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</si>
  <si>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</si>
  <si>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</si>
  <si>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</si>
  <si>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</si>
  <si>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</si>
  <si>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</si>
  <si>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</si>
  <si>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</si>
  <si>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</si>
  <si>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</si>
  <si>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</si>
  <si>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</si>
  <si>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</si>
  <si>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</si>
  <si>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</si>
  <si>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</si>
  <si>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</si>
  <si>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</si>
  <si>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</si>
  <si>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</si>
  <si>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</si>
  <si>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</si>
  <si>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</si>
  <si>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</si>
  <si>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</si>
  <si>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</si>
  <si>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</si>
  <si>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</si>
  <si>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</si>
  <si>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</si>
  <si>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</si>
  <si>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</si>
  <si>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</si>
  <si>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</si>
  <si>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</si>
  <si>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</si>
  <si>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</si>
  <si>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</si>
  <si>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</si>
  <si>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</si>
  <si>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</si>
  <si>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</si>
  <si>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</si>
  <si>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</si>
  <si>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</si>
  <si>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</si>
  <si>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</si>
  <si>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</si>
  <si>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</si>
  <si>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</si>
  <si>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</si>
  <si>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</si>
  <si>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</si>
  <si>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</si>
  <si>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</si>
  <si>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</si>
  <si>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</si>
  <si>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</si>
  <si>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</si>
  <si>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</si>
  <si>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</si>
  <si>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</si>
  <si>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</si>
  <si>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</si>
  <si>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</si>
  <si>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</si>
  <si>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</si>
  <si>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</si>
  <si>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</si>
  <si>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</si>
  <si>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</si>
  <si>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</si>
  <si>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</si>
  <si>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</si>
  <si>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</si>
  <si>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</si>
  <si>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</si>
  <si>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</si>
  <si>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</si>
  <si>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</si>
  <si>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</si>
  <si>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</si>
  <si>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</si>
  <si>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</si>
  <si>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</si>
  <si>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</si>
  <si>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</si>
  <si>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</si>
  <si>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</si>
  <si>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</si>
  <si>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</si>
  <si>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</si>
  <si>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</si>
  <si>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</si>
  <si>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</si>
  <si>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</si>
  <si>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</si>
  <si>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</si>
  <si>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</si>
  <si>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</si>
  <si>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</si>
  <si>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</si>
  <si>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</si>
  <si>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</si>
  <si>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</si>
  <si>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</si>
  <si>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</si>
  <si>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</si>
  <si>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</si>
  <si>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</si>
  <si>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</si>
  <si>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</si>
  <si>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</si>
  <si>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</si>
  <si>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</si>
  <si>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</si>
  <si>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</si>
  <si>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</si>
  <si>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</si>
  <si>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</si>
  <si>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</si>
  <si>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</si>
  <si>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</si>
  <si>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</si>
  <si>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</si>
  <si>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</si>
  <si>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</si>
  <si>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</si>
  <si>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</si>
  <si>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</si>
  <si>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</si>
  <si>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</si>
  <si>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</si>
  <si>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</si>
  <si>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</si>
  <si>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</si>
  <si>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</si>
  <si>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</si>
  <si>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</si>
  <si>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</si>
  <si>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</si>
  <si>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</si>
  <si>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</si>
  <si>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</si>
  <si>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</si>
  <si>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</si>
  <si>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</si>
  <si>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</si>
  <si>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</si>
  <si>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</si>
  <si>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</si>
  <si>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</si>
  <si>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</si>
  <si>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</si>
  <si>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</si>
  <si>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</si>
  <si>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</si>
  <si>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</si>
  <si>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</si>
  <si>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</si>
  <si>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</si>
  <si>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</si>
  <si>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</si>
  <si>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</si>
  <si>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</si>
  <si>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</si>
  <si>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</si>
  <si>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</si>
  <si>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</si>
  <si>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</si>
  <si>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</si>
  <si>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</si>
  <si>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</si>
  <si>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</si>
  <si>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</si>
  <si>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</si>
  <si>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</si>
  <si>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</si>
  <si>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</si>
  <si>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</si>
  <si>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</si>
  <si>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</si>
  <si>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</si>
  <si>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</si>
  <si>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</si>
  <si>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</si>
  <si>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</si>
  <si>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</si>
  <si>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</si>
  <si>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</si>
  <si>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</si>
  <si>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</si>
  <si>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</si>
  <si>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</si>
  <si>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</si>
  <si>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</si>
  <si>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</si>
  <si>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</si>
  <si>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</si>
  <si>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</si>
  <si>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</si>
  <si>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</si>
  <si>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</si>
  <si>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</si>
  <si>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</si>
  <si>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</si>
  <si>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</si>
  <si>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</si>
  <si>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</si>
  <si>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</si>
  <si>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</si>
  <si>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</si>
  <si>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</si>
  <si>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</si>
  <si>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</si>
  <si>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</si>
  <si>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</si>
  <si>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</si>
  <si>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</si>
  <si>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</si>
  <si>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</si>
  <si>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</si>
  <si>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</si>
  <si>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</si>
  <si>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</si>
  <si>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</si>
  <si>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</si>
  <si>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</si>
  <si>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</si>
  <si>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</si>
  <si>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</si>
  <si>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</si>
  <si>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</si>
  <si>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</si>
  <si>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</si>
  <si>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</si>
  <si>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</si>
  <si>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</si>
  <si>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</si>
  <si>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</si>
  <si>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</si>
  <si>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</si>
  <si>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</si>
  <si>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</si>
  <si>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</si>
  <si>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</si>
  <si>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</si>
  <si>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</si>
  <si>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</si>
  <si>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</si>
  <si>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</si>
  <si>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</si>
  <si>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</si>
  <si>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</si>
  <si>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</si>
  <si>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</si>
  <si>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</si>
  <si>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</si>
  <si>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</si>
  <si>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</si>
  <si>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</si>
  <si>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</si>
  <si>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</si>
  <si>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</si>
  <si>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</si>
  <si>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</si>
  <si>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</si>
  <si>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</si>
  <si>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</si>
  <si>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</si>
  <si>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</si>
  <si>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</si>
  <si>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</si>
  <si>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</si>
  <si>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</si>
  <si>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</si>
  <si>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</si>
  <si>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</si>
  <si>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</si>
  <si>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</si>
  <si>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</si>
  <si>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</si>
  <si>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</si>
  <si>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</si>
  <si>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</si>
  <si>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</si>
  <si>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</si>
  <si>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</si>
  <si>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</si>
  <si>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</si>
  <si>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</si>
  <si>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</si>
  <si>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</si>
  <si>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</si>
  <si>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</si>
  <si>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</si>
  <si>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</si>
  <si>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</si>
  <si>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</si>
  <si>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</si>
  <si>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</si>
  <si>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</si>
  <si>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</si>
  <si>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</si>
  <si>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</si>
  <si>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</si>
  <si>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</si>
  <si>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</si>
  <si>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</si>
  <si>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</si>
  <si>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</si>
  <si>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</si>
  <si>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</si>
  <si>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</si>
  <si>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</si>
  <si>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</si>
  <si>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</si>
  <si>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</si>
  <si>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</si>
  <si>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</si>
  <si>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</si>
  <si>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</si>
  <si>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</si>
  <si>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</si>
  <si>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</si>
  <si>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</si>
  <si>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</si>
  <si>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</si>
  <si>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</si>
  <si>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</si>
  <si>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</si>
  <si>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</si>
  <si>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</si>
  <si>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</si>
  <si>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</si>
  <si>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</si>
  <si>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</si>
  <si>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</si>
  <si>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</si>
  <si>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</si>
  <si>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</si>
  <si>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</si>
  <si>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</si>
  <si>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</si>
  <si>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</si>
  <si>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</si>
  <si>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</si>
  <si>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</si>
  <si>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</si>
  <si>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</si>
  <si>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</si>
  <si>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</si>
  <si>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</si>
  <si>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</si>
  <si>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</si>
  <si>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</si>
  <si>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</si>
  <si>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</si>
  <si>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</si>
  <si>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</si>
  <si>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</si>
  <si>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</si>
  <si>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</si>
  <si>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</si>
  <si>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</si>
  <si>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</si>
  <si>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</si>
  <si>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</si>
  <si>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</si>
  <si>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</si>
  <si>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</si>
  <si>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</si>
  <si>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</si>
  <si>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</si>
  <si>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</si>
  <si>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</si>
  <si>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</si>
  <si>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</si>
  <si>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</si>
  <si>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</si>
  <si>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</si>
  <si>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</si>
  <si>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</si>
  <si>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</si>
  <si>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</si>
  <si>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</si>
  <si>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</si>
  <si>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</si>
  <si>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</si>
  <si>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</si>
  <si>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</si>
  <si>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</si>
  <si>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</si>
  <si>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</si>
  <si>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</si>
  <si>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</si>
  <si>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</si>
  <si>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</si>
  <si>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</si>
  <si>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</si>
  <si>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</si>
  <si>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</si>
  <si>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</si>
  <si>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</si>
  <si>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</si>
  <si>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</si>
  <si>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</si>
  <si>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</si>
  <si>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</si>
  <si>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</si>
  <si>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</si>
  <si>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</si>
  <si>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</si>
  <si>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</si>
  <si>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</si>
  <si>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</si>
  <si>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</si>
  <si>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</si>
  <si>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</si>
  <si>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</si>
  <si>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</si>
  <si>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</si>
  <si>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</si>
  <si>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</si>
  <si>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</si>
  <si>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</si>
  <si>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</si>
  <si>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</si>
  <si>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</si>
  <si>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</si>
  <si>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</si>
  <si>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</si>
  <si>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</si>
  <si>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</si>
  <si>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</si>
  <si>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</si>
  <si>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</si>
  <si>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</si>
  <si>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</si>
  <si>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</si>
  <si>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</si>
  <si>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</si>
  <si>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</si>
  <si>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</si>
  <si>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</si>
  <si>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</si>
  <si>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</si>
  <si>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</si>
  <si>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</si>
  <si>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</si>
  <si>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</si>
  <si>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</si>
  <si>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</si>
  <si>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</si>
  <si>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</si>
  <si>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</si>
  <si>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</si>
  <si>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</si>
  <si>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</si>
  <si>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</si>
  <si>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</si>
  <si>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</si>
  <si>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</si>
  <si>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</si>
  <si>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</si>
  <si>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</si>
  <si>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</si>
  <si>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</si>
  <si>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</si>
  <si>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</si>
  <si>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</si>
  <si>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</si>
  <si>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</si>
  <si>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</si>
  <si>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</si>
  <si>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</si>
  <si>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</si>
  <si>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</si>
  <si>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</si>
  <si>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</si>
  <si>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</si>
  <si>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</si>
  <si>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</si>
  <si>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</si>
  <si>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</si>
  <si>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</si>
  <si>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</si>
  <si>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</si>
  <si>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</si>
  <si>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</si>
  <si>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</si>
  <si>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</si>
  <si>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</si>
  <si>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</si>
  <si>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</si>
  <si>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</si>
  <si>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</si>
  <si>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</si>
  <si>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</si>
  <si>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</si>
  <si>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</si>
  <si>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</si>
  <si>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</si>
  <si>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</si>
  <si>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</si>
  <si>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</si>
  <si>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</si>
  <si>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</si>
  <si>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</si>
  <si>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</si>
  <si>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</si>
  <si>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</si>
  <si>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</si>
  <si>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</si>
  <si>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</si>
  <si>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</si>
  <si>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</si>
  <si>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</si>
  <si>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</si>
  <si>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</si>
  <si>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</si>
  <si>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</si>
  <si>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</si>
  <si>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</si>
  <si>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</si>
  <si>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</si>
  <si>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</si>
  <si>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</si>
  <si>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</si>
  <si>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</si>
  <si>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</si>
  <si>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</si>
  <si>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</si>
  <si>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</si>
  <si>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</si>
  <si>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</si>
  <si>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</si>
  <si>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</si>
  <si>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</si>
  <si>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</si>
  <si>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</si>
  <si>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</si>
  <si>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</si>
  <si>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</si>
  <si>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</si>
  <si>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</si>
  <si>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</si>
  <si>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</si>
  <si>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</si>
  <si>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</si>
  <si>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</si>
  <si>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</si>
  <si>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</si>
  <si>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</si>
  <si>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</si>
  <si>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</si>
  <si>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</si>
  <si>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</si>
  <si>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</si>
  <si>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</si>
  <si>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</si>
  <si>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</si>
  <si>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</si>
  <si>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</si>
  <si>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</si>
  <si>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</si>
  <si>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</si>
  <si>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</si>
  <si>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</si>
  <si>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</si>
  <si>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</si>
  <si>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</si>
  <si>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</si>
  <si>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</si>
  <si>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</si>
  <si>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</si>
  <si>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</si>
  <si>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</si>
  <si>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</si>
  <si>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</si>
  <si>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</si>
  <si>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</si>
  <si>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</si>
  <si>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</si>
  <si>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</si>
  <si>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</si>
  <si>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</si>
  <si>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</si>
  <si>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</si>
  <si>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</si>
  <si>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</si>
  <si>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</si>
  <si>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</si>
  <si>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</si>
  <si>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</si>
  <si>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</si>
  <si>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</si>
  <si>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</si>
  <si>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</si>
  <si>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</si>
  <si>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</si>
  <si>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</si>
  <si>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</si>
  <si>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</si>
  <si>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</si>
  <si>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</si>
  <si>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</si>
  <si>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</si>
  <si>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</si>
  <si>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</si>
  <si>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</si>
  <si>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</si>
  <si>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</si>
  <si>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</si>
  <si>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</si>
  <si>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</si>
  <si>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</si>
  <si>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</si>
  <si>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</si>
  <si>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</si>
  <si>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</si>
  <si>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</si>
  <si>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</si>
  <si>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</si>
  <si>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</si>
  <si>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</si>
  <si>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</si>
  <si>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</si>
  <si>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</si>
  <si>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</si>
  <si>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</si>
  <si>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</si>
  <si>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</si>
  <si>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</si>
  <si>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</si>
  <si>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</si>
  <si>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</si>
  <si>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</si>
  <si>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</si>
  <si>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</si>
  <si>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</si>
  <si>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</si>
  <si>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</si>
  <si>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</si>
  <si>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</si>
  <si>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</si>
  <si>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</si>
  <si>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</si>
  <si>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</si>
  <si>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</si>
  <si>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</si>
  <si>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</si>
  <si>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</si>
  <si>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</si>
  <si>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</si>
  <si>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</si>
  <si>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</si>
  <si>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</si>
  <si>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</si>
  <si>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</si>
  <si>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</si>
  <si>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</si>
  <si>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</si>
  <si>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</si>
  <si>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</si>
  <si>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</si>
  <si>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</si>
  <si>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</si>
  <si>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</si>
  <si>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</si>
  <si>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</si>
  <si>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</si>
  <si>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</si>
  <si>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</si>
  <si>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</si>
  <si>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</si>
  <si>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</si>
  <si>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</si>
  <si>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</si>
  <si>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</si>
  <si>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</si>
  <si>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</si>
  <si>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</si>
  <si>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</si>
  <si>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</si>
  <si>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</si>
  <si>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</si>
  <si>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</si>
  <si>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</si>
  <si>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</si>
  <si>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</si>
  <si>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</si>
  <si>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</si>
  <si>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</si>
  <si>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</si>
  <si>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</si>
  <si>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</si>
  <si>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</si>
  <si>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</si>
  <si>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</si>
  <si>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</si>
  <si>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</si>
  <si>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</si>
  <si>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</si>
  <si>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</si>
  <si>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</si>
  <si>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</si>
  <si>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</si>
  <si>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</si>
  <si>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</si>
  <si>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</si>
  <si>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</si>
  <si>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</si>
  <si>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</si>
  <si>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</si>
  <si>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</si>
  <si>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</si>
  <si>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</si>
  <si>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</si>
  <si>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</si>
  <si>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</si>
  <si>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</si>
  <si>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</si>
  <si>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</si>
  <si>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</si>
  <si>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</si>
  <si>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</si>
  <si>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</si>
  <si>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</si>
  <si>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</si>
  <si>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</si>
  <si>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</si>
  <si>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</si>
  <si>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</si>
  <si>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</si>
  <si>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</si>
  <si>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</si>
  <si>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</si>
  <si>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</si>
  <si>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</si>
  <si>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</si>
  <si>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</si>
  <si>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</si>
  <si>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</si>
  <si>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</si>
  <si>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</si>
  <si>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</si>
  <si>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</si>
  <si>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</si>
  <si>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</si>
  <si>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</si>
  <si>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</si>
  <si>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</si>
  <si>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</si>
  <si>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</si>
  <si>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</si>
  <si>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</si>
  <si>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</si>
  <si>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</si>
  <si>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</si>
  <si>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</si>
  <si>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</si>
  <si>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</si>
  <si>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</si>
  <si>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</si>
  <si>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</si>
  <si>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</si>
  <si>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</si>
  <si>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</si>
  <si>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</si>
  <si>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</si>
  <si>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</si>
  <si>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</si>
  <si>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</si>
  <si>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</si>
  <si>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</si>
  <si>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</si>
  <si>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</si>
  <si>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</si>
  <si>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</si>
  <si>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</si>
  <si>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</si>
  <si>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</si>
  <si>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</si>
  <si>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</si>
  <si>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</si>
  <si>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</si>
  <si>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</si>
  <si>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</si>
  <si>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</si>
  <si>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</si>
  <si>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</si>
  <si>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</si>
  <si>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</si>
  <si>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</si>
  <si>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</si>
  <si>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</si>
  <si>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</si>
  <si>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</si>
  <si>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</si>
  <si>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</si>
  <si>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</si>
  <si>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</si>
  <si>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</si>
  <si>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</si>
  <si>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</si>
  <si>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</si>
  <si>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</si>
  <si>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</si>
  <si>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</si>
  <si>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</si>
  <si>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</si>
  <si>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</si>
  <si>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</si>
  <si>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</si>
  <si>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</si>
  <si>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</si>
  <si>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</si>
  <si>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</si>
  <si>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</si>
  <si>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</si>
  <si>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</si>
  <si>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</si>
  <si>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</si>
  <si>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</si>
  <si>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</si>
  <si>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</si>
  <si>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</si>
  <si>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</si>
  <si>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</si>
  <si>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</si>
  <si>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</si>
  <si>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</si>
  <si>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</si>
  <si>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</si>
  <si>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</si>
  <si>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</si>
  <si>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</si>
  <si>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</si>
  <si>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</si>
  <si>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</si>
  <si>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</si>
  <si>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</si>
  <si>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</si>
  <si>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</si>
  <si>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</si>
  <si>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</si>
  <si>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</si>
  <si>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</si>
  <si>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</si>
  <si>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</si>
  <si>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</si>
  <si>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</si>
  <si>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</si>
  <si>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</si>
  <si>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</si>
  <si>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</si>
  <si>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</si>
  <si>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</si>
  <si>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</si>
  <si>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</si>
  <si>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</si>
  <si>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</si>
  <si>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</si>
  <si>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</si>
  <si>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</si>
  <si>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</si>
  <si>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</si>
  <si>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</si>
  <si>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</si>
  <si>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</si>
  <si>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</si>
  <si>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</si>
  <si>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</si>
  <si>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</si>
  <si>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</si>
  <si>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</si>
  <si>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</si>
  <si>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</si>
  <si>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</si>
  <si>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</si>
  <si>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</si>
  <si>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</si>
  <si>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</si>
  <si>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</si>
  <si>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</si>
  <si>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</si>
  <si>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</si>
  <si>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</si>
  <si>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</si>
  <si>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</si>
  <si>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</si>
  <si>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</si>
  <si>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</si>
  <si>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</si>
  <si>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</si>
  <si>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</si>
  <si>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</si>
  <si>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</si>
  <si>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</si>
  <si>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</si>
  <si>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</si>
  <si>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</si>
  <si>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</si>
  <si>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</si>
  <si>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</si>
  <si>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</si>
  <si>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</si>
  <si>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</si>
  <si>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</si>
  <si>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</si>
  <si>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</si>
  <si>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</si>
  <si>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</si>
  <si>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</si>
  <si>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</si>
  <si>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</si>
  <si>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</si>
  <si>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</si>
  <si>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</si>
  <si>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</si>
  <si>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</si>
  <si>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</si>
  <si>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</si>
  <si>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</si>
  <si>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</si>
  <si>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</si>
  <si>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</si>
  <si>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</si>
  <si>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</si>
  <si>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</si>
  <si>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</si>
  <si>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</si>
  <si>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</si>
  <si>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</si>
  <si>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</si>
  <si>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</si>
  <si>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</si>
  <si>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</si>
  <si>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</si>
  <si>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</si>
  <si>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</si>
  <si>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</si>
  <si>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</si>
  <si>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</si>
  <si>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</si>
  <si>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</si>
  <si>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</si>
  <si>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</si>
  <si>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</si>
  <si>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</si>
  <si>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</si>
  <si>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</si>
  <si>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</si>
  <si>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</si>
  <si>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</si>
  <si>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</si>
  <si>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</si>
  <si>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</si>
  <si>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</si>
  <si>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</si>
  <si>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</si>
  <si>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</si>
  <si>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</si>
  <si>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</si>
  <si>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</si>
  <si>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</si>
  <si>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</si>
  <si>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</si>
  <si>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</si>
  <si>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</si>
  <si>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</si>
  <si>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</si>
  <si>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</si>
  <si>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</si>
  <si>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</si>
  <si>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</si>
  <si>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</si>
  <si>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</si>
  <si>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</si>
  <si>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</si>
  <si>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</si>
  <si>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</si>
  <si>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</si>
  <si>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</si>
  <si>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</si>
  <si>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</si>
  <si>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</si>
  <si>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</si>
  <si>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</si>
  <si>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</si>
  <si>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</si>
  <si>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</si>
  <si>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</si>
  <si>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</si>
  <si>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</si>
  <si>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</si>
  <si>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</si>
  <si>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</si>
  <si>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</si>
  <si>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</si>
  <si>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</si>
  <si>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</si>
  <si>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</si>
  <si>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</si>
  <si>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</si>
  <si>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</si>
  <si>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</si>
  <si>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</si>
  <si>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</si>
  <si>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</si>
  <si>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</si>
  <si>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</si>
  <si>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</si>
  <si>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</si>
  <si>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</si>
  <si>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</si>
  <si>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</si>
  <si>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</si>
  <si>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</si>
  <si>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</si>
  <si>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</si>
  <si>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</si>
  <si>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</si>
  <si>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</si>
  <si>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</si>
  <si>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</si>
  <si>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</si>
  <si>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</si>
  <si>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</si>
  <si>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</si>
  <si>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</si>
  <si>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</si>
  <si>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</si>
  <si>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</si>
  <si>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</si>
  <si>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</si>
  <si>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</si>
  <si>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</si>
  <si>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</si>
  <si>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</si>
  <si>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</si>
  <si>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</si>
  <si>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</si>
  <si>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</si>
  <si>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</si>
  <si>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</si>
  <si>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</si>
  <si>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</si>
  <si>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</si>
  <si>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</si>
  <si>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</si>
  <si>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</si>
  <si>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</si>
  <si>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</si>
  <si>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</si>
  <si>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</si>
  <si>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</si>
  <si>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</si>
  <si>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</si>
  <si>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</si>
  <si>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</si>
  <si>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</si>
  <si>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</si>
  <si>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</si>
  <si>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</si>
  <si>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</si>
  <si>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</si>
  <si>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</si>
  <si>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</si>
  <si>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</si>
  <si>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</si>
  <si>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</si>
  <si>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</si>
  <si>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</si>
  <si>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</si>
  <si>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</si>
  <si>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</si>
  <si>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</si>
  <si>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</si>
  <si>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</si>
  <si>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</si>
  <si>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</si>
  <si>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</si>
  <si>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</si>
  <si>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</si>
  <si>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</si>
  <si>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</si>
  <si>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</si>
  <si>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</si>
  <si>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</si>
  <si>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</si>
  <si>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</si>
  <si>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</si>
  <si>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</si>
  <si>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</si>
  <si>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</si>
  <si>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</si>
  <si>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</si>
  <si>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</si>
  <si>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</si>
  <si>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</si>
  <si>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</si>
  <si>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</si>
  <si>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</si>
  <si>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</si>
  <si>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</si>
  <si>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</si>
  <si>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</si>
  <si>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</si>
  <si>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</si>
  <si>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</si>
  <si>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</si>
  <si>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</si>
  <si>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</si>
  <si>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</si>
  <si>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</si>
  <si>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</si>
  <si>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</si>
  <si>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</si>
  <si>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</si>
  <si>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</si>
  <si>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</si>
  <si>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</si>
  <si>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</si>
  <si>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</si>
  <si>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</si>
  <si>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</si>
  <si>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</si>
  <si>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</si>
  <si>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</si>
  <si>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</si>
  <si>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</si>
  <si>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</si>
  <si>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</si>
  <si>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</si>
  <si>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</si>
  <si>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</si>
  <si>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</si>
  <si>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</si>
  <si>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</si>
  <si>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</si>
  <si>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</si>
  <si>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</si>
  <si>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</si>
  <si>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</si>
  <si>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</si>
  <si>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</si>
  <si>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</si>
  <si>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</si>
  <si>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</si>
  <si>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</si>
  <si>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</si>
  <si>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</si>
  <si>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</si>
  <si>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</si>
  <si>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</si>
  <si>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</si>
  <si>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</si>
  <si>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</si>
  <si>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</si>
  <si>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</si>
  <si>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</si>
  <si>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</si>
  <si>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</si>
  <si>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</si>
  <si>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</si>
  <si>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</si>
  <si>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</si>
  <si>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</si>
  <si>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</si>
  <si>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</si>
  <si>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</si>
  <si>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</si>
  <si>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</si>
  <si>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</si>
  <si>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</si>
  <si>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</si>
  <si>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</si>
  <si>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</si>
  <si>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</si>
  <si>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</si>
  <si>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</si>
  <si>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</si>
  <si>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</si>
  <si>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</si>
  <si>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</si>
  <si>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</si>
  <si>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</si>
  <si>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</si>
  <si>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</si>
  <si>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</si>
  <si>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</si>
  <si>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</si>
  <si>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</si>
  <si>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</si>
  <si>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</si>
  <si>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</si>
  <si>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</si>
  <si>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</si>
  <si>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</si>
  <si>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</si>
  <si>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</si>
  <si>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</si>
  <si>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</si>
  <si>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</si>
  <si>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</si>
  <si>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</si>
  <si>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</si>
  <si>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</si>
  <si>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</si>
  <si>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</si>
  <si>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</si>
  <si>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</si>
  <si>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</si>
  <si>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</si>
  <si>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</si>
  <si>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</si>
  <si>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</si>
  <si>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</si>
  <si>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</si>
  <si>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</si>
  <si>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</si>
  <si>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</si>
  <si>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</si>
  <si>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</si>
  <si>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</si>
  <si>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</si>
  <si>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</si>
  <si>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</si>
  <si>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</si>
  <si>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</si>
  <si>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</si>
  <si>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</si>
  <si>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</si>
  <si>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</si>
  <si>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</si>
  <si>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</si>
  <si>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</si>
  <si>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</si>
  <si>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</si>
  <si>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</si>
  <si>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</si>
  <si>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</si>
  <si>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</si>
  <si>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</si>
  <si>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</si>
  <si>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</si>
  <si>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</si>
  <si>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</si>
  <si>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</si>
  <si>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</si>
  <si>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</si>
  <si>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</si>
  <si>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</si>
  <si>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</si>
  <si>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</si>
  <si>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</si>
  <si>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</si>
  <si>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</si>
  <si>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</si>
  <si>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</si>
  <si>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</si>
  <si>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</si>
  <si>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</si>
  <si>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</si>
  <si>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</si>
  <si>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</si>
  <si>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</si>
  <si>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</si>
  <si>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</si>
  <si>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</si>
  <si>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</si>
  <si>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</si>
  <si>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</si>
  <si>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</si>
  <si>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</si>
  <si>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</si>
  <si>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</si>
  <si>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</si>
  <si>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</si>
  <si>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</si>
  <si>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</si>
  <si>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</si>
  <si>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</si>
  <si>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</si>
  <si>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</si>
  <si>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</si>
  <si>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</si>
  <si>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</si>
  <si>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</si>
  <si>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</si>
  <si>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</si>
  <si>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</si>
  <si>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</si>
  <si>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</si>
  <si>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</si>
  <si>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</si>
  <si>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</si>
  <si>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</si>
  <si>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</si>
  <si>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房地产市场价值</t>
  </si>
  <si>
    <t>北京市</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</si>
  <si>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</si>
  <si>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</si>
  <si>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）开不动产权第</t>
    </r>
    <r>
      <rPr>
        <sz val="12"/>
        <color theme="9" tint="-0.249977111117893"/>
        <rFont val="Arial"/>
        <family val="2"/>
      </rPr>
      <t>0007550</t>
    </r>
    <r>
      <rPr>
        <sz val="12"/>
        <color theme="9" tint="-0.249977111117893"/>
        <rFont val="宋体"/>
        <family val="3"/>
        <charset val="134"/>
      </rPr>
      <t>号</t>
    </r>
    <r>
      <rPr>
        <sz val="12"/>
        <color theme="9" tint="-0.249977111117893"/>
        <rFont val="Arial"/>
        <family val="2"/>
      </rPr>
      <t>]</t>
    </r>
    <phoneticPr fontId="6" type="noConversion"/>
  </si>
  <si>
    <t>北京圣庄科技有限公司</t>
    <phoneticPr fontId="6" type="noConversion"/>
  </si>
  <si>
    <r>
      <t>北京经济技术开发区经海三路</t>
    </r>
    <r>
      <rPr>
        <sz val="12"/>
        <color theme="9" tint="-0.249977111117893"/>
        <rFont val="Arial"/>
        <family val="2"/>
      </rPr>
      <t>109</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</si>
  <si>
    <t>核定资产</t>
  </si>
  <si>
    <t>通路</t>
  </si>
  <si>
    <t>通电</t>
  </si>
  <si>
    <t>通讯</t>
  </si>
  <si>
    <t>通上水</t>
  </si>
  <si>
    <t>通下水</t>
  </si>
  <si>
    <t>是</t>
  </si>
  <si>
    <t>地上</t>
  </si>
  <si>
    <t>办公楼</t>
  </si>
  <si>
    <t>研发楼</t>
    <phoneticPr fontId="7" type="noConversion"/>
  </si>
  <si>
    <t>收益法</t>
  </si>
  <si>
    <t>成新度</t>
  </si>
  <si>
    <t>研发楼</t>
  </si>
  <si>
    <t>押一</t>
  </si>
  <si>
    <t>按租金收入计税</t>
  </si>
  <si>
    <t>钢混</t>
  </si>
  <si>
    <t>非生产用房</t>
  </si>
  <si>
    <t>比较法-工业</t>
  </si>
  <si>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</si>
  <si>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</si>
  <si>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</si>
  <si>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</si>
  <si>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</si>
  <si>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</si>
  <si>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七通</t>
  </si>
  <si>
    <t>六通</t>
  </si>
  <si>
    <t>五通</t>
  </si>
  <si>
    <t>四通</t>
  </si>
  <si>
    <t>三通</t>
  </si>
  <si>
    <t>专业</t>
  </si>
  <si>
    <t>专业</t>
    <phoneticPr fontId="32" type="noConversion"/>
  </si>
  <si>
    <t>普通</t>
    <phoneticPr fontId="32" type="noConversion"/>
  </si>
  <si>
    <t>较好</t>
  </si>
  <si>
    <t>40-50（含）</t>
  </si>
  <si>
    <t>工业</t>
    <phoneticPr fontId="32" type="noConversion"/>
  </si>
  <si>
    <t>售价</t>
  </si>
  <si>
    <t>租金</t>
  </si>
  <si>
    <t>现房</t>
  </si>
  <si>
    <t>平层</t>
  </si>
  <si>
    <t>平层</t>
    <phoneticPr fontId="32" type="noConversion"/>
  </si>
  <si>
    <t>崔锴</t>
  </si>
  <si>
    <t>郑燚</t>
  </si>
  <si>
    <t>Ⅹ-兴1</t>
  </si>
  <si>
    <t>工业用地</t>
  </si>
  <si>
    <t>自定义容积率</t>
  </si>
  <si>
    <t>容积率修正</t>
  </si>
  <si>
    <t>与级别开发程度一致</t>
  </si>
  <si>
    <t>地价指数</t>
  </si>
  <si>
    <t>未包含在土地购买价格中</t>
  </si>
  <si>
    <t>全部缴纳</t>
  </si>
  <si>
    <t>已包含在土地取得成本中</t>
  </si>
  <si>
    <t>一般</t>
  </si>
  <si>
    <t>是否带地下</t>
    <phoneticPr fontId="32" type="noConversion"/>
  </si>
  <si>
    <t>有</t>
    <phoneticPr fontId="32" type="noConversion"/>
  </si>
  <si>
    <t>物业类型</t>
    <phoneticPr fontId="143" type="noConversion"/>
  </si>
  <si>
    <t>整栋</t>
    <phoneticPr fontId="143" type="noConversion"/>
  </si>
  <si>
    <t>整层</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</si>
</sst>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10</xdr:col>
      <xdr:colOff>533400</xdr:colOff>
      <xdr:row>21</xdr:row>
      <xdr:rowOff>153117</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7353300" cy="3753567"/>
        </a:xfrm>
        <a:prstGeom prst="rect">
          <a:avLst/>
        </a:prstGeom>
        <a:noFill/>
        <a:ln w="1">
          <a:noFill/>
          <a:miter lim="800000"/>
          <a:headEnd/>
          <a:tailEnd type="none" w="med" len="med"/>
        </a:ln>
        <a:effectLst/>
      </xdr:spPr>
    </xdr:pic>
    <xdr:clientData/>
  </xdr:twoCellAnchor>
  <xdr:twoCellAnchor editAs="oneCell">
    <xdr:from>
      <xdr:col>0</xdr:col>
      <xdr:colOff>9525</xdr:colOff>
      <xdr:row>21</xdr:row>
      <xdr:rowOff>66675</xdr:rowOff>
    </xdr:from>
    <xdr:to>
      <xdr:col>14</xdr:col>
      <xdr:colOff>38100</xdr:colOff>
      <xdr:row>47</xdr:row>
      <xdr:rowOff>66675</xdr:rowOff>
    </xdr:to>
    <xdr:pic>
      <xdr:nvPicPr>
        <xdr:cNvPr id="11264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9525" y="3667125"/>
          <a:ext cx="9629775" cy="44577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38100</xdr:rowOff>
    </xdr:from>
    <xdr:to>
      <xdr:col>13</xdr:col>
      <xdr:colOff>647700</xdr:colOff>
      <xdr:row>39</xdr:row>
      <xdr:rowOff>95250</xdr:rowOff>
    </xdr:to>
    <xdr:pic>
      <xdr:nvPicPr>
        <xdr:cNvPr id="11264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181600"/>
          <a:ext cx="9563100"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北京市北京经济技术开发区经海三路109号院22号楼-1至5层101房地产市场价值预评估</v>
      </c>
    </row>
    <row r="3" spans="1:2" s="1593" customFormat="1">
      <c r="A3" s="1591" t="s">
        <v>1216</v>
      </c>
      <c r="B3" s="1592" t="str">
        <f>'预评函-封皮'!B40</f>
        <v>北京圣庄科技有限公司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受贵公司委托，我公司对北京市北京经济技术开发区经海三路109号院22号楼-1至5层101房地产市场价值进行了预评估。</v>
      </c>
    </row>
    <row r="7" spans="1:2" s="1593" customFormat="1">
      <c r="A7" s="1591" t="s">
        <v>1259</v>
      </c>
      <c r="B7" s="1592" t="str">
        <f>'预评函-1'!A7</f>
        <v>估价对象为北京市北京经济技术开发区经海三路109号院22号楼-1至5层101房地产，为所有。根据《国有土地使用证》[]，估价对象（分摊）出让国有建设用地使用权面积为0平方米，建筑面积为2388.26平方米。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2020年2月28日</v>
      </c>
    </row>
    <row r="13" spans="1:2" s="1593" customFormat="1">
      <c r="A13" s="1591" t="s">
        <v>1222</v>
      </c>
      <c r="B13" s="1592" t="str">
        <f>'预评函-1'!A18</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2856</v>
      </c>
    </row>
    <row r="21" spans="1:2" s="1593" customFormat="1">
      <c r="A21" s="1591" t="s">
        <v>1230</v>
      </c>
      <c r="B21" s="1592">
        <f ca="1">'预评函-2'!D7</f>
        <v>11958</v>
      </c>
    </row>
    <row r="22" spans="1:2" s="1593" customFormat="1">
      <c r="A22" s="1591" t="s">
        <v>1231</v>
      </c>
      <c r="B22" s="1592" t="str">
        <f ca="1">'预评函-2'!D6</f>
        <v>贰仟捌佰伍拾陆万元整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2856</v>
      </c>
    </row>
    <row r="31" spans="1:2" s="1593" customFormat="1">
      <c r="A31" s="1591" t="s">
        <v>1269</v>
      </c>
      <c r="B31" s="1592">
        <f ca="1">'预评函-2'!D15</f>
        <v>11958</v>
      </c>
    </row>
    <row r="32" spans="1:2" s="1593" customFormat="1">
      <c r="A32" s="1591" t="s">
        <v>1236</v>
      </c>
      <c r="B32" s="1592" t="str">
        <f ca="1">'预评函-2'!D14</f>
        <v>贰仟捌佰伍拾陆万元整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北京市北京经济技术开发区经海三路109号院22号楼-1至5层101房地产</v>
      </c>
    </row>
    <row r="42" spans="1:2" s="1593" customFormat="1">
      <c r="A42" s="1591" t="s">
        <v>1283</v>
      </c>
      <c r="B42" s="1592" t="str">
        <f>'预评函-3'!B2</f>
        <v>建筑面积</v>
      </c>
    </row>
    <row r="43" spans="1:2" s="1593" customFormat="1">
      <c r="A43" s="1591" t="s">
        <v>1284</v>
      </c>
      <c r="B43" s="1592">
        <f>'预评函-3'!B4</f>
        <v>2388.2600000000002</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庄科技有限公司拟使用北京市北京经济技术开发区经海三路109号院22号楼-1至5层101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3"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1" t="s">
        <v>860</v>
      </c>
      <c r="C54" s="2018" t="s">
        <v>1276</v>
      </c>
    </row>
    <row r="55" spans="1:4">
      <c r="A55" s="3013"/>
      <c r="B55" s="2021" t="s">
        <v>861</v>
      </c>
      <c r="C55" s="2018" t="s">
        <v>1277</v>
      </c>
    </row>
    <row r="56" spans="1:4">
      <c r="A56" s="3013"/>
      <c r="B56" s="2021" t="s">
        <v>862</v>
      </c>
      <c r="C56" s="2018" t="s">
        <v>1281</v>
      </c>
    </row>
    <row r="57" spans="1:4">
      <c r="A57" s="3013"/>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B1" zoomScale="90" zoomScaleNormal="100" zoomScaleSheetLayoutView="90" workbookViewId="0">
      <selection activeCell="I13" sqref="I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14" t="str">
        <f>IF(B10="北京市","北京市",C10)&amp;F10&amp;IF(结果表!G1="在建","出让国有建设用地使用权及在建建筑物",IF(结果表!G1="土地","出让国有建设用地使用权",))&amp;B9&amp;"预评估"</f>
        <v>北京市北京经济技术开发区经海三路109号院22号楼-1至5层101房地产市场价值预评估</v>
      </c>
      <c r="C1" s="3015"/>
      <c r="D1" s="3015"/>
      <c r="E1" s="3015"/>
      <c r="F1" s="3015"/>
      <c r="G1" s="3015"/>
      <c r="H1" s="3015"/>
      <c r="I1" s="301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北京市北京经济技术开发区经海三路109号院22号楼-1至5层101房地产市场价值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北京市北京经济技术开发区经海三路109号院22号楼-1至5层101房地产</v>
      </c>
    </row>
    <row r="3" spans="1:19" ht="18" customHeight="1">
      <c r="A3" s="2034" t="s">
        <v>1772</v>
      </c>
      <c r="B3" s="2035"/>
      <c r="C3" s="2036" t="s">
        <v>1773</v>
      </c>
      <c r="D3" s="2035">
        <v>43889</v>
      </c>
      <c r="E3" s="2025"/>
      <c r="F3" s="2025"/>
      <c r="G3" s="2025"/>
      <c r="H3" s="2025"/>
      <c r="I3" s="2025"/>
      <c r="J3" s="2025"/>
      <c r="K3" s="2026"/>
      <c r="L3" s="2027"/>
      <c r="M3" s="2027"/>
      <c r="N3" s="2028"/>
      <c r="O3" s="2029"/>
      <c r="P3" s="2028"/>
      <c r="Q3" s="2028"/>
      <c r="R3" s="2028"/>
      <c r="S3" s="2030"/>
    </row>
    <row r="4" spans="1:19" ht="18" customHeight="1" thickBot="1">
      <c r="A4" s="2037" t="s">
        <v>1774</v>
      </c>
      <c r="B4" s="2038" t="s">
        <v>3102</v>
      </c>
      <c r="C4" s="1037">
        <f ca="1">SUMIF(注册房地产估价师,B4,估价师及机构信息!B3:B24)</f>
        <v>1120100036</v>
      </c>
      <c r="D4" s="2038" t="s">
        <v>3103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1775</v>
      </c>
      <c r="B5" s="2959"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1777</v>
      </c>
      <c r="B7" s="2959" t="s">
        <v>3060</v>
      </c>
      <c r="C7" s="2048"/>
      <c r="D7" s="2049"/>
      <c r="E7" s="2033"/>
      <c r="F7" s="2041"/>
      <c r="G7" s="2041"/>
      <c r="H7" s="2041"/>
      <c r="I7" s="2041"/>
      <c r="J7" s="2041"/>
      <c r="K7" s="2051"/>
      <c r="L7" s="2027"/>
      <c r="M7" s="2027"/>
      <c r="N7" s="2028"/>
      <c r="O7" s="2029"/>
      <c r="P7" s="2028"/>
      <c r="Q7" s="2028"/>
      <c r="R7" s="2028"/>
    </row>
    <row r="8" spans="1:19" ht="18" customHeight="1">
      <c r="A8" s="2046" t="s">
        <v>1778</v>
      </c>
      <c r="B8" s="2052" t="s">
        <v>3062</v>
      </c>
      <c r="C8" s="2053"/>
      <c r="D8" s="3017" t="s">
        <v>1779</v>
      </c>
      <c r="E8" s="2054"/>
      <c r="F8" s="2055"/>
      <c r="G8" s="2025"/>
      <c r="H8" s="2025"/>
      <c r="I8" s="2025"/>
      <c r="J8" s="2041"/>
      <c r="K8" s="2042"/>
      <c r="L8" s="2027"/>
      <c r="M8" s="2027"/>
      <c r="N8" s="2028"/>
      <c r="O8" s="2029"/>
      <c r="P8" s="2028"/>
      <c r="Q8" s="2028"/>
      <c r="R8" s="2028"/>
    </row>
    <row r="9" spans="1:19" ht="18" customHeight="1" thickBot="1">
      <c r="A9" s="2039" t="s">
        <v>1780</v>
      </c>
      <c r="B9" s="2056" t="s">
        <v>3055</v>
      </c>
      <c r="C9" s="2057"/>
      <c r="D9" s="3018"/>
      <c r="E9" s="2056"/>
      <c r="F9" s="2058"/>
      <c r="G9" s="2059"/>
      <c r="H9" s="2059"/>
      <c r="I9" s="2059"/>
      <c r="J9" s="2041"/>
      <c r="K9" s="2051"/>
      <c r="L9" s="2027"/>
      <c r="M9" s="2027"/>
      <c r="N9" s="2028"/>
      <c r="O9" s="2029"/>
      <c r="P9" s="2028"/>
      <c r="Q9" s="2028"/>
      <c r="R9" s="2028"/>
    </row>
    <row r="10" spans="1:19" ht="18" customHeight="1" thickTop="1">
      <c r="A10" s="2060" t="s">
        <v>1781</v>
      </c>
      <c r="B10" s="2061" t="s">
        <v>3056</v>
      </c>
      <c r="C10" s="2062"/>
      <c r="D10" s="2045"/>
      <c r="E10" s="2063" t="s">
        <v>1782</v>
      </c>
      <c r="F10" s="2960" t="s">
        <v>3061</v>
      </c>
      <c r="G10" s="2064"/>
      <c r="H10" s="2065"/>
      <c r="I10" s="2045"/>
      <c r="J10" s="2041"/>
      <c r="K10" s="2051"/>
      <c r="L10" s="2027"/>
      <c r="M10" s="2027"/>
      <c r="N10" s="2028"/>
      <c r="O10" s="2029"/>
      <c r="P10" s="2028"/>
      <c r="Q10" s="2028"/>
      <c r="R10" s="2028"/>
    </row>
    <row r="11" spans="1:19" ht="18" customHeight="1">
      <c r="A11" s="2066" t="s">
        <v>1783</v>
      </c>
      <c r="B11" s="2067" t="s">
        <v>3057</v>
      </c>
      <c r="C11" s="2068"/>
      <c r="D11" s="2069"/>
      <c r="E11" s="2041"/>
      <c r="F11" s="2041"/>
      <c r="G11" s="2041"/>
      <c r="H11" s="2041"/>
      <c r="I11" s="2041"/>
      <c r="J11" s="2041"/>
      <c r="K11" s="2051"/>
      <c r="L11" s="2027"/>
      <c r="M11" s="2027"/>
      <c r="N11" s="2028"/>
      <c r="O11" s="2029"/>
      <c r="P11" s="2028"/>
      <c r="Q11" s="2028"/>
      <c r="R11" s="2028"/>
    </row>
    <row r="12" spans="1:19" ht="18" customHeight="1">
      <c r="A12" s="2070" t="s">
        <v>1784</v>
      </c>
      <c r="B12" s="2067" t="s">
        <v>3058</v>
      </c>
      <c r="C12" s="2071" t="s">
        <v>1785</v>
      </c>
      <c r="D12" s="2072" t="s">
        <v>1786</v>
      </c>
      <c r="E12" s="2072" t="s">
        <v>1787</v>
      </c>
      <c r="F12" s="2072" t="s">
        <v>1788</v>
      </c>
      <c r="G12" s="2072" t="s">
        <v>1789</v>
      </c>
      <c r="H12" s="2072" t="s">
        <v>1790</v>
      </c>
      <c r="I12" s="2072" t="s">
        <v>1791</v>
      </c>
      <c r="J12" s="2041"/>
      <c r="K12" s="2051"/>
      <c r="L12" s="2027"/>
      <c r="M12" s="2027"/>
      <c r="N12" s="2028"/>
      <c r="O12" s="2029"/>
      <c r="P12" s="2028"/>
      <c r="Q12" s="2028"/>
      <c r="R12" s="2028"/>
    </row>
    <row r="13" spans="1:19" ht="18" customHeight="1">
      <c r="A13" s="2073"/>
      <c r="B13" s="2074"/>
      <c r="C13" s="2075" t="s">
        <v>1792</v>
      </c>
      <c r="D13" s="2076"/>
      <c r="E13" s="2076"/>
      <c r="F13" s="2076">
        <v>59222</v>
      </c>
      <c r="G13" s="2076"/>
      <c r="H13" s="2076"/>
      <c r="I13" s="1047">
        <f>F13</f>
        <v>59222</v>
      </c>
      <c r="J13" s="2041"/>
      <c r="K13" s="2051"/>
      <c r="L13" s="2027"/>
      <c r="M13" s="2027"/>
      <c r="N13" s="2028"/>
      <c r="O13" s="2029"/>
      <c r="P13" s="2028"/>
      <c r="Q13" s="2028"/>
      <c r="R13" s="2028"/>
    </row>
    <row r="14" spans="1:19" ht="18" customHeight="1">
      <c r="A14" s="2073"/>
      <c r="B14" s="2074"/>
      <c r="C14" s="2075" t="s">
        <v>1793</v>
      </c>
      <c r="D14" s="1050"/>
      <c r="E14" s="1050"/>
      <c r="F14" s="1050">
        <v>50</v>
      </c>
      <c r="G14" s="1050"/>
      <c r="H14" s="1050"/>
      <c r="I14" s="1050">
        <v>50</v>
      </c>
      <c r="J14" s="2041"/>
      <c r="K14" s="2077"/>
      <c r="L14" s="2027"/>
      <c r="M14" s="2027"/>
      <c r="N14" s="2028"/>
      <c r="O14" s="2029"/>
      <c r="P14" s="2028"/>
      <c r="Q14" s="2028"/>
      <c r="R14" s="2028"/>
    </row>
    <row r="15" spans="1:19" ht="18" customHeight="1">
      <c r="A15" s="2060"/>
      <c r="B15" s="2078"/>
      <c r="C15" s="2075" t="s">
        <v>1794</v>
      </c>
      <c r="D15" s="1049" t="str">
        <f>IF(B12="出让",IF(D13="","",ROUNDDOWN(MIN((D13-$D$3)/365,D14),2)),D14)</f>
        <v/>
      </c>
      <c r="E15" s="1049" t="str">
        <f>IF(B12="出让",IF(E13="","",ROUNDDOWN(MIN((E13-$D$3)/365,E14),2)),E14)</f>
        <v/>
      </c>
      <c r="F15" s="1049">
        <f>IF(B12="出让",IF(F13="","",ROUNDDOWN(MIN((F13-$D$3)/365,F14),2)),F14)</f>
        <v>42</v>
      </c>
      <c r="G15" s="1049" t="str">
        <f>IF(B12="出让",IF(G13="","",ROUNDDOWN(MIN((G13-$D$3)/365,G14),2)),G14)</f>
        <v/>
      </c>
      <c r="H15" s="1049" t="str">
        <f>IF(B12="出让",IF(H13="","",ROUNDDOWN(MIN((H13-$D$3)/365,H14),2)),H14)</f>
        <v/>
      </c>
      <c r="I15" s="1049">
        <f>IF(B12="出让",IF(I13="","",ROUNDDOWN(MIN((I13-$D$3)/365,I14),2)),I14)</f>
        <v>42</v>
      </c>
      <c r="J15" s="2041"/>
      <c r="K15" s="2079"/>
      <c r="L15" s="2080"/>
      <c r="M15" s="2080"/>
      <c r="N15" s="2081"/>
      <c r="O15" s="2080"/>
      <c r="P15" s="2081"/>
      <c r="Q15" s="2028"/>
      <c r="R15" s="2028"/>
    </row>
    <row r="16" spans="1:19" ht="30.75" customHeight="1">
      <c r="A16" s="2063" t="s">
        <v>1795</v>
      </c>
      <c r="B16" s="3024"/>
      <c r="C16" s="3025"/>
      <c r="D16" s="3026"/>
      <c r="E16" s="2082" t="s">
        <v>1796</v>
      </c>
      <c r="F16" s="3027"/>
      <c r="G16" s="3028"/>
      <c r="H16" s="3028"/>
      <c r="I16" s="3029"/>
      <c r="J16" s="2028"/>
      <c r="K16" s="2079"/>
      <c r="L16" s="2080"/>
      <c r="M16" s="2080"/>
      <c r="N16" s="2081"/>
      <c r="O16" s="2080"/>
      <c r="P16" s="2081"/>
      <c r="Q16" s="2028"/>
      <c r="R16" s="2028"/>
    </row>
    <row r="17" spans="1:22" ht="18" customHeight="1">
      <c r="A17" s="2083" t="s">
        <v>1797</v>
      </c>
      <c r="B17" s="2034" t="s">
        <v>1798</v>
      </c>
      <c r="C17" s="1054">
        <f>'数据-汇总表'!E3</f>
        <v>2388.2600000000002</v>
      </c>
      <c r="D17" s="2084" t="s">
        <v>1799</v>
      </c>
      <c r="E17" s="3030" t="s">
        <v>3059</v>
      </c>
      <c r="F17" s="3031"/>
      <c r="G17" s="3031"/>
      <c r="H17" s="3031"/>
      <c r="I17" s="3032"/>
      <c r="J17" s="2028"/>
      <c r="K17" s="2085"/>
      <c r="L17" s="2080"/>
      <c r="M17" s="2080"/>
      <c r="N17" s="2081"/>
      <c r="O17" s="2080"/>
      <c r="P17" s="2081"/>
      <c r="Q17" s="2028"/>
      <c r="R17" s="2028"/>
      <c r="S17" s="2028"/>
      <c r="T17" s="2028"/>
      <c r="U17" s="2028"/>
      <c r="V17" s="2028"/>
    </row>
    <row r="18" spans="1:22" ht="36" customHeight="1" thickBot="1">
      <c r="A18" s="2086" t="s">
        <v>1800</v>
      </c>
      <c r="B18" s="2037" t="s">
        <v>1801</v>
      </c>
      <c r="C18" s="1444">
        <f>'数据-汇总表'!D3</f>
        <v>0</v>
      </c>
      <c r="D18" s="2087" t="s">
        <v>1799</v>
      </c>
      <c r="E18" s="3033" t="s">
        <v>1802</v>
      </c>
      <c r="F18" s="3034"/>
      <c r="G18" s="3034"/>
      <c r="H18" s="3034"/>
      <c r="I18" s="3035"/>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c r="D19" s="2089" t="s">
        <v>1805</v>
      </c>
      <c r="E19" s="2090"/>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20" t="s">
        <v>1807</v>
      </c>
      <c r="C20" s="3021"/>
      <c r="D20" s="3022" t="s">
        <v>1808</v>
      </c>
      <c r="E20" s="3023"/>
      <c r="F20" s="2094" t="s">
        <v>1809</v>
      </c>
      <c r="G20" s="2041"/>
      <c r="H20" s="2041"/>
      <c r="I20" s="2041"/>
      <c r="J20" s="2041"/>
      <c r="K20" s="3019"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1812</v>
      </c>
      <c r="F21" s="2099"/>
      <c r="G21" s="2041"/>
      <c r="H21" s="2041"/>
      <c r="I21" s="2041"/>
      <c r="J21" s="2041"/>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1815</v>
      </c>
      <c r="D22" s="2025"/>
      <c r="E22" s="2025"/>
      <c r="F22" s="2101"/>
      <c r="G22" s="2041"/>
      <c r="H22" s="2041"/>
      <c r="I22" s="2041"/>
      <c r="J22" s="2041"/>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1816</v>
      </c>
      <c r="B23" s="183" t="s">
        <v>1817</v>
      </c>
      <c r="C23" s="2103"/>
      <c r="D23" s="2104" t="s">
        <v>1817</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1818</v>
      </c>
      <c r="C24" s="2108"/>
      <c r="D24" s="2102" t="s">
        <v>1818</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1819</v>
      </c>
      <c r="C25" s="2108"/>
      <c r="D25" s="2102" t="s">
        <v>1819</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1820</v>
      </c>
      <c r="C26" s="2112"/>
      <c r="D26" s="2113" t="s">
        <v>1821</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7" t="s">
        <v>1822</v>
      </c>
      <c r="B27" s="2060" t="s">
        <v>1823</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7"/>
      <c r="B28" s="2034" t="s">
        <v>1824</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7"/>
      <c r="B29" s="2034" t="s">
        <v>1825</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8"/>
      <c r="B30" s="2034" t="s">
        <v>1826</v>
      </c>
      <c r="C30" s="3039"/>
      <c r="D30" s="3040"/>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1" t="s">
        <v>1827</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42"/>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2"/>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0" t="s">
        <v>3063</v>
      </c>
      <c r="C34" s="2130" t="s">
        <v>3064</v>
      </c>
      <c r="D34" s="2130" t="s">
        <v>3065</v>
      </c>
      <c r="E34" s="2130" t="s">
        <v>3066</v>
      </c>
      <c r="F34" s="2130" t="s">
        <v>3067</v>
      </c>
      <c r="G34" s="2130"/>
      <c r="H34" s="2130"/>
      <c r="I34" s="2041"/>
      <c r="J34" s="2041"/>
      <c r="K34" s="1795">
        <f>COUNTIF(B34:H34,"——")</f>
        <v>0</v>
      </c>
      <c r="L34" s="2071" t="s">
        <v>1829</v>
      </c>
      <c r="M34" s="2071" t="s">
        <v>1830</v>
      </c>
      <c r="N34" s="2071" t="s">
        <v>1831</v>
      </c>
      <c r="O34" s="2071" t="s">
        <v>1832</v>
      </c>
      <c r="P34" s="2071" t="s">
        <v>1833</v>
      </c>
      <c r="Q34" s="2071" t="s">
        <v>1834</v>
      </c>
      <c r="R34" s="2071" t="s">
        <v>1835</v>
      </c>
      <c r="S34" s="3036" t="s">
        <v>1836</v>
      </c>
      <c r="T34" s="2131" t="str">
        <f>NUMBERSTRING(7-K34,1)&amp;"通"</f>
        <v>七通</v>
      </c>
      <c r="U34" s="2028"/>
      <c r="V34" s="2028"/>
    </row>
    <row r="35" spans="1:22" ht="18" customHeight="1">
      <c r="A35" s="2132"/>
      <c r="B35" s="3043" t="s">
        <v>1837</v>
      </c>
      <c r="C35" s="3043"/>
      <c r="D35" s="3043"/>
      <c r="E35" s="3043"/>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6"/>
      <c r="T35" s="48" t="str">
        <f>IF(T34="一通",L35,IF(T34="二通",M35,IF(T34="三通",N35,IF(T34="四通",O35,IF(T34="五通",P35,IF(T34="六通",Q35,R35))))))</f>
        <v>通路、通电、通讯、通上水、通下水、、</v>
      </c>
      <c r="U35" s="2028"/>
      <c r="V35" s="2028"/>
    </row>
    <row r="36" spans="1:22" ht="18" customHeight="1">
      <c r="A36" s="2134"/>
      <c r="B36" s="2133" t="s">
        <v>1838</v>
      </c>
      <c r="C36" s="2133" t="s">
        <v>1839</v>
      </c>
      <c r="D36" s="2133" t="s">
        <v>1840</v>
      </c>
      <c r="E36" s="2133" t="s">
        <v>1841</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1842</v>
      </c>
      <c r="B37" s="2137"/>
      <c r="C37" s="2137"/>
      <c r="D37" s="2137"/>
      <c r="E37" s="2137" t="s">
        <v>534</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1843</v>
      </c>
      <c r="B38" s="2139"/>
      <c r="C38" s="2139"/>
      <c r="D38" s="2139"/>
      <c r="E38" s="2139" t="s">
        <v>3104</v>
      </c>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1845</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2388.2600000000002</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2388.2600000000002</v>
      </c>
      <c r="H5" s="16">
        <f t="shared" ref="H5:AT5" si="0">SUM(H13:H656)</f>
        <v>2388.2600000000002</v>
      </c>
      <c r="I5" s="16">
        <f t="shared" si="0"/>
        <v>2388.2600000000002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2388.2600000000002</v>
      </c>
      <c r="BA5" s="18">
        <f t="shared" si="1"/>
        <v>2388.2600000000002</v>
      </c>
      <c r="BB5" s="18">
        <f t="shared" si="1"/>
        <v>2388.2600000000002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3069</v>
      </c>
      <c r="J9" s="981"/>
      <c r="K9" s="2188"/>
      <c r="L9" s="981"/>
      <c r="M9" s="2188"/>
      <c r="N9" s="981"/>
      <c r="O9" s="2188"/>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3070</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3068</v>
      </c>
      <c r="E13" s="16">
        <f>IF($C$3="是",ROUND($A$3*G13/$B$3,2),ROUND($A$3*(G13-AT13)/$B$3,2))</f>
        <v>0</v>
      </c>
      <c r="F13" s="32"/>
      <c r="G13" s="33">
        <f>H13+AC13+AT13</f>
        <v>2388.2600000000002</v>
      </c>
      <c r="H13" s="20">
        <f>SUMIF(I$12:AB$12,"总值",I13:AB13)</f>
        <v>2388.2600000000002</v>
      </c>
      <c r="I13" s="2211">
        <v>2388.2600000000002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2388.2600000000002</v>
      </c>
      <c r="BA13" s="16">
        <f>SUM(BB13:BK13)</f>
        <v>2388.2600000000002</v>
      </c>
      <c r="BB13" s="16">
        <f>IF($D13="是",I13-J13,0)</f>
        <v>2388.2600000000002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55" t="s">
        <v>1933</v>
      </c>
      <c r="B2" s="3055"/>
      <c r="C2" s="3055"/>
      <c r="D2" s="967" t="s">
        <v>1909</v>
      </c>
      <c r="E2" s="2224" t="s">
        <v>1910</v>
      </c>
      <c r="F2" s="1392"/>
      <c r="G2" s="2225"/>
      <c r="H2" s="2226"/>
      <c r="I2" s="2227" t="s">
        <v>1934</v>
      </c>
      <c r="J2" s="1392"/>
      <c r="K2" s="1392"/>
      <c r="L2" s="1392"/>
      <c r="M2" s="1392"/>
      <c r="N2" s="1427"/>
      <c r="O2" s="1392"/>
      <c r="P2" s="1392"/>
    </row>
    <row r="3" spans="1:16" ht="15.75" thickBot="1">
      <c r="A3" s="3056" t="s">
        <v>1907</v>
      </c>
      <c r="B3" s="3056"/>
      <c r="C3" s="3056"/>
      <c r="D3" s="46">
        <f>'数据-基础表'!AY6</f>
        <v>0</v>
      </c>
      <c r="E3" s="46">
        <f>'数据-基础表'!AZ5</f>
        <v>2388.2600000000002</v>
      </c>
      <c r="F3" s="1392"/>
      <c r="G3" s="1399"/>
      <c r="H3" s="1247" t="s">
        <v>1908</v>
      </c>
      <c r="I3" s="55" t="e">
        <f>ROUND('数据-基础表'!B3/'数据-基础表'!A3,2)</f>
        <v>#DIV/0!</v>
      </c>
      <c r="J3" s="1392"/>
      <c r="K3" s="1392"/>
      <c r="L3" s="1392"/>
      <c r="M3" s="1392"/>
      <c r="N3" s="1427"/>
      <c r="O3" s="1392"/>
      <c r="P3" s="1392"/>
    </row>
    <row r="4" spans="1:16" ht="15">
      <c r="A4" s="3057"/>
      <c r="B4" s="3058"/>
      <c r="C4" s="3059"/>
      <c r="D4" s="2228" t="s">
        <v>1909</v>
      </c>
      <c r="E4" s="2229" t="s">
        <v>1910</v>
      </c>
      <c r="F4" s="1392"/>
      <c r="G4" s="2230" t="s">
        <v>1935</v>
      </c>
      <c r="H4" s="1247" t="s">
        <v>1915</v>
      </c>
      <c r="I4" s="55" t="e">
        <f>ROUND(SUMIF('数据-基础表'!I9:AS9,"地上",'数据-基础表'!I5:AS5)/'数据-基础表'!A3,2)</f>
        <v>#DIV/0!</v>
      </c>
      <c r="J4" s="1392"/>
      <c r="K4" s="1392"/>
      <c r="L4" s="1392"/>
      <c r="M4" s="1392"/>
      <c r="N4" s="1427"/>
      <c r="O4" s="1392"/>
      <c r="P4" s="1392"/>
    </row>
    <row r="5" spans="1:16">
      <c r="A5" s="47" t="s">
        <v>1911</v>
      </c>
      <c r="B5" s="3060" t="s">
        <v>1912</v>
      </c>
      <c r="C5" s="3060"/>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31"/>
      <c r="B6" s="3060" t="s">
        <v>1913</v>
      </c>
      <c r="C6" s="3060"/>
      <c r="D6" s="48">
        <f>ROUND($D$3*E6/$E$3,2)</f>
        <v>0</v>
      </c>
      <c r="E6" s="49">
        <f>E3-E5</f>
        <v>2388.2600000000002</v>
      </c>
      <c r="F6" s="1392"/>
      <c r="G6" s="2232" t="s">
        <v>1914</v>
      </c>
      <c r="H6" s="1399" t="s">
        <v>1915</v>
      </c>
      <c r="I6" s="939" t="e">
        <f>ROUND(F31/D31,2)</f>
        <v>#DIV/0!</v>
      </c>
      <c r="J6" s="1392"/>
      <c r="K6" s="1392"/>
      <c r="L6" s="1392"/>
      <c r="M6" s="1392"/>
      <c r="N6" s="1392"/>
      <c r="O6" s="1392"/>
      <c r="P6" s="1392"/>
    </row>
    <row r="7" spans="1:16" ht="15">
      <c r="A7" s="3052"/>
      <c r="B7" s="3053"/>
      <c r="C7" s="3054"/>
      <c r="D7" s="2228" t="s">
        <v>1909</v>
      </c>
      <c r="E7" s="2233" t="s">
        <v>1916</v>
      </c>
      <c r="F7" s="1392"/>
      <c r="G7" s="2225" t="s">
        <v>1917</v>
      </c>
      <c r="H7" s="64"/>
      <c r="I7" s="420">
        <v>1</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2388.2600000000002</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0</v>
      </c>
      <c r="E16" s="53">
        <f>SUM(E8:E15)</f>
        <v>2388.2600000000002</v>
      </c>
      <c r="F16" s="1392"/>
      <c r="G16" s="2234"/>
      <c r="H16" s="2237" t="s">
        <v>1937</v>
      </c>
      <c r="I16" s="2238"/>
      <c r="J16" s="1392"/>
      <c r="K16" s="3049" t="s">
        <v>1937</v>
      </c>
      <c r="L16" s="3050"/>
      <c r="M16" s="3050"/>
      <c r="N16" s="3050"/>
      <c r="O16" s="3050"/>
      <c r="P16" s="3051"/>
    </row>
    <row r="17" spans="1:19" ht="15">
      <c r="A17" s="2239" t="s">
        <v>1938</v>
      </c>
      <c r="B17" s="2240" t="s">
        <v>1939</v>
      </c>
      <c r="C17" s="2241" t="s">
        <v>1940</v>
      </c>
      <c r="D17" s="2242" t="s">
        <v>1928</v>
      </c>
      <c r="E17" s="2243" t="s">
        <v>1929</v>
      </c>
      <c r="F17" s="2244"/>
      <c r="G17" s="2245"/>
      <c r="H17" s="2246" t="s">
        <v>1941</v>
      </c>
      <c r="I17" s="2247" t="s">
        <v>1926</v>
      </c>
      <c r="J17" s="1392"/>
      <c r="K17" s="3046" t="s">
        <v>1942</v>
      </c>
      <c r="L17" s="3047"/>
      <c r="M17" s="3048"/>
      <c r="N17" s="3046" t="s">
        <v>1943</v>
      </c>
      <c r="O17" s="3047"/>
      <c r="P17" s="3048"/>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61" t="s">
        <v>3071</v>
      </c>
      <c r="D19" s="48">
        <f>ROUND($D$3*E19/$E$3,2)</f>
        <v>0</v>
      </c>
      <c r="E19" s="56">
        <f t="shared" ref="E19:E26" si="1">SUM(F19:G19)</f>
        <v>2388.2600000000002</v>
      </c>
      <c r="F19" s="57">
        <f>'数据-基础表'!I13</f>
        <v>2388.2600000000002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2388.2600000000002</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0</v>
      </c>
      <c r="E27" s="1394">
        <f>IF(SUM(E19:E26)='数据-基础表'!BA5,SUM(E19:E26),IF(F27="地上面积有误","面积有误","地下面积有误"))</f>
        <v>2388.2600000000002</v>
      </c>
      <c r="F27" s="1393">
        <f>IF(SUM(F19:F26)=E8,SUM(F19:F26),"地上面积有误")</f>
        <v>2388.2600000000002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2388.2600000000002</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0</v>
      </c>
      <c r="E31" s="729">
        <f>E27+E30</f>
        <v>2388.2600000000002</v>
      </c>
      <c r="F31" s="730">
        <f>F27+F30</f>
        <v>2388.2600000000002</v>
      </c>
      <c r="G31" s="731">
        <f>G27+G30</f>
        <v>0</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1963</v>
      </c>
      <c r="B2" s="1266">
        <f>项目基本情况!D3</f>
        <v>43889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3073</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研发楼</v>
      </c>
      <c r="B6" s="2304" t="str">
        <f>IF(A6=0,"","经营性")</f>
        <v>经营性</v>
      </c>
      <c r="C6" s="2305" t="s">
        <v>6</v>
      </c>
      <c r="D6" s="1051">
        <f>SUMIF(项目基本情况!D$12:I$12,C6,项目基本情况!D$14:I$14)</f>
        <v>50</v>
      </c>
      <c r="E6" s="1048">
        <f>IF(B6="","",SUMIF(项目基本情况!D$12:I$12,C6,项目基本情况!D$13:I$13))</f>
        <v>59222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1">
        <f>SUMIF('数据-汇总表'!C$19:C$33,A6,'数据-汇总表'!E$19:E$33)</f>
        <v>2388.2600000000002</v>
      </c>
      <c r="L6" s="803">
        <v>2500</v>
      </c>
      <c r="M6" s="75">
        <f t="shared" ref="M6:M14" si="0">ROUND(K6*L6/10000,0)</f>
        <v>597</v>
      </c>
      <c r="N6" s="801">
        <f>ROUND(1-(2020-2013)/60,2)</f>
        <v>0.88</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'比较法-工业租金'!C43</f>
        <v>1.8</v>
      </c>
      <c r="V6" s="79">
        <v>0.02</v>
      </c>
      <c r="W6" s="79">
        <v>0.15</v>
      </c>
      <c r="X6" s="1261"/>
      <c r="Y6" s="80">
        <f>N6</f>
        <v>0.88</v>
      </c>
      <c r="Z6" s="81"/>
      <c r="AA6" s="74"/>
      <c r="AB6" s="74"/>
      <c r="AC6" s="1261"/>
      <c r="AD6" s="82"/>
      <c r="AE6" s="1262">
        <f ca="1">IF(AN6="",0,SUMIF(INDIRECT("'"&amp;AN6&amp;"'"&amp;"!E:E"),$AE$5,INDIRECT("'"&amp;AN6&amp;"'"&amp;"!F:F")))</f>
        <v>42</v>
      </c>
      <c r="AF6" s="1804"/>
      <c r="AG6" s="147">
        <f>IF(AF6="",0,AE6-AF6)</f>
        <v>0</v>
      </c>
      <c r="AH6" s="83"/>
      <c r="AI6" s="85">
        <v>365</v>
      </c>
      <c r="AJ6" s="86"/>
      <c r="AK6" s="87">
        <v>1.6E-2</v>
      </c>
      <c r="AL6" s="88">
        <v>2E-3</v>
      </c>
      <c r="AM6" s="89">
        <v>0.02</v>
      </c>
      <c r="AN6" s="2306" t="s">
        <v>3072</v>
      </c>
      <c r="AO6" s="55">
        <f ca="1">SUMIF(INDIRECT("'"&amp;AN6&amp;"'"&amp;"!A:A"),"总价",INDIRECT("'"&amp;AN6&amp;"'"&amp;"!B:B"))</f>
        <v>2017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5.75" customHeight="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2011</v>
      </c>
      <c r="B16" s="97"/>
      <c r="C16" s="1005"/>
      <c r="D16" s="2311"/>
      <c r="E16" s="97"/>
      <c r="F16" s="97"/>
      <c r="G16" s="98">
        <f>ROUND(SUMPRODUCT(G6:G13,K6:K13)/SUMPRODUCT((G6:G13&gt;0)*(K6:K13)),3)</f>
        <v>0.95399999999999996</v>
      </c>
      <c r="H16" s="99">
        <f>ROUND(SUMPRODUCT(H6:H13,K6:K13)/SUMPRODUCT((H6:H13&gt;0)*(K6:K13)),3)</f>
        <v>0.05</v>
      </c>
      <c r="I16" s="100"/>
      <c r="J16" s="100"/>
      <c r="K16" s="101">
        <f>SUM(K6:K15)</f>
        <v>2388.2600000000002</v>
      </c>
      <c r="L16" s="102">
        <f>ROUND(M16*10000/SUM(K6:K14),0)</f>
        <v>2500</v>
      </c>
      <c r="M16" s="102">
        <f>SUM(M6:M14)</f>
        <v>597</v>
      </c>
      <c r="N16" s="103">
        <f>ROUND(SUMPRODUCT(M6:M14,N6:N14)/M16,3)</f>
        <v>0.88</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1</v>
      </c>
      <c r="C20" s="2274" t="s">
        <v>2016</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ROUND(B28*K16/10000,0)</f>
        <v>45</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0.03</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0.03</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0.03</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4.3499999999999997E-2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0.05</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1"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1"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1" t="s">
        <v>2078</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3"/>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5"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5" t="s">
        <v>2090</v>
      </c>
      <c r="C5" s="2370" t="s">
        <v>2091</v>
      </c>
      <c r="D5" s="2367"/>
      <c r="E5" s="2371"/>
      <c r="F5" s="1795" t="s">
        <v>2092</v>
      </c>
      <c r="G5" s="2372" t="s">
        <v>2093</v>
      </c>
      <c r="H5" s="2364"/>
      <c r="I5" s="2364"/>
      <c r="J5" s="2364"/>
      <c r="K5" s="2364"/>
      <c r="L5" s="2364"/>
      <c r="M5" s="2364"/>
      <c r="N5" s="2364"/>
      <c r="O5" s="2364"/>
      <c r="P5" s="2364"/>
      <c r="Q5" s="2364"/>
      <c r="R5" s="2364"/>
    </row>
    <row r="6" spans="1:29" ht="54">
      <c r="A6" s="431"/>
      <c r="B6" s="1795" t="s">
        <v>2094</v>
      </c>
      <c r="C6" s="2372" t="s">
        <v>2089</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5" t="s">
        <v>2095</v>
      </c>
      <c r="C8" s="2372" t="s">
        <v>2096</v>
      </c>
      <c r="D8" s="2373"/>
      <c r="E8" s="2373"/>
      <c r="F8" s="1133"/>
      <c r="G8" s="1133"/>
      <c r="H8" s="2364"/>
      <c r="I8" s="2364"/>
      <c r="J8" s="2364"/>
      <c r="K8" s="2364"/>
      <c r="L8" s="2364"/>
      <c r="M8" s="2364"/>
      <c r="N8" s="2364"/>
      <c r="O8" s="2364"/>
      <c r="P8" s="2364"/>
      <c r="Q8" s="2364"/>
      <c r="R8" s="2364"/>
    </row>
    <row r="9" spans="1:29" ht="27">
      <c r="A9" s="431"/>
      <c r="B9" s="1795"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9"/>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9"/>
      <c r="D19" s="2367"/>
      <c r="E19" s="2403"/>
      <c r="F19" s="1795"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5" t="s">
        <v>2111</v>
      </c>
      <c r="G20" s="136" t="str">
        <f>G6</f>
        <v>估价对象所在区域基础设施水平</v>
      </c>
    </row>
    <row r="21" spans="1:18" ht="28.5">
      <c r="A21" s="645"/>
      <c r="B21" s="1795" t="s">
        <v>2092</v>
      </c>
      <c r="C21" s="136" t="str">
        <f>C7</f>
        <v>估价对象所在区域公共配套设施齐备情况</v>
      </c>
      <c r="D21" s="2367"/>
      <c r="E21" s="2403"/>
      <c r="F21" s="2404" t="s">
        <v>2112</v>
      </c>
      <c r="G21" s="2405"/>
    </row>
    <row r="22" spans="1:18" ht="13.5" customHeight="1">
      <c r="A22" s="645"/>
      <c r="B22" s="1795" t="s">
        <v>2095</v>
      </c>
      <c r="C22" s="136" t="str">
        <f>C8</f>
        <v>估价对象所在区域基础设施水平</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topLeftCell="B7"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2388.2600000000002</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43889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2856</v>
      </c>
      <c r="C5" s="1743">
        <f ca="1">ROUND(B5*10000/$B$1,0)</f>
        <v>11958</v>
      </c>
      <c r="D5" s="1743" t="e">
        <f ca="1">ROUND(B5*10000/$B$2,0)</f>
        <v>#DIV/0!</v>
      </c>
      <c r="E5" s="1742"/>
      <c r="F5" s="1740"/>
      <c r="G5" s="1740"/>
    </row>
    <row r="6" spans="1:10" ht="16.5">
      <c r="A6" s="1743" t="s">
        <v>1351</v>
      </c>
      <c r="B6" s="1743">
        <f ca="1">SUM(G14:G23)</f>
        <v>2856</v>
      </c>
      <c r="C6" s="1743">
        <f ca="1">ROUND(B6*10000/$B$1,0)</f>
        <v>11958</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2388.2600000000002</v>
      </c>
      <c r="C14" s="1741">
        <f>结果表!C118</f>
        <v>0</v>
      </c>
      <c r="D14" s="1741">
        <f ca="1">结果表!H118</f>
        <v>2856</v>
      </c>
      <c r="E14" s="1741">
        <f ca="1">ROUND(D14*10000/B14,0)</f>
        <v>11958</v>
      </c>
      <c r="F14" s="1741" t="e">
        <f ca="1">ROUND(D14*10000/C14,0)</f>
        <v>#DIV/0!</v>
      </c>
      <c r="G14" s="1741">
        <f ca="1">结果表!D122</f>
        <v>2856</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2" zoomScaleNormal="100" zoomScaleSheetLayoutView="100" zoomScalePageLayoutView="80" workbookViewId="0">
      <selection activeCell="H22" sqref="H2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3099</v>
      </c>
      <c r="H1" s="2418" t="str">
        <f>IF(G1="现房","——","估价对象范围")</f>
        <v>——</v>
      </c>
      <c r="I1" s="2419"/>
    </row>
    <row r="2" spans="1:12" ht="21.75" customHeight="1" thickBot="1">
      <c r="A2" s="3135" t="str">
        <f>项目基本情况!S2</f>
        <v>北京市北京经济技术开发区经海三路109号院22号楼-1至5层101房地产</v>
      </c>
      <c r="B2" s="3136"/>
      <c r="C2" s="3136"/>
      <c r="D2" s="3136"/>
      <c r="E2" s="3136"/>
      <c r="F2" s="3136"/>
      <c r="G2" s="3136"/>
      <c r="H2" s="3136"/>
      <c r="I2" s="3137"/>
    </row>
    <row r="3" spans="1:12" ht="12.75">
      <c r="A3" s="3138" t="s">
        <v>2117</v>
      </c>
      <c r="B3" s="3139"/>
      <c r="C3" s="3139"/>
      <c r="D3" s="3139"/>
      <c r="E3" s="3139"/>
      <c r="F3" s="3139"/>
      <c r="G3" s="3139"/>
      <c r="H3" s="3139"/>
      <c r="I3" s="3139"/>
    </row>
    <row r="4" spans="1:12" ht="14.25">
      <c r="A4" s="2422" t="s">
        <v>2118</v>
      </c>
      <c r="B4" s="2423" t="s">
        <v>2119</v>
      </c>
      <c r="C4" s="2424" t="s">
        <v>3072</v>
      </c>
      <c r="D4" s="2424" t="s">
        <v>3079</v>
      </c>
      <c r="E4" s="3119" t="s">
        <v>2120</v>
      </c>
      <c r="F4" s="3132"/>
      <c r="G4" s="3132"/>
      <c r="H4" s="3132"/>
      <c r="I4" s="3120"/>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110" t="s">
        <v>2121</v>
      </c>
      <c r="B5" s="3036">
        <v>25</v>
      </c>
      <c r="C5" s="3140"/>
      <c r="D5" s="3128"/>
      <c r="E5" s="140" t="s">
        <v>2122</v>
      </c>
      <c r="F5" s="2426"/>
      <c r="G5" s="2426"/>
      <c r="H5" s="2426"/>
      <c r="I5" s="1831"/>
    </row>
    <row r="6" spans="1:12" ht="12.75">
      <c r="A6" s="3110"/>
      <c r="B6" s="3036"/>
      <c r="C6" s="3142"/>
      <c r="D6" s="3128"/>
      <c r="E6" s="140" t="s">
        <v>2123</v>
      </c>
      <c r="F6" s="2426"/>
      <c r="G6" s="2426"/>
      <c r="H6" s="2426"/>
      <c r="I6" s="1831"/>
    </row>
    <row r="7" spans="1:12" ht="12.75">
      <c r="A7" s="3110"/>
      <c r="B7" s="3036"/>
      <c r="C7" s="3141"/>
      <c r="D7" s="3128"/>
      <c r="E7" s="140" t="s">
        <v>2124</v>
      </c>
      <c r="F7" s="2426"/>
      <c r="G7" s="2426"/>
      <c r="H7" s="2426"/>
      <c r="I7" s="1831"/>
    </row>
    <row r="8" spans="1:12" ht="12.75">
      <c r="A8" s="3110" t="s">
        <v>2125</v>
      </c>
      <c r="B8" s="3036">
        <v>15</v>
      </c>
      <c r="C8" s="3140"/>
      <c r="D8" s="3128"/>
      <c r="E8" s="140" t="s">
        <v>2126</v>
      </c>
      <c r="F8" s="2426"/>
      <c r="G8" s="2426"/>
      <c r="H8" s="2426"/>
      <c r="I8" s="1831"/>
    </row>
    <row r="9" spans="1:12" ht="12.75">
      <c r="A9" s="3110"/>
      <c r="B9" s="3036"/>
      <c r="C9" s="3141"/>
      <c r="D9" s="3128"/>
      <c r="E9" s="140" t="s">
        <v>2127</v>
      </c>
      <c r="F9" s="2426"/>
      <c r="G9" s="2426"/>
      <c r="H9" s="2426"/>
      <c r="I9" s="1831"/>
    </row>
    <row r="10" spans="1:12" ht="12.75">
      <c r="A10" s="3110" t="s">
        <v>2128</v>
      </c>
      <c r="B10" s="3036">
        <v>15</v>
      </c>
      <c r="C10" s="3140"/>
      <c r="D10" s="3128"/>
      <c r="E10" s="140" t="s">
        <v>2129</v>
      </c>
      <c r="F10" s="2426"/>
      <c r="G10" s="2426"/>
      <c r="H10" s="2426"/>
      <c r="I10" s="1831"/>
    </row>
    <row r="11" spans="1:12" ht="12.75">
      <c r="A11" s="3110"/>
      <c r="B11" s="3036"/>
      <c r="C11" s="3141"/>
      <c r="D11" s="3128"/>
      <c r="E11" s="140" t="s">
        <v>2130</v>
      </c>
      <c r="F11" s="2426"/>
      <c r="G11" s="2426"/>
      <c r="H11" s="2426"/>
      <c r="I11" s="1831"/>
    </row>
    <row r="12" spans="1:12" ht="12.75">
      <c r="A12" s="3110" t="s">
        <v>2131</v>
      </c>
      <c r="B12" s="3036">
        <v>15</v>
      </c>
      <c r="C12" s="3140"/>
      <c r="D12" s="3128"/>
      <c r="E12" s="140" t="s">
        <v>2132</v>
      </c>
      <c r="F12" s="2426"/>
      <c r="G12" s="2426"/>
      <c r="H12" s="2426"/>
      <c r="I12" s="1831"/>
    </row>
    <row r="13" spans="1:12" ht="12.75">
      <c r="A13" s="3110"/>
      <c r="B13" s="3036"/>
      <c r="C13" s="3141"/>
      <c r="D13" s="3128"/>
      <c r="E13" s="140" t="s">
        <v>2133</v>
      </c>
      <c r="F13" s="2426"/>
      <c r="G13" s="2426"/>
      <c r="H13" s="2426"/>
      <c r="I13" s="1831"/>
    </row>
    <row r="14" spans="1:12" ht="12.75">
      <c r="A14" s="3110" t="s">
        <v>2134</v>
      </c>
      <c r="B14" s="3036">
        <v>30</v>
      </c>
      <c r="C14" s="3140">
        <v>45</v>
      </c>
      <c r="D14" s="3128">
        <v>55</v>
      </c>
      <c r="E14" s="140" t="s">
        <v>2135</v>
      </c>
      <c r="F14" s="2426"/>
      <c r="G14" s="2426"/>
      <c r="H14" s="2426"/>
      <c r="I14" s="1831"/>
    </row>
    <row r="15" spans="1:12" ht="12.75">
      <c r="A15" s="3110"/>
      <c r="B15" s="3036"/>
      <c r="C15" s="3142"/>
      <c r="D15" s="3128"/>
      <c r="E15" s="140" t="s">
        <v>2136</v>
      </c>
      <c r="F15" s="2426"/>
      <c r="G15" s="2426"/>
      <c r="H15" s="2426"/>
      <c r="I15" s="1831"/>
    </row>
    <row r="16" spans="1:12" ht="12.75">
      <c r="A16" s="3110"/>
      <c r="B16" s="3036"/>
      <c r="C16" s="3141"/>
      <c r="D16" s="3128"/>
      <c r="E16" s="140" t="s">
        <v>2137</v>
      </c>
      <c r="F16" s="2426"/>
      <c r="G16" s="2426"/>
      <c r="H16" s="2426"/>
      <c r="I16" s="1831"/>
    </row>
    <row r="17" spans="1:35" ht="15">
      <c r="A17" s="2427" t="s">
        <v>2138</v>
      </c>
      <c r="B17" s="64"/>
      <c r="C17" s="141">
        <f>SUM(C5:C16)</f>
        <v>45</v>
      </c>
      <c r="D17" s="141">
        <f>SUM(D5:D16)</f>
        <v>55</v>
      </c>
      <c r="E17" s="138"/>
      <c r="F17" s="138"/>
      <c r="G17" s="138"/>
      <c r="H17" s="138"/>
      <c r="I17" s="138"/>
      <c r="K17" s="2425"/>
      <c r="L17" s="2428" t="s">
        <v>2139</v>
      </c>
      <c r="M17" s="2428" t="s">
        <v>2140</v>
      </c>
    </row>
    <row r="18" spans="1:35" ht="15.75" thickBot="1">
      <c r="A18" s="2429" t="s">
        <v>2141</v>
      </c>
      <c r="B18" s="2430"/>
      <c r="C18" s="142">
        <f>ROUND(C17/SUM(C17:D17),2)</f>
        <v>0.45</v>
      </c>
      <c r="D18" s="142">
        <f>1-C18</f>
        <v>0.55000000000000004</v>
      </c>
      <c r="E18" s="138"/>
      <c r="F18" s="138"/>
      <c r="G18" s="138"/>
      <c r="H18" s="138"/>
      <c r="I18" s="138"/>
      <c r="K18" s="2425" t="s">
        <v>2142</v>
      </c>
      <c r="L18" s="2425">
        <f>IF(C1="",'数据-汇总表'!E3,SUMIF(项目类型,C1,'数据-汇总表'!E17:E26)+SUMIF(项目类型,C1,'数据-汇总表'!I17:I26))</f>
        <v>2388.2600000000002</v>
      </c>
      <c r="M18" s="2425">
        <f>IF(C1="",'数据-汇总表'!E3,SUMIF(项目类型,C1,'数据-汇总表'!E17:E26))</f>
        <v>2388.2600000000002</v>
      </c>
    </row>
    <row r="19" spans="1:35" ht="15">
      <c r="A19" s="2431" t="s">
        <v>2143</v>
      </c>
      <c r="B19" s="2432" t="s">
        <v>2144</v>
      </c>
      <c r="C19" s="143">
        <f ca="1">SUMIF(INDIRECT("'"&amp;C4&amp;"'"&amp;"!A:A"),结果表!B19,INDIRECT("'"&amp;C4&amp;"'"&amp;"!B:B"))</f>
        <v>2017</v>
      </c>
      <c r="D19" s="144">
        <f ca="1">SUMIF(INDIRECT("'"&amp;D4&amp;"'"&amp;"!A:A"),结果表!B19,INDIRECT("'"&amp;D4&amp;"'"&amp;"!B:B"))</f>
        <v>3543</v>
      </c>
      <c r="E19" s="2431" t="s">
        <v>2145</v>
      </c>
      <c r="F19" s="2432" t="s">
        <v>2144</v>
      </c>
      <c r="G19" s="145">
        <f ca="1">ROUND(C19*$C$18+D19*$D$18,0)</f>
        <v>2856</v>
      </c>
      <c r="H19" s="2433" t="s">
        <v>2146</v>
      </c>
      <c r="I19" s="138"/>
      <c r="K19" s="2425" t="s">
        <v>2147</v>
      </c>
      <c r="L19" s="2425">
        <f>IF(C1="",'数据-汇总表'!D3,SUMIF(项目类型,C1,'数据-汇总表'!D17:D26)+SUMIF(项目类型,C1,'数据-汇总表'!H17:H27))</f>
        <v>0</v>
      </c>
      <c r="M19" s="2425">
        <f>IF(C1="",'数据-汇总表'!D3,SUMIF(项目类型,C1,'数据-汇总表'!D17:D26))</f>
        <v>0</v>
      </c>
    </row>
    <row r="20" spans="1:35" ht="15">
      <c r="A20" s="2434"/>
      <c r="B20" s="1247" t="s">
        <v>2148</v>
      </c>
      <c r="C20" s="146">
        <f ca="1">SUMIF(INDIRECT("'"&amp;C4&amp;"'"&amp;"!A:A"),结果表!B20,INDIRECT("'"&amp;C4&amp;"'"&amp;"!B:B"))</f>
        <v>8445</v>
      </c>
      <c r="D20" s="147">
        <f ca="1">SUMIF(INDIRECT("'"&amp;D4&amp;"'"&amp;"!A:A"),结果表!B20,INDIRECT("'"&amp;D4&amp;"'"&amp;"!B:B"))</f>
        <v>14836</v>
      </c>
      <c r="E20" s="2434"/>
      <c r="F20" s="1247" t="s">
        <v>2148</v>
      </c>
      <c r="G20" s="148">
        <f ca="1">ROUND(C20*$C$18+D20*$D$18,0)</f>
        <v>11960</v>
      </c>
      <c r="H20" s="980" t="s">
        <v>2149</v>
      </c>
      <c r="I20" s="138"/>
    </row>
    <row r="21" spans="1:35" ht="15" customHeight="1" thickBot="1">
      <c r="A21" s="1000"/>
      <c r="B21" s="2435" t="s">
        <v>2150</v>
      </c>
      <c r="C21" s="789" t="e">
        <f ca="1">ROUND(C19*10000/L19,0)</f>
        <v>#DIV/0!</v>
      </c>
      <c r="D21" s="790" t="e">
        <f ca="1">ROUND(D19*10000/L19,0)</f>
        <v>#DIV/0!</v>
      </c>
      <c r="E21" s="1000"/>
      <c r="F21" s="2435" t="s">
        <v>2150</v>
      </c>
      <c r="G21" s="149" t="e">
        <f ca="1">ROUND(G19*10000/L19,0)</f>
        <v>#DIV/0!</v>
      </c>
      <c r="H21" s="2436" t="s">
        <v>2149</v>
      </c>
      <c r="I21" s="138"/>
    </row>
    <row r="22" spans="1:35" ht="15" thickBot="1">
      <c r="A22" s="2278" t="s">
        <v>2151</v>
      </c>
      <c r="B22" s="2437"/>
      <c r="C22" s="2438"/>
      <c r="D22" s="791">
        <f ca="1">IF(C19&lt;D19,D19/C19-1,C19/D19-1)</f>
        <v>0.75656916212196323</v>
      </c>
      <c r="E22" s="138"/>
      <c r="F22" s="138"/>
      <c r="G22" s="138"/>
      <c r="H22" s="138"/>
      <c r="I22" s="138"/>
    </row>
    <row r="23" spans="1:35" ht="13.5" thickBot="1">
      <c r="A23" s="2415"/>
      <c r="B23" s="2415"/>
      <c r="C23" s="2415"/>
      <c r="D23" s="2415"/>
      <c r="E23" s="138"/>
      <c r="F23" s="138"/>
      <c r="G23" s="138"/>
      <c r="H23" s="138"/>
      <c r="I23" s="138"/>
    </row>
    <row r="24" spans="1:35" ht="14.25">
      <c r="A24" s="3149" t="s">
        <v>2152</v>
      </c>
      <c r="B24" s="2432" t="s">
        <v>2144</v>
      </c>
      <c r="C24" s="145">
        <f>IF(B30=0,0,D30)</f>
        <v>0</v>
      </c>
      <c r="D24" s="2439"/>
      <c r="E24" s="138"/>
      <c r="F24" s="138"/>
      <c r="G24" s="138"/>
      <c r="H24" s="138"/>
      <c r="I24" s="138"/>
    </row>
    <row r="25" spans="1:35" ht="14.25">
      <c r="A25" s="3150"/>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2856</v>
      </c>
      <c r="D32" s="2446" t="s">
        <v>2159</v>
      </c>
      <c r="E32" s="138"/>
      <c r="F32" s="138"/>
      <c r="G32" s="138"/>
      <c r="H32" s="138"/>
      <c r="I32" s="138"/>
    </row>
    <row r="33" spans="1:15" ht="15">
      <c r="A33" s="957" t="s">
        <v>2160</v>
      </c>
      <c r="B33" s="2447"/>
      <c r="C33" s="2448"/>
      <c r="D33" s="2449"/>
      <c r="E33" s="2450" t="s">
        <v>2161</v>
      </c>
      <c r="F33" s="2451" t="str">
        <f>IF(D32="楼面单价","取值（单价）","取值（总价）")</f>
        <v>取值（总价）</v>
      </c>
      <c r="G33" s="138"/>
      <c r="H33" s="138"/>
      <c r="I33" s="138"/>
    </row>
    <row r="34" spans="1:15" ht="15">
      <c r="A34" s="2452"/>
      <c r="B34" s="2453"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2163</v>
      </c>
      <c r="F34" s="1736"/>
      <c r="G34" s="138"/>
      <c r="H34" s="138"/>
      <c r="I34" s="138"/>
    </row>
    <row r="35" spans="1:15" ht="15.75" thickBot="1">
      <c r="A35" s="2455"/>
      <c r="B35" s="2456"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2165</v>
      </c>
      <c r="F35" s="163"/>
      <c r="G35" s="138"/>
      <c r="H35" s="138"/>
      <c r="I35" s="138"/>
    </row>
    <row r="36" spans="1:15" ht="15.75" thickBot="1">
      <c r="A36" s="3129" t="s">
        <v>2166</v>
      </c>
      <c r="B36" s="2458" t="s">
        <v>2167</v>
      </c>
      <c r="C36" s="154"/>
      <c r="D36" s="2459"/>
      <c r="E36" s="2460"/>
      <c r="F36" s="2461"/>
      <c r="G36" s="138"/>
      <c r="H36" s="138"/>
      <c r="I36" s="138"/>
    </row>
    <row r="37" spans="1:15" ht="15.75" thickBot="1">
      <c r="A37" s="3130"/>
      <c r="B37" s="2264" t="s">
        <v>2168</v>
      </c>
      <c r="C37" s="156"/>
      <c r="D37" s="1392"/>
      <c r="E37" s="1392"/>
      <c r="F37" s="2461"/>
      <c r="G37" s="138"/>
      <c r="H37" s="138"/>
      <c r="I37" s="138"/>
    </row>
    <row r="38" spans="1:15" ht="15.75" thickBot="1">
      <c r="A38" s="3131"/>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46" t="s">
        <v>2180</v>
      </c>
      <c r="B45" s="3147"/>
      <c r="C45" s="3148"/>
      <c r="D45" s="164">
        <f ca="1">ROUND(H101*F45,0)</f>
        <v>2856</v>
      </c>
      <c r="E45" s="165" t="s">
        <v>2181</v>
      </c>
      <c r="F45" s="166">
        <v>1</v>
      </c>
      <c r="G45" s="167" t="s">
        <v>2182</v>
      </c>
      <c r="H45" s="138"/>
      <c r="I45" s="138"/>
      <c r="J45" s="3065" t="s">
        <v>2183</v>
      </c>
      <c r="K45" s="3065"/>
      <c r="L45" s="3065"/>
      <c r="M45" s="3065"/>
      <c r="N45" s="3065"/>
      <c r="O45" s="3065"/>
    </row>
    <row r="46" spans="1:15" ht="14.25" customHeight="1">
      <c r="A46" s="3143" t="s">
        <v>2184</v>
      </c>
      <c r="B46" s="3144"/>
      <c r="C46" s="3144"/>
      <c r="D46" s="3144"/>
      <c r="E46" s="3144"/>
      <c r="F46" s="3144"/>
      <c r="G46" s="3145"/>
      <c r="H46" s="2477"/>
      <c r="I46" s="168"/>
      <c r="J46" s="1809">
        <v>1</v>
      </c>
      <c r="K46" s="3065" t="s">
        <v>2185</v>
      </c>
      <c r="L46" s="3065"/>
      <c r="M46" s="3066"/>
      <c r="N46" s="3066"/>
      <c r="O46" s="3066"/>
    </row>
    <row r="47" spans="1:15" ht="12" customHeight="1">
      <c r="A47" s="169" t="s">
        <v>2186</v>
      </c>
      <c r="B47" s="170"/>
      <c r="C47" s="171"/>
      <c r="D47" s="172" t="s">
        <v>2187</v>
      </c>
      <c r="E47" s="24" t="s">
        <v>2188</v>
      </c>
      <c r="F47" s="173" t="s">
        <v>2189</v>
      </c>
      <c r="G47" s="174" t="s">
        <v>2190</v>
      </c>
      <c r="H47" s="2477"/>
      <c r="I47" s="168"/>
      <c r="J47" s="1809">
        <v>2</v>
      </c>
      <c r="K47" s="3065" t="s">
        <v>2191</v>
      </c>
      <c r="L47" s="3065"/>
      <c r="M47" s="3067">
        <f>'数据-取费表'!B2</f>
        <v>43889</v>
      </c>
      <c r="N47" s="3067"/>
      <c r="O47" s="3067"/>
    </row>
    <row r="48" spans="1:15" ht="25.5">
      <c r="A48" s="3133" t="s">
        <v>2192</v>
      </c>
      <c r="B48" s="3134"/>
      <c r="C48" s="3134"/>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065" t="s">
        <v>2195</v>
      </c>
      <c r="L48" s="3065"/>
      <c r="M48" s="3068">
        <f ca="1">H101</f>
        <v>2856</v>
      </c>
      <c r="N48" s="3068"/>
      <c r="O48" s="3068"/>
    </row>
    <row r="49" spans="1:35" ht="25.5" customHeight="1">
      <c r="A49" s="176" t="s">
        <v>2196</v>
      </c>
      <c r="B49" s="3113" t="s">
        <v>2197</v>
      </c>
      <c r="C49" s="3113"/>
      <c r="D49" s="177">
        <v>0</v>
      </c>
      <c r="E49" s="23" t="s">
        <v>2198</v>
      </c>
      <c r="F49" s="28" t="s">
        <v>34</v>
      </c>
      <c r="G49" s="3094"/>
      <c r="H49" s="138"/>
      <c r="I49" s="2480"/>
      <c r="J49" s="1809">
        <v>4</v>
      </c>
      <c r="K49" s="3065" t="str">
        <f>IF(项目基本情况!E8="房地产抵押价值","房地产抵押价值","抵押担保权已注销时的房地产抵押价值")</f>
        <v>抵押担保权已注销时的房地产抵押价值</v>
      </c>
      <c r="L49" s="3065"/>
      <c r="M49" s="3068" t="str">
        <f>IF(项目基本情况!E8="房地产抵押价值",H107,H109)</f>
        <v>——</v>
      </c>
      <c r="N49" s="3068"/>
      <c r="O49" s="3068"/>
    </row>
    <row r="50" spans="1:35" ht="25.5" customHeight="1">
      <c r="A50" s="178"/>
      <c r="B50" s="3113" t="s">
        <v>2199</v>
      </c>
      <c r="C50" s="3113"/>
      <c r="D50" s="179"/>
      <c r="E50" s="31"/>
      <c r="F50" s="180"/>
      <c r="G50" s="3095"/>
      <c r="H50" s="138"/>
      <c r="I50" s="2480"/>
      <c r="J50" s="3065" t="s">
        <v>2200</v>
      </c>
      <c r="K50" s="3065"/>
      <c r="L50" s="3065"/>
      <c r="M50" s="3065"/>
      <c r="N50" s="3065"/>
      <c r="O50" s="3065"/>
    </row>
    <row r="51" spans="1:35" ht="12" customHeight="1">
      <c r="A51" s="181"/>
      <c r="B51" s="3113" t="s">
        <v>2201</v>
      </c>
      <c r="C51" s="3113"/>
      <c r="D51" s="182"/>
      <c r="E51" s="30"/>
      <c r="F51" s="180"/>
      <c r="G51" s="3096"/>
      <c r="H51" s="138"/>
      <c r="I51" s="2480"/>
      <c r="J51" s="2481" t="s">
        <v>2202</v>
      </c>
      <c r="K51" s="3065" t="s">
        <v>2203</v>
      </c>
      <c r="L51" s="3065"/>
      <c r="M51" s="2481" t="s">
        <v>2204</v>
      </c>
      <c r="N51" s="2481" t="s">
        <v>2205</v>
      </c>
      <c r="O51" s="2481" t="s">
        <v>2206</v>
      </c>
    </row>
    <row r="52" spans="1:35" ht="24" customHeight="1">
      <c r="A52" s="183" t="s">
        <v>2207</v>
      </c>
      <c r="B52" s="3113" t="s">
        <v>2208</v>
      </c>
      <c r="C52" s="3113"/>
      <c r="D52" s="182">
        <f ca="1">ROUND(D45*'数据-取费表'!B41/(1+'数据-取费表'!C42),0)</f>
        <v>150</v>
      </c>
      <c r="E52" s="11" t="s">
        <v>2209</v>
      </c>
      <c r="F52" s="184">
        <f>'数据-取费表'!B41</f>
        <v>5.5000000000000007E-2</v>
      </c>
      <c r="G52" s="2482"/>
      <c r="H52" s="138"/>
      <c r="I52" s="2480"/>
      <c r="J52" s="1809">
        <v>1</v>
      </c>
      <c r="K52" s="3088" t="s">
        <v>2210</v>
      </c>
      <c r="L52" s="3088"/>
      <c r="M52" s="1751">
        <f>D48</f>
        <v>0</v>
      </c>
      <c r="N52" s="1809" t="str">
        <f>E48</f>
        <v>销售额×税（费）率</v>
      </c>
      <c r="O52" s="1752" t="str">
        <f>F48</f>
        <v>免征</v>
      </c>
    </row>
    <row r="53" spans="1:35" ht="12" customHeight="1">
      <c r="A53" s="183" t="s">
        <v>2211</v>
      </c>
      <c r="B53" s="3114" t="s">
        <v>2212</v>
      </c>
      <c r="C53" s="3115"/>
      <c r="D53" s="182">
        <f ca="1">ROUND(D45*'数据-取费表'!B41/(1+'数据-取费表'!C42),0)</f>
        <v>150</v>
      </c>
      <c r="E53" s="11" t="s">
        <v>2209</v>
      </c>
      <c r="F53" s="184">
        <f>'数据-取费表'!B41</f>
        <v>5.5000000000000007E-2</v>
      </c>
      <c r="G53" s="2482"/>
      <c r="H53" s="138"/>
      <c r="I53" s="2480"/>
      <c r="J53" s="1809">
        <v>2</v>
      </c>
      <c r="K53" s="3088" t="s">
        <v>2213</v>
      </c>
      <c r="L53" s="3088"/>
      <c r="M53" s="1751">
        <f t="shared" ref="M53:O54" ca="1" si="0">D55</f>
        <v>1</v>
      </c>
      <c r="N53" s="1809" t="str">
        <f t="shared" si="0"/>
        <v>销售额×税（费）率</v>
      </c>
      <c r="O53" s="1752">
        <f t="shared" si="0"/>
        <v>5.0000000000000001E-4</v>
      </c>
    </row>
    <row r="54" spans="1:35" ht="12" customHeight="1">
      <c r="A54" s="183" t="s">
        <v>2214</v>
      </c>
      <c r="B54" s="3114" t="s">
        <v>2215</v>
      </c>
      <c r="C54" s="3115"/>
      <c r="D54" s="182">
        <f ca="1">C68</f>
        <v>150</v>
      </c>
      <c r="E54" s="30" t="s">
        <v>2216</v>
      </c>
      <c r="F54" s="184">
        <f>'数据-取费表'!B41</f>
        <v>5.5000000000000007E-2</v>
      </c>
      <c r="G54" s="2482"/>
      <c r="H54" s="2483"/>
      <c r="I54" s="2480"/>
      <c r="J54" s="1809">
        <v>3</v>
      </c>
      <c r="K54" s="3088" t="s">
        <v>2217</v>
      </c>
      <c r="L54" s="3088"/>
      <c r="M54" s="1751">
        <f t="shared" ca="1" si="0"/>
        <v>1619</v>
      </c>
      <c r="N54" s="1809" t="str">
        <f t="shared" si="0"/>
        <v>增值额×税（费）率</v>
      </c>
      <c r="O54" s="1753" t="str">
        <f t="shared" si="0"/>
        <v>——</v>
      </c>
    </row>
    <row r="55" spans="1:35" ht="24" customHeight="1">
      <c r="A55" s="3152" t="s">
        <v>2218</v>
      </c>
      <c r="B55" s="3134"/>
      <c r="C55" s="3134"/>
      <c r="D55" s="185">
        <f ca="1">IF(H55="个人住宅",0,ROUND(D45*I55,0))</f>
        <v>1</v>
      </c>
      <c r="E55" s="11" t="s">
        <v>2219</v>
      </c>
      <c r="F55" s="184">
        <f>IF(H55="正常",I55,"免征")</f>
        <v>5.0000000000000001E-4</v>
      </c>
      <c r="G55" s="2482"/>
      <c r="H55" s="2479" t="s">
        <v>2220</v>
      </c>
      <c r="I55" s="186">
        <f>'数据-取费表'!B49</f>
        <v>5.0000000000000001E-4</v>
      </c>
      <c r="J55" s="1809" t="str">
        <f>IF(H59="非个人房产","",4)</f>
        <v/>
      </c>
      <c r="K55" s="3088" t="str">
        <f>IF(H59="非个人房产","——","个人所得税")</f>
        <v>——</v>
      </c>
      <c r="L55" s="3088"/>
      <c r="M55" s="1754" t="str">
        <f>D59</f>
        <v>——</v>
      </c>
      <c r="N55" s="1807" t="str">
        <f>E59</f>
        <v>——</v>
      </c>
      <c r="O55" s="1755" t="str">
        <f>F59</f>
        <v>——</v>
      </c>
    </row>
    <row r="56" spans="1:35" ht="24.75">
      <c r="A56" s="3152" t="s">
        <v>2221</v>
      </c>
      <c r="B56" s="3134"/>
      <c r="C56" s="3134"/>
      <c r="D56" s="185">
        <f ca="1">IF(H56="个人住宅",D57,D58)</f>
        <v>1619</v>
      </c>
      <c r="E56" s="11" t="s">
        <v>2222</v>
      </c>
      <c r="F56" s="184" t="str">
        <f>IF(H56="正常",F58,"免征")</f>
        <v>——</v>
      </c>
      <c r="G56" s="2484" t="s">
        <v>2223</v>
      </c>
      <c r="H56" s="2485" t="s">
        <v>2220</v>
      </c>
      <c r="I56" s="2486"/>
      <c r="J56" s="1809" t="str">
        <f>IF(项目基本情况!K6="上海银行",IF(J55="",4,J55+1),"")</f>
        <v/>
      </c>
      <c r="K56" s="3071" t="str">
        <f>IF(项目基本情况!K6="上海银行","其他处置费用","")</f>
        <v/>
      </c>
      <c r="L56" s="3072"/>
      <c r="M56" s="1751" t="str">
        <f>IF(项目基本情况!K6="上海银行",M69,"")</f>
        <v/>
      </c>
      <c r="N56" s="3074" t="str">
        <f>IF(项目基本情况!K6="上海银行","包含处置中涉及的律师、诉讼、拍卖、评估等费用","")</f>
        <v/>
      </c>
      <c r="O56" s="3075"/>
    </row>
    <row r="57" spans="1:35" ht="12.75">
      <c r="A57" s="183" t="s">
        <v>2196</v>
      </c>
      <c r="B57" s="3119" t="s">
        <v>2224</v>
      </c>
      <c r="C57" s="3120"/>
      <c r="D57" s="187">
        <v>0</v>
      </c>
      <c r="E57" s="23" t="s">
        <v>2198</v>
      </c>
      <c r="F57" s="155"/>
      <c r="G57" s="2482"/>
      <c r="H57" s="2486"/>
      <c r="I57" s="2486"/>
      <c r="J57" s="3088">
        <f>IF(AND(J55="",J56=""),4,IF(项目基本情况!K6="上海银行",结果表!J56+1,结果表!J55+1))</f>
        <v>4</v>
      </c>
      <c r="K57" s="3088" t="s">
        <v>2225</v>
      </c>
      <c r="L57" s="2487" t="s">
        <v>2226</v>
      </c>
      <c r="M57" s="1756"/>
      <c r="N57" s="1757">
        <f ca="1">SUMIF(M52:M56,"&lt;9e307")</f>
        <v>1620</v>
      </c>
      <c r="O57" s="2488"/>
      <c r="P57" s="1750" t="e">
        <f ca="1">N57/M49</f>
        <v>#VALUE!</v>
      </c>
    </row>
    <row r="58" spans="1:35" ht="24.75">
      <c r="A58" s="183" t="s">
        <v>2207</v>
      </c>
      <c r="B58" s="3119" t="s">
        <v>2227</v>
      </c>
      <c r="C58" s="3132"/>
      <c r="D58" s="185">
        <f ca="1">IF(H58="转让取得",C81,C97)</f>
        <v>1619</v>
      </c>
      <c r="E58" s="11" t="s">
        <v>2222</v>
      </c>
      <c r="F58" s="24" t="s">
        <v>34</v>
      </c>
      <c r="G58" s="2482"/>
      <c r="H58" s="2485" t="s">
        <v>2228</v>
      </c>
      <c r="I58" s="2486"/>
      <c r="J58" s="3088"/>
      <c r="K58" s="3088"/>
      <c r="L58" s="2487" t="s">
        <v>2229</v>
      </c>
      <c r="M58" s="1758"/>
      <c r="N58" s="2489" t="str">
        <f ca="1">NUMBERSTRING(INT(N57*10000),2)&amp;"元整"</f>
        <v>壹仟陆佰贰拾万元整</v>
      </c>
      <c r="O58" s="2490"/>
    </row>
    <row r="59" spans="1:35" ht="24.75" thickBot="1">
      <c r="A59" s="3092" t="s">
        <v>2230</v>
      </c>
      <c r="B59" s="3093"/>
      <c r="C59" s="3093"/>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090">
        <f>J57+1</f>
        <v>5</v>
      </c>
      <c r="K59" s="3088" t="s">
        <v>2232</v>
      </c>
      <c r="L59" s="1809" t="s">
        <v>2226</v>
      </c>
      <c r="M59" s="1759"/>
      <c r="N59" s="1760" t="e">
        <f ca="1">M49-N57</f>
        <v>#VALUE!</v>
      </c>
      <c r="O59" s="2492"/>
    </row>
    <row r="60" spans="1:35" ht="12" customHeight="1">
      <c r="A60" s="2493"/>
      <c r="B60" s="2415"/>
      <c r="C60" s="2415"/>
      <c r="D60" s="2415"/>
      <c r="E60" s="2163"/>
      <c r="F60" s="2486"/>
      <c r="G60" s="2486"/>
      <c r="H60" s="2494"/>
      <c r="I60" s="138"/>
      <c r="J60" s="3091"/>
      <c r="K60" s="3088"/>
      <c r="L60" s="2487" t="s">
        <v>2229</v>
      </c>
      <c r="M60" s="1758"/>
      <c r="N60" s="2489" t="e">
        <f ca="1">NUMBERSTRING(INT(N59*10000),2)&amp;"元整"</f>
        <v>#VALUE!</v>
      </c>
      <c r="O60" s="2490"/>
    </row>
    <row r="61" spans="1:35" ht="13.5" thickBot="1">
      <c r="A61" s="3151" t="s">
        <v>2233</v>
      </c>
      <c r="B61" s="3151"/>
      <c r="C61" s="3151"/>
      <c r="D61" s="3151"/>
      <c r="E61" s="3151"/>
      <c r="F61" s="2486"/>
      <c r="G61" s="2486"/>
      <c r="H61" s="2494"/>
      <c r="I61" s="138"/>
      <c r="J61" s="1809">
        <f>J59+1</f>
        <v>6</v>
      </c>
      <c r="K61" s="3088" t="s">
        <v>2234</v>
      </c>
      <c r="L61" s="3088"/>
      <c r="M61" s="1761"/>
      <c r="N61" s="1762" t="e">
        <f ca="1">ROUND(N59*10000/'数据-汇总表'!E3,0)</f>
        <v>#VALUE!</v>
      </c>
      <c r="O61" s="2495"/>
    </row>
    <row r="62" spans="1:35" ht="12.75">
      <c r="A62" s="3108" t="s">
        <v>2235</v>
      </c>
      <c r="B62" s="3109"/>
      <c r="C62" s="1801"/>
      <c r="D62" s="1801" t="s">
        <v>2236</v>
      </c>
      <c r="E62" s="192" t="s">
        <v>2237</v>
      </c>
      <c r="F62" s="2486"/>
      <c r="G62" s="2486"/>
      <c r="H62" s="2494"/>
      <c r="I62" s="138"/>
    </row>
    <row r="63" spans="1:35" ht="12.75">
      <c r="A63" s="203" t="s">
        <v>775</v>
      </c>
      <c r="B63" s="193" t="s">
        <v>2238</v>
      </c>
      <c r="C63" s="194">
        <f ca="1">ROUND((C64+C65)/(1+'数据-取费表'!C42),0)</f>
        <v>2720</v>
      </c>
      <c r="D63" s="195"/>
      <c r="E63" s="196"/>
      <c r="F63" s="2486"/>
      <c r="G63" s="2486"/>
      <c r="H63" s="2494"/>
      <c r="I63" s="138"/>
      <c r="J63" s="3073" t="s">
        <v>2239</v>
      </c>
      <c r="K63" s="2496" t="s">
        <v>2240</v>
      </c>
      <c r="L63" s="1749" t="e">
        <f>IF(M49&gt;10000,M49*0.5%,IF(AND(M49&gt;1000,M49&lt;=10000),M49*1%,IF(AND(M49&gt;100,M49&lt;=1000),M49*3%,IF(AND(M49&gt;10,M49&lt;=100),M49*5%,M49*8%))))</f>
        <v>#VALUE!</v>
      </c>
      <c r="M63" s="24" t="e">
        <f>ROUND(L63,1)</f>
        <v>#VALUE!</v>
      </c>
      <c r="Z63" s="2420"/>
      <c r="AI63" s="2421"/>
    </row>
    <row r="64" spans="1:35" ht="14.25" customHeight="1">
      <c r="A64" s="197" t="s">
        <v>770</v>
      </c>
      <c r="B64" s="198" t="s">
        <v>2241</v>
      </c>
      <c r="C64" s="199">
        <f ca="1">D45</f>
        <v>2856</v>
      </c>
      <c r="D64" s="200" t="s">
        <v>32</v>
      </c>
      <c r="E64" s="201"/>
      <c r="F64" s="2486"/>
      <c r="G64" s="2486"/>
      <c r="H64" s="2494"/>
      <c r="I64" s="138"/>
      <c r="J64" s="3073"/>
      <c r="K64" s="2496"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0"/>
      <c r="AI64" s="2421"/>
    </row>
    <row r="65" spans="1:35" ht="14.25" customHeight="1">
      <c r="A65" s="197" t="s">
        <v>771</v>
      </c>
      <c r="B65" s="198" t="s">
        <v>2244</v>
      </c>
      <c r="C65" s="202"/>
      <c r="D65" s="200"/>
      <c r="E65" s="201"/>
      <c r="F65" s="2486"/>
      <c r="G65" s="2486"/>
      <c r="H65" s="2494"/>
      <c r="I65" s="138"/>
      <c r="J65" s="3073"/>
      <c r="K65" s="2496" t="s">
        <v>2245</v>
      </c>
      <c r="L65" s="1749" t="e">
        <f>IF(M49&gt;1000,M49*0.1%,IF(AND(M49&gt;500,M49&lt;=1000),M49*0.5%,IF(AND(M49&gt;50,M49&lt;=500),M49*1%,IF(AND(M49&gt;1,M49&lt;=50),M49*1.5%))))</f>
        <v>#VALUE!</v>
      </c>
      <c r="M65" s="24" t="e">
        <f t="shared" si="1"/>
        <v>#VALUE!</v>
      </c>
      <c r="N65" s="138" t="s">
        <v>2243</v>
      </c>
      <c r="Z65" s="2420"/>
      <c r="AI65" s="2421"/>
    </row>
    <row r="66" spans="1:35" ht="14.25" customHeight="1">
      <c r="A66" s="203" t="s">
        <v>772</v>
      </c>
      <c r="B66" s="204" t="s">
        <v>2246</v>
      </c>
      <c r="C66" s="205"/>
      <c r="D66" s="206" t="s">
        <v>32</v>
      </c>
      <c r="E66" s="1773" t="s">
        <v>1366</v>
      </c>
      <c r="F66" s="2486"/>
      <c r="G66" s="2486"/>
      <c r="H66" s="2494"/>
      <c r="I66" s="138"/>
      <c r="J66" s="3073"/>
      <c r="K66" s="2496" t="s">
        <v>2247</v>
      </c>
      <c r="L66" s="1749" t="e">
        <f>M49*0.5%</f>
        <v>#VALUE!</v>
      </c>
      <c r="M66" s="24" t="e">
        <f>IF(L66&gt;0.5,0.5,ROUND(L66,0))</f>
        <v>#VALUE!</v>
      </c>
      <c r="N66" s="138" t="s">
        <v>2248</v>
      </c>
      <c r="Z66" s="2420"/>
      <c r="AI66" s="2421"/>
    </row>
    <row r="67" spans="1:35" ht="14.25" customHeight="1">
      <c r="A67" s="203" t="s">
        <v>773</v>
      </c>
      <c r="B67" s="204" t="s">
        <v>2249</v>
      </c>
      <c r="C67" s="207">
        <f ca="1">C63-C66</f>
        <v>2720</v>
      </c>
      <c r="D67" s="200" t="s">
        <v>32</v>
      </c>
      <c r="E67" s="201"/>
      <c r="F67" s="2486"/>
      <c r="G67" s="2486"/>
      <c r="H67" s="2494"/>
      <c r="I67" s="138"/>
      <c r="J67" s="3073"/>
      <c r="K67" s="2496"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2251</v>
      </c>
      <c r="C68" s="210">
        <f ca="1">IF(C67&lt;=0,0,ROUND(C67*D68,0))</f>
        <v>150</v>
      </c>
      <c r="D68" s="211">
        <f>'数据-取费表'!B41</f>
        <v>5.5000000000000007E-2</v>
      </c>
      <c r="E68" s="212"/>
      <c r="F68" s="2486"/>
      <c r="G68" s="2486"/>
      <c r="H68" s="2494"/>
      <c r="I68" s="138"/>
      <c r="J68" s="3073"/>
      <c r="K68" s="2496" t="s">
        <v>2252</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3"/>
      <c r="G69" s="2163"/>
      <c r="H69" s="2162"/>
      <c r="I69" s="2415"/>
      <c r="J69" s="3073"/>
      <c r="K69" s="2496" t="s">
        <v>2253</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7" t="s">
        <v>2254</v>
      </c>
      <c r="B70" s="3118"/>
      <c r="C70" s="3118"/>
      <c r="D70" s="3118"/>
      <c r="E70" s="3118"/>
      <c r="F70" s="3118"/>
      <c r="G70" s="3118"/>
      <c r="H70" s="311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8" t="s">
        <v>2235</v>
      </c>
      <c r="B71" s="3109"/>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2720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14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114" t="s">
        <v>2263</v>
      </c>
      <c r="F76" s="3113"/>
      <c r="G76" s="3113"/>
      <c r="H76" s="311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14</v>
      </c>
      <c r="D78" s="226">
        <f>'数据-取费表'!B43</f>
        <v>5.000000000000001E-3</v>
      </c>
      <c r="E78" s="3105" t="s">
        <v>2268</v>
      </c>
      <c r="F78" s="3106"/>
      <c r="G78" s="3106"/>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2706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193.28571428571428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1619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7" t="s">
        <v>2272</v>
      </c>
      <c r="B83" s="3118"/>
      <c r="C83" s="3118"/>
      <c r="D83" s="3118"/>
      <c r="E83" s="3118"/>
      <c r="F83" s="3118"/>
      <c r="G83" s="3118"/>
      <c r="H83" s="311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8" t="s">
        <v>2235</v>
      </c>
      <c r="B84" s="3109"/>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2720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14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105" t="s">
        <v>2281</v>
      </c>
      <c r="F91" s="3106"/>
      <c r="G91" s="3106"/>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105" t="s">
        <v>2285</v>
      </c>
      <c r="F92" s="3106"/>
      <c r="G92" s="3106"/>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14</v>
      </c>
      <c r="D93" s="226">
        <f>'数据-取费表'!B43</f>
        <v>5.000000000000001E-3</v>
      </c>
      <c r="E93" s="3105" t="s">
        <v>2268</v>
      </c>
      <c r="F93" s="3106"/>
      <c r="G93" s="3106"/>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53" t="s">
        <v>2289</v>
      </c>
      <c r="F94" s="3154"/>
      <c r="G94" s="3154"/>
      <c r="H94" s="315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2706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193.28571428571428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1619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57" t="s">
        <v>2291</v>
      </c>
      <c r="B100" s="3058"/>
      <c r="C100" s="3058"/>
      <c r="D100" s="3089"/>
      <c r="E100" s="3058" t="s">
        <v>2292</v>
      </c>
      <c r="F100" s="3058"/>
      <c r="G100" s="3058"/>
      <c r="H100" s="3089"/>
      <c r="I100" s="138"/>
    </row>
    <row r="101" spans="1:35" ht="18.75" customHeight="1">
      <c r="A101" s="3097" t="s">
        <v>2293</v>
      </c>
      <c r="B101" s="3098"/>
      <c r="C101" s="736" t="str">
        <f>C4</f>
        <v>收益法</v>
      </c>
      <c r="D101" s="737" t="str">
        <f>D4</f>
        <v>比较法-工业</v>
      </c>
      <c r="E101" s="3069" t="s">
        <v>2294</v>
      </c>
      <c r="F101" s="3070"/>
      <c r="G101" s="2517" t="s">
        <v>2295</v>
      </c>
      <c r="H101" s="1045">
        <f ca="1">H118</f>
        <v>2856</v>
      </c>
      <c r="I101" s="138"/>
    </row>
    <row r="102" spans="1:35" ht="18.75" customHeight="1">
      <c r="A102" s="3099" t="s">
        <v>2296</v>
      </c>
      <c r="B102" s="2517" t="s">
        <v>2295</v>
      </c>
      <c r="C102" s="736">
        <f ca="1">C19</f>
        <v>2017</v>
      </c>
      <c r="D102" s="737">
        <f ca="1">D19</f>
        <v>3543</v>
      </c>
      <c r="E102" s="3069"/>
      <c r="F102" s="3070"/>
      <c r="G102" s="2517" t="s">
        <v>2297</v>
      </c>
      <c r="H102" s="371">
        <f ca="1">I118</f>
        <v>11958</v>
      </c>
      <c r="I102" s="138"/>
    </row>
    <row r="103" spans="1:35" ht="42.75" customHeight="1">
      <c r="A103" s="3099"/>
      <c r="B103" s="2517" t="s">
        <v>2297</v>
      </c>
      <c r="C103" s="738">
        <f ca="1">C20</f>
        <v>8445</v>
      </c>
      <c r="D103" s="739">
        <f ca="1">D20</f>
        <v>14836</v>
      </c>
      <c r="E103" s="3063" t="s">
        <v>2298</v>
      </c>
      <c r="F103" s="3064"/>
      <c r="G103" s="2518" t="s">
        <v>2299</v>
      </c>
      <c r="H103" s="1045">
        <f>IF(D36="正常操作",H104+H105+H106,H105+H106)</f>
        <v>0</v>
      </c>
      <c r="I103" s="138"/>
    </row>
    <row r="104" spans="1:35" ht="18.75" customHeight="1">
      <c r="A104" s="3099" t="s">
        <v>2300</v>
      </c>
      <c r="B104" s="2519" t="s">
        <v>2295</v>
      </c>
      <c r="C104" s="740">
        <f ca="1">H118</f>
        <v>2856</v>
      </c>
      <c r="D104" s="741"/>
      <c r="E104" s="2264" t="s">
        <v>2301</v>
      </c>
      <c r="F104" s="2255"/>
      <c r="G104" s="2518" t="s">
        <v>2299</v>
      </c>
      <c r="H104" s="1046">
        <f>IF(D36="同一抵押权人同一抵押物续贷",C36&amp;"（未扣减，详见特别提示）",C36)</f>
        <v>0</v>
      </c>
      <c r="I104" s="138"/>
    </row>
    <row r="105" spans="1:35" ht="18.75" customHeight="1" thickBot="1">
      <c r="A105" s="3111"/>
      <c r="B105" s="2520" t="s">
        <v>2297</v>
      </c>
      <c r="C105" s="742">
        <f ca="1">I118</f>
        <v>11958</v>
      </c>
      <c r="D105" s="743"/>
      <c r="E105" s="2264"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100" t="str">
        <f>IF(项目基本情况!E8="已注销","——","3.房地产抵押价值")</f>
        <v>3.房地产抵押价值</v>
      </c>
      <c r="F107" s="3070"/>
      <c r="G107" s="2517" t="s">
        <v>2295</v>
      </c>
      <c r="H107" s="1045">
        <f ca="1">IF(E107="——","——",H101-H103)</f>
        <v>2856</v>
      </c>
      <c r="I107" s="138"/>
    </row>
    <row r="108" spans="1:35" ht="18.75" customHeight="1">
      <c r="A108" s="138"/>
      <c r="B108" s="138"/>
      <c r="C108" s="138"/>
      <c r="D108" s="138"/>
      <c r="E108" s="3100"/>
      <c r="F108" s="3070"/>
      <c r="G108" s="2517" t="s">
        <v>2297</v>
      </c>
      <c r="H108" s="371">
        <f ca="1">ROUND(H107*10000/'数据-汇总表'!E3,0)</f>
        <v>11958</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7" t="s">
        <v>2295</v>
      </c>
      <c r="H109" s="348" t="str">
        <f>IF(E109="——","——",H101-H105-H106)</f>
        <v>——</v>
      </c>
      <c r="I109" s="138"/>
    </row>
    <row r="110" spans="1:35" ht="18.75" customHeight="1">
      <c r="A110" s="138"/>
      <c r="B110" s="138"/>
      <c r="C110" s="138"/>
      <c r="D110" s="138"/>
      <c r="E110" s="3100"/>
      <c r="F110" s="3070"/>
      <c r="G110" s="2517" t="s">
        <v>2297</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7" t="s">
        <v>2295</v>
      </c>
      <c r="H111" s="1045" t="str">
        <f>IF(E111="——","——",N59)</f>
        <v>——</v>
      </c>
      <c r="I111" s="138"/>
    </row>
    <row r="112" spans="1:35" ht="18.75" customHeight="1" thickBot="1">
      <c r="A112" s="138"/>
      <c r="B112" s="138"/>
      <c r="C112" s="138"/>
      <c r="D112" s="138"/>
      <c r="E112" s="3103"/>
      <c r="F112" s="3104"/>
      <c r="G112" s="2522" t="s">
        <v>2297</v>
      </c>
      <c r="H112" s="790" t="str">
        <f>IF(E111="——","——",N61)</f>
        <v>——</v>
      </c>
      <c r="I112" s="138"/>
    </row>
    <row r="113" spans="1:11" ht="18.75" customHeight="1">
      <c r="A113" s="138"/>
      <c r="B113" s="138"/>
      <c r="C113" s="138"/>
      <c r="D113" s="138"/>
      <c r="E113" s="3112" t="s">
        <v>2303</v>
      </c>
      <c r="F113" s="3112"/>
      <c r="G113" s="3112"/>
      <c r="H113" s="3112"/>
      <c r="I113" s="138"/>
    </row>
    <row r="114" spans="1:11" ht="3.75" customHeight="1">
      <c r="A114" s="2415"/>
      <c r="B114" s="2415"/>
      <c r="C114" s="2415"/>
      <c r="D114" s="2415"/>
      <c r="E114" s="2493"/>
      <c r="F114" s="2493"/>
      <c r="G114" s="2493"/>
      <c r="H114" s="2493"/>
      <c r="I114" s="2415"/>
    </row>
    <row r="115" spans="1:11" ht="18.75" customHeight="1">
      <c r="A115" s="3125" t="s">
        <v>2305</v>
      </c>
      <c r="B115" s="3126"/>
      <c r="C115" s="3126"/>
      <c r="D115" s="3126"/>
      <c r="E115" s="3126"/>
      <c r="F115" s="3126"/>
      <c r="G115" s="3126"/>
      <c r="H115" s="3126"/>
      <c r="I115" s="3127"/>
    </row>
    <row r="116" spans="1:11" ht="27" customHeight="1">
      <c r="A116" s="3036" t="s">
        <v>2306</v>
      </c>
      <c r="B116" s="3079" t="s">
        <v>2307</v>
      </c>
      <c r="C116" s="3079" t="s">
        <v>2308</v>
      </c>
      <c r="D116" s="3085" t="s">
        <v>2309</v>
      </c>
      <c r="E116" s="3086"/>
      <c r="F116" s="3121" t="s">
        <v>2310</v>
      </c>
      <c r="G116" s="3121"/>
      <c r="H116" s="3036" t="s">
        <v>2311</v>
      </c>
      <c r="I116" s="3036"/>
    </row>
    <row r="117" spans="1:11" ht="18.75" customHeight="1">
      <c r="A117" s="3036"/>
      <c r="B117" s="3080"/>
      <c r="C117" s="3080"/>
      <c r="D117" s="1795" t="s">
        <v>2312</v>
      </c>
      <c r="E117" s="1795" t="s">
        <v>2313</v>
      </c>
      <c r="F117" s="1795" t="s">
        <v>2312</v>
      </c>
      <c r="G117" s="1795" t="s">
        <v>2314</v>
      </c>
      <c r="H117" s="1795" t="s">
        <v>2312</v>
      </c>
      <c r="I117" s="1795" t="s">
        <v>2314</v>
      </c>
    </row>
    <row r="118" spans="1:11" ht="24.75" customHeight="1">
      <c r="A118" s="2523" t="str">
        <f>项目基本情况!S2</f>
        <v>北京市北京经济技术开发区经海三路109号院22号楼-1至5层101房地产</v>
      </c>
      <c r="B118" s="1795">
        <f>M18</f>
        <v>2388.2600000000002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2856</v>
      </c>
      <c r="I118" s="1795">
        <f ca="1">ROUND(IF(D32="楼面单价",C32,H118*10000/B118),0)</f>
        <v>11958</v>
      </c>
    </row>
    <row r="119" spans="1:11" ht="18.75" customHeight="1">
      <c r="A119" s="3036" t="s">
        <v>2315</v>
      </c>
      <c r="B119" s="3036"/>
      <c r="C119" s="3036"/>
      <c r="D119" s="3081" t="e">
        <f ca="1">NUMBERSTRING(INT(D118*10000),2)&amp;"元整"</f>
        <v>#REF!</v>
      </c>
      <c r="E119" s="3082"/>
      <c r="F119" s="3081" t="e">
        <f ca="1">NUMBERSTRING(INT(F118*10000),2)&amp;"元整"</f>
        <v>#REF!</v>
      </c>
      <c r="G119" s="3082"/>
      <c r="H119" s="3081" t="str">
        <f ca="1">NUMBERSTRING(INT(H118*10000),2)&amp;"元整"</f>
        <v>贰仟捌佰伍拾陆万元整</v>
      </c>
      <c r="I119" s="3082"/>
    </row>
    <row r="120" spans="1:11" ht="18.75" customHeight="1">
      <c r="A120" s="3076" t="str">
        <f>IF(项目基本情况!B9="房地产市场价值","",MID(E103,3,LEN(E103)-2))</f>
        <v/>
      </c>
      <c r="B120" s="3077"/>
      <c r="C120" s="3078"/>
      <c r="D120" s="3076">
        <f>H103</f>
        <v>0</v>
      </c>
      <c r="E120" s="3077"/>
      <c r="F120" s="3077"/>
      <c r="G120" s="3077"/>
      <c r="H120" s="3077"/>
      <c r="I120" s="3078"/>
      <c r="K120" s="2420" t="str">
        <f>IF(D120=0,"故，本次评估不存在"&amp;A120,"故，本次评估"&amp;A120&amp;"为人民币"&amp;D120&amp;"万元整。")</f>
        <v>故，本次评估不存在</v>
      </c>
    </row>
    <row r="121" spans="1:11" ht="18.75" customHeight="1">
      <c r="A121" s="3122" t="s">
        <v>2315</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
      </c>
      <c r="B122" s="3087"/>
      <c r="C122" s="3087"/>
      <c r="D122" s="3076">
        <f ca="1">H107</f>
        <v>2856</v>
      </c>
      <c r="E122" s="3077"/>
      <c r="F122" s="3077"/>
      <c r="G122" s="3077"/>
      <c r="H122" s="3077"/>
      <c r="I122" s="3078"/>
    </row>
    <row r="123" spans="1:11" ht="18.75" customHeight="1">
      <c r="A123" s="3036" t="s">
        <v>2315</v>
      </c>
      <c r="B123" s="3036"/>
      <c r="C123" s="3036"/>
      <c r="D123" s="3081" t="str">
        <f ca="1">NUMBERSTRING(INT(D122*10000),2)&amp;"元整"</f>
        <v>贰仟捌佰伍拾陆万元整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2315</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2315</v>
      </c>
      <c r="B127" s="3036"/>
      <c r="C127" s="3036"/>
      <c r="D127" s="3081" t="e">
        <f>NUMBERSTRING(INT(D126*10000),2)&amp;"元整"</f>
        <v>#VALUE!</v>
      </c>
      <c r="E127" s="3083"/>
      <c r="F127" s="3083"/>
      <c r="G127" s="3083"/>
      <c r="H127" s="3083"/>
      <c r="I127" s="3082"/>
    </row>
    <row r="128" spans="1:11" ht="21.75" customHeight="1">
      <c r="A128" s="3084" t="s">
        <v>2316</v>
      </c>
      <c r="B128" s="3084"/>
      <c r="C128" s="3084"/>
      <c r="D128" s="3084"/>
      <c r="E128" s="3084"/>
      <c r="F128" s="3084"/>
      <c r="G128" s="3084"/>
      <c r="H128" s="3084"/>
      <c r="I128" s="3084"/>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2319</v>
      </c>
      <c r="G135" s="2541"/>
      <c r="H135" s="2541"/>
      <c r="I135" s="2542" t="s">
        <v>2320</v>
      </c>
    </row>
    <row r="136" spans="1:35" ht="21.75" customHeight="1">
      <c r="A136" s="795"/>
      <c r="B136" s="2543"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2322</v>
      </c>
    </row>
    <row r="139" spans="1:35" ht="21.75" customHeight="1">
      <c r="A139" s="795"/>
      <c r="B139" s="2543" t="s">
        <v>2323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1064</v>
      </c>
      <c r="C2" s="243" t="s">
        <v>2326</v>
      </c>
      <c r="D2" s="2546" t="s">
        <v>70</v>
      </c>
      <c r="E2" s="1440" t="e">
        <f ca="1">SUMIF(INDIRECT("'"&amp;G2&amp;"'"&amp;"!A:A"),"承租人权益价值",INDIRECT("'"&amp;G2&amp;"'"&amp;"!c:c"))</f>
        <v>#REF!</v>
      </c>
      <c r="F2" s="2547" t="s">
        <v>2326</v>
      </c>
      <c r="G2" s="2548"/>
    </row>
    <row r="3" spans="1:9" s="244" customFormat="1" ht="18" customHeight="1" thickBot="1">
      <c r="A3" s="247" t="s">
        <v>2327</v>
      </c>
      <c r="B3" s="248">
        <f ca="1">ROUND(B2*10000/(IF(B1="",'数据-汇总表'!E3,INDIRECT("'数据-取费表'!k"&amp;$G$1))),0)</f>
        <v>4455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247</v>
      </c>
      <c r="D5" s="255" t="s">
        <v>2332</v>
      </c>
      <c r="E5" s="256" t="s">
        <v>2333</v>
      </c>
      <c r="F5" s="256" t="s">
        <v>2334</v>
      </c>
      <c r="G5" s="257"/>
    </row>
    <row r="6" spans="1:9" s="258" customFormat="1" ht="13.5" customHeight="1">
      <c r="A6" s="949" t="s">
        <v>2335</v>
      </c>
      <c r="B6" s="259" t="s">
        <v>2336</v>
      </c>
      <c r="C6" s="260">
        <f ca="1">基准地价修正!E29</f>
        <v>196</v>
      </c>
      <c r="D6" s="261"/>
      <c r="E6" s="262"/>
      <c r="F6" s="262"/>
      <c r="G6" s="263"/>
    </row>
    <row r="7" spans="1:9" s="258" customFormat="1" ht="13.5" customHeight="1">
      <c r="A7" s="949" t="s">
        <v>2337</v>
      </c>
      <c r="B7" s="259" t="s">
        <v>2338</v>
      </c>
      <c r="C7" s="264">
        <f ca="1">ROUND(C6*F7,0)</f>
        <v>6</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45</v>
      </c>
      <c r="D8" s="266"/>
      <c r="E8" s="264"/>
      <c r="F8" s="265"/>
      <c r="G8" s="2549" t="s">
        <v>3110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0" t="s">
        <v>3111</v>
      </c>
      <c r="H9" s="1390"/>
      <c r="I9" s="2551" t="s">
        <v>2342</v>
      </c>
    </row>
    <row r="10" spans="1:9" s="258" customFormat="1" ht="13.5" customHeight="1">
      <c r="A10" s="950" t="s">
        <v>801</v>
      </c>
      <c r="B10" s="268" t="s">
        <v>2343</v>
      </c>
      <c r="C10" s="269">
        <f ca="1">ROUND(D10*E10/10000,0)</f>
        <v>45</v>
      </c>
      <c r="D10" s="1032">
        <f ca="1">IF(B1="",'数据-汇总表'!E6,IF(INDIRECT("'数据-取费表'!c"&amp;$G$1)="住宅",INDIRECT("'数据-取费表'!s"&amp;$G$1),INDIRECT("'数据-取费表'!k"&amp;$G$1)+INDIRECT("'数据-取费表'!s"&amp;$G$1)))</f>
        <v>2388.2600000000002</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2388.2600000000002</v>
      </c>
      <c r="E19" s="255">
        <f>'数据-取费表'!B31</f>
        <v>200</v>
      </c>
      <c r="F19" s="275"/>
      <c r="G19" s="2549" t="s">
        <v>3112</v>
      </c>
    </row>
    <row r="20" spans="1:7" s="258" customFormat="1" ht="13.5" customHeight="1">
      <c r="A20" s="299" t="s">
        <v>2356</v>
      </c>
      <c r="B20" s="254" t="s">
        <v>2357</v>
      </c>
      <c r="C20" s="276">
        <f ca="1">ROUND((C5+C19)*F20,0)</f>
        <v>7</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11</v>
      </c>
      <c r="D22" s="279">
        <f ca="1">C26</f>
        <v>6.9999999999999999E-4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11</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25</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25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672</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597</v>
      </c>
      <c r="D34" s="261"/>
      <c r="E34" s="264"/>
      <c r="F34" s="301">
        <f ca="1">IF('数据-取费表'!B24=0,1,IF(B1="",'数据-取费表'!N16,INDIRECT("'数据-取费表'!n"&amp;$G$1)))</f>
        <v>1</v>
      </c>
      <c r="G34" s="263" t="s">
        <v>2389</v>
      </c>
    </row>
    <row r="35" spans="1:7" ht="13.5" customHeight="1">
      <c r="A35" s="951" t="s">
        <v>796</v>
      </c>
      <c r="B35" s="259" t="s">
        <v>2390</v>
      </c>
      <c r="C35" s="264">
        <f ca="1">ROUND(C34*F35,0)</f>
        <v>18</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48</v>
      </c>
      <c r="D37" s="261">
        <f ca="1">D19</f>
        <v>2388.2600000000002</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20</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v>
      </c>
      <c r="D41" s="279">
        <f ca="1">C44</f>
        <v>6.9999999999999999E-4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15</v>
      </c>
      <c r="D42" s="282"/>
      <c r="E42" s="282"/>
      <c r="F42" s="283"/>
      <c r="G42" s="3156" t="s">
        <v>2407</v>
      </c>
    </row>
    <row r="43" spans="1:7" ht="13.5" customHeight="1">
      <c r="A43" s="951" t="s">
        <v>792</v>
      </c>
      <c r="B43" s="259" t="s">
        <v>2408</v>
      </c>
      <c r="C43" s="282">
        <f ca="1">ROUND(IF('数据-取费表'!B22&lt;=1,C39*F22*'数据-取费表'!B21/2,C39*(POWER((1+F22),'数据-取费表'!B21/2)-1)),0)</f>
        <v>0</v>
      </c>
      <c r="D43" s="282"/>
      <c r="E43" s="282"/>
      <c r="F43" s="283"/>
      <c r="G43" s="3157"/>
    </row>
    <row r="44" spans="1:7" ht="13.5" customHeight="1">
      <c r="A44" s="951" t="s">
        <v>793</v>
      </c>
      <c r="B44" s="259" t="s">
        <v>2409</v>
      </c>
      <c r="C44" s="282">
        <f ca="1">ROUND(IF('数据-取费表'!B22&lt;=1,C40*F22*'数据-取费表'!B21/2,C40*(POWER((1+F22),'数据-取费表'!B21/2)-1)),4)</f>
        <v>6.9999999999999999E-4</v>
      </c>
      <c r="D44" s="282"/>
      <c r="E44" s="282"/>
      <c r="F44" s="283"/>
      <c r="G44" s="3158"/>
    </row>
    <row r="45" spans="1:7" s="258" customFormat="1" ht="13.5" customHeight="1">
      <c r="A45" s="299" t="s">
        <v>2410</v>
      </c>
      <c r="B45" s="288" t="s">
        <v>2376</v>
      </c>
      <c r="C45" s="289">
        <f ca="1">C46</f>
        <v>69</v>
      </c>
      <c r="D45" s="279">
        <f ca="1">C47</f>
        <v>3.0000000000000001E-3</v>
      </c>
      <c r="E45" s="280" t="s">
        <v>2402</v>
      </c>
      <c r="F45" s="290"/>
      <c r="G45" s="291" t="s">
        <v>2411</v>
      </c>
    </row>
    <row r="46" spans="1:7" s="258" customFormat="1" ht="13.5" customHeight="1">
      <c r="A46" s="951" t="s">
        <v>791</v>
      </c>
      <c r="B46" s="292" t="s">
        <v>2412</v>
      </c>
      <c r="C46" s="293">
        <f ca="1">ROUND((C33+C39)*F27,0)</f>
        <v>69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849</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747</v>
      </c>
      <c r="D51" s="276"/>
      <c r="E51" s="276"/>
      <c r="F51" s="308"/>
      <c r="G51" s="278" t="s">
        <v>2423</v>
      </c>
    </row>
    <row r="52" spans="1:7" s="252" customFormat="1" ht="16.5" thickBot="1">
      <c r="A52" s="309" t="s">
        <v>2424</v>
      </c>
      <c r="B52" s="310"/>
      <c r="C52" s="311">
        <f ca="1">C31+C51</f>
        <v>1064</v>
      </c>
      <c r="D52" s="310"/>
      <c r="E52" s="310"/>
      <c r="F52" s="310"/>
      <c r="G52" s="312"/>
    </row>
    <row r="55" spans="1:7" ht="15">
      <c r="B55" s="314" t="s">
        <v>2425</v>
      </c>
      <c r="C55" s="315"/>
    </row>
    <row r="56" spans="1:7">
      <c r="B56" s="317" t="s">
        <v>1507</v>
      </c>
      <c r="C56" s="319">
        <f ca="1">1-C57</f>
        <v>0.29800000000000004</v>
      </c>
    </row>
    <row r="57" spans="1:7">
      <c r="B57" s="317" t="s">
        <v>1508</v>
      </c>
      <c r="C57" s="318">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北京市北京经济技术开发区经海三路109号院22号楼-1至5层101房地产市场价值预评估</v>
      </c>
      <c r="C37" s="2970"/>
      <c r="D37" s="2970"/>
      <c r="E37" s="2970"/>
      <c r="F37" s="2970"/>
      <c r="G37" s="2970"/>
      <c r="H37" s="2970"/>
      <c r="I37" s="2970"/>
    </row>
    <row r="38" spans="1:9">
      <c r="A38" s="1016"/>
      <c r="B38" s="1016"/>
    </row>
    <row r="39" spans="1:9">
      <c r="A39" s="1014" t="s">
        <v>818</v>
      </c>
      <c r="B39" s="1014" t="s">
        <v>820</v>
      </c>
    </row>
    <row r="40" spans="1:9">
      <c r="A40" s="1014"/>
      <c r="B40" s="1941" t="str">
        <f>项目基本情况!B5</f>
        <v>北京圣庄科技有限公司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2"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867</v>
      </c>
      <c r="C2" s="243" t="s">
        <v>2326</v>
      </c>
      <c r="D2" s="2546" t="s">
        <v>70</v>
      </c>
      <c r="E2" s="1440"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3630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453769</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453769</v>
      </c>
      <c r="D8" s="266"/>
      <c r="E8" s="264"/>
      <c r="F8" s="265"/>
      <c r="G8" s="2549"/>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453769</v>
      </c>
      <c r="D10" s="1032">
        <f ca="1">IF(B1="",'数据-汇总表'!E6,IF(INDIRECT("'数据-取费表'!c"&amp;$G$1)="住宅",INDIRECT("'数据-取费表'!s"&amp;$G$1),INDIRECT("'数据-取费表'!k"&amp;$G$1)+INDIRECT("'数据-取费表'!s"&amp;$G$1)))</f>
        <v>2388.2600000000002</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477652</v>
      </c>
      <c r="D19" s="1036">
        <f ca="1">D9+D10</f>
        <v>2388.2600000000002</v>
      </c>
      <c r="E19" s="255">
        <f>'数据-取费表'!B31</f>
        <v>200</v>
      </c>
      <c r="F19" s="275"/>
      <c r="G19" s="2549"/>
    </row>
    <row r="20" spans="1:7" s="258" customFormat="1" ht="13.5" customHeight="1">
      <c r="A20" s="299" t="s">
        <v>2437</v>
      </c>
      <c r="B20" s="254" t="s">
        <v>2438</v>
      </c>
      <c r="C20" s="276">
        <f ca="1">ROUND((C5+C19)*F20,0)</f>
        <v>27943</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41125</v>
      </c>
      <c r="D22" s="279">
        <f ca="1">C26</f>
        <v>6.9999999999999999E-4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19739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20778</v>
      </c>
      <c r="D24" s="282"/>
      <c r="E24" s="282"/>
      <c r="F24" s="283"/>
      <c r="G24" s="284" t="s">
        <v>2449</v>
      </c>
    </row>
    <row r="25" spans="1:7" s="258" customFormat="1" ht="24">
      <c r="A25" s="951" t="s">
        <v>2339</v>
      </c>
      <c r="B25" s="259" t="s">
        <v>2450</v>
      </c>
      <c r="C25" s="1381">
        <f ca="1">ROUND(IF('数据-取费表'!B22&lt;=1,C20*F22*'数据-取费表'!B22/2,C20*(POWER((1+F22),'数据-取费表'!B22/2)-1)),0)</f>
        <v>608</v>
      </c>
      <c r="D25" s="282"/>
      <c r="E25" s="285"/>
      <c r="F25" s="283"/>
      <c r="G25" s="286" t="s">
        <v>2451</v>
      </c>
    </row>
    <row r="26" spans="1:7" s="258" customFormat="1">
      <c r="A26" s="951"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95936</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ROUND((C5+C19+C20)*F27,0)</f>
        <v>95936</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1199721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6716982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5970650</v>
      </c>
      <c r="D34" s="261"/>
      <c r="E34" s="264"/>
      <c r="F34" s="301"/>
      <c r="G34" s="263"/>
    </row>
    <row r="35" spans="1:7" ht="13.5" customHeight="1">
      <c r="A35" s="951" t="s">
        <v>796</v>
      </c>
      <c r="B35" s="259" t="s">
        <v>2390</v>
      </c>
      <c r="C35" s="264">
        <f ca="1">ROUND(C34*F35,0)</f>
        <v>179120</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477652</v>
      </c>
      <c r="D37" s="261">
        <f ca="1">D19</f>
        <v>2388.2600000000002</v>
      </c>
      <c r="E37" s="293">
        <f>'数据-取费表'!B35</f>
        <v>200</v>
      </c>
      <c r="F37" s="303"/>
      <c r="G37" s="305"/>
    </row>
    <row r="38" spans="1:7" ht="13.5" customHeight="1">
      <c r="A38" s="951" t="s">
        <v>799</v>
      </c>
      <c r="B38" s="259" t="s">
        <v>2396</v>
      </c>
      <c r="C38" s="264">
        <f ca="1">ROUND(C34*F38,0)</f>
        <v>89560</v>
      </c>
      <c r="D38" s="264"/>
      <c r="E38" s="264"/>
      <c r="F38" s="303">
        <f>'数据-取费表'!B36</f>
        <v>1.4999999999999999E-2</v>
      </c>
      <c r="G38" s="263" t="s">
        <v>2391</v>
      </c>
    </row>
    <row r="39" spans="1:7" s="258" customFormat="1" ht="13.5" customHeight="1">
      <c r="A39" s="299" t="s">
        <v>2397</v>
      </c>
      <c r="B39" s="254" t="s">
        <v>2398</v>
      </c>
      <c r="C39" s="276">
        <f ca="1">ROUND(C33*F20,0)</f>
        <v>201509</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150477</v>
      </c>
      <c r="D41" s="279">
        <f ca="1">C44</f>
        <v>6.9999999999999999E-4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146094</v>
      </c>
      <c r="D42" s="282"/>
      <c r="E42" s="282"/>
      <c r="F42" s="283"/>
      <c r="G42" s="3156" t="s">
        <v>2454</v>
      </c>
    </row>
    <row r="43" spans="1:7" ht="13.5" customHeight="1">
      <c r="A43" s="951" t="s">
        <v>792</v>
      </c>
      <c r="B43" s="259" t="s">
        <v>2408</v>
      </c>
      <c r="C43" s="282">
        <f ca="1">ROUND(IF('数据-取费表'!B22&lt;=1,C39*F22*'数据-取费表'!B20/2,C39*(POWER((1+F22),'数据-取费表'!B20/2)-1)),0)</f>
        <v>4383</v>
      </c>
      <c r="D43" s="282"/>
      <c r="E43" s="282"/>
      <c r="F43" s="283"/>
      <c r="G43" s="3157"/>
    </row>
    <row r="44" spans="1:7" ht="13.5" customHeight="1">
      <c r="A44" s="951" t="s">
        <v>793</v>
      </c>
      <c r="B44" s="259" t="s">
        <v>2409</v>
      </c>
      <c r="C44" s="282">
        <f ca="1">ROUND(IF('数据-取费表'!B22&lt;=1,C40*F22*'数据-取费表'!B20/2,C40*(POWER((1+F22),'数据-取费表'!B20/2)-1)),4)</f>
        <v>6.9999999999999999E-4</v>
      </c>
      <c r="D44" s="282"/>
      <c r="E44" s="282"/>
      <c r="F44" s="283"/>
      <c r="G44" s="3158"/>
    </row>
    <row r="45" spans="1:7" s="258" customFormat="1" ht="13.5" customHeight="1">
      <c r="A45" s="299" t="s">
        <v>2410</v>
      </c>
      <c r="B45" s="288" t="s">
        <v>2376</v>
      </c>
      <c r="C45" s="289">
        <f ca="1">C46</f>
        <v>691849</v>
      </c>
      <c r="D45" s="279">
        <f ca="1">C47</f>
        <v>3.0000000000000001E-3</v>
      </c>
      <c r="E45" s="280" t="s">
        <v>2402</v>
      </c>
      <c r="F45" s="290"/>
      <c r="G45" s="291" t="s">
        <v>2411</v>
      </c>
    </row>
    <row r="46" spans="1:7" s="258" customFormat="1" ht="13.5" customHeight="1">
      <c r="A46" s="951" t="s">
        <v>791</v>
      </c>
      <c r="B46" s="292" t="s">
        <v>2412</v>
      </c>
      <c r="C46" s="293">
        <f ca="1">ROUND((C33+C39)*F27,0)</f>
        <v>691849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8491976</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7472939</v>
      </c>
      <c r="D51" s="276"/>
      <c r="E51" s="276"/>
      <c r="F51" s="308"/>
      <c r="G51" s="278" t="s">
        <v>2423</v>
      </c>
    </row>
    <row r="52" spans="1:7" s="252" customFormat="1" ht="16.5" thickBot="1">
      <c r="A52" s="309" t="s">
        <v>2424</v>
      </c>
      <c r="B52" s="310"/>
      <c r="C52" s="311">
        <f ca="1">C31+C51</f>
        <v>8672660</v>
      </c>
      <c r="D52" s="310"/>
      <c r="E52" s="310"/>
      <c r="F52" s="310"/>
      <c r="G52" s="312"/>
    </row>
    <row r="55" spans="1:7" ht="15">
      <c r="B55" s="314" t="s">
        <v>2425</v>
      </c>
      <c r="C55" s="315"/>
    </row>
    <row r="56" spans="1:7">
      <c r="B56" s="317" t="s">
        <v>1507</v>
      </c>
      <c r="C56" s="319">
        <f ca="1">1-C57</f>
        <v>0.13800000000000001</v>
      </c>
    </row>
    <row r="57" spans="1:7">
      <c r="B57" s="317" t="s">
        <v>1508</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3" t="s">
        <v>2463</v>
      </c>
      <c r="D5" s="2553" t="s">
        <v>2464</v>
      </c>
      <c r="E5" s="2553" t="s">
        <v>2465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2388.2600000000002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2388.2600000000002</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45</v>
      </c>
      <c r="D20" s="1033">
        <f ca="1">IF(C1="",'数据-汇总表'!E6,IF(INDIRECT("'数据-取费表'!c"&amp;$K$1)="住宅",INDIRECT("'数据-取费表'!s"&amp;$K$1),INDIRECT("'数据-取费表'!k"&amp;$K$1)+INDIRECT("'数据-取费表'!s"&amp;$K$1)))</f>
        <v>2388.2600000000002</v>
      </c>
      <c r="E20" s="24">
        <f>'数据-取费表'!B28</f>
        <v>190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2507</v>
      </c>
      <c r="B28" s="2558"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9"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A19" zoomScale="70" zoomScaleNormal="70" zoomScaleSheetLayoutView="90" workbookViewId="0">
      <selection activeCell="J44" sqref="J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3074</v>
      </c>
      <c r="D1" s="1820" t="s">
        <v>70</v>
      </c>
      <c r="E1" s="1821" t="s">
        <v>1381</v>
      </c>
      <c r="F1" s="1283">
        <f ca="1">J53</f>
        <v>42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2017</v>
      </c>
      <c r="C2" s="1845" t="s">
        <v>1510</v>
      </c>
      <c r="D2" s="1845"/>
      <c r="E2" s="1846"/>
      <c r="F2" s="1847"/>
      <c r="G2" s="1848"/>
      <c r="H2" s="1840"/>
      <c r="I2" s="1840"/>
      <c r="J2" s="1840"/>
      <c r="K2" s="1841"/>
      <c r="L2" s="1840"/>
      <c r="M2" s="1840"/>
    </row>
    <row r="3" spans="1:37" ht="18" customHeight="1" thickBot="1">
      <c r="A3" s="1849" t="s">
        <v>1511</v>
      </c>
      <c r="B3" s="1850">
        <f ca="1">IF(ISERROR(B2*10000/F43),0,ROUND(B2*10000/F43,0))</f>
        <v>8445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133.19999999999999</v>
      </c>
      <c r="D5" s="1822" t="s">
        <v>1396</v>
      </c>
      <c r="E5" s="1293"/>
      <c r="F5" s="1294"/>
      <c r="G5" s="1851"/>
      <c r="H5" s="344">
        <v>1</v>
      </c>
      <c r="I5" s="345" t="s">
        <v>1395</v>
      </c>
      <c r="J5" s="1292">
        <f ca="1">J6+J10+J12</f>
        <v>0</v>
      </c>
      <c r="K5" s="1822" t="s">
        <v>1396</v>
      </c>
      <c r="L5" s="1293"/>
      <c r="M5" s="1294"/>
    </row>
    <row r="6" spans="1:37" ht="18" customHeight="1">
      <c r="A6" s="1291" t="s">
        <v>1031</v>
      </c>
      <c r="B6" s="3161" t="s">
        <v>1397</v>
      </c>
      <c r="C6" s="1296">
        <f ca="1">ROUND(F6*F8*F7*(1-F9)/10000,0)</f>
        <v>133</v>
      </c>
      <c r="D6" s="164" t="s">
        <v>3028</v>
      </c>
      <c r="E6" s="347" t="s">
        <v>1399</v>
      </c>
      <c r="F6" s="348">
        <f ca="1">INDIRECT("'数据-取费表'!u"&amp;$G$1)</f>
        <v>1.8</v>
      </c>
      <c r="G6" s="1851"/>
      <c r="H6" s="1291" t="s">
        <v>1031</v>
      </c>
      <c r="I6" s="3161" t="s">
        <v>1397</v>
      </c>
      <c r="J6" s="346">
        <f ca="1">ROUND(M6*M8*M7*(1-M9)/10000,0)</f>
        <v>0</v>
      </c>
      <c r="K6" s="164" t="s">
        <v>3027</v>
      </c>
      <c r="L6" s="347" t="s">
        <v>1399</v>
      </c>
      <c r="M6" s="348">
        <f ca="1">INDIRECT("'数据-取费表'!z"&amp;$G$1)</f>
        <v>0</v>
      </c>
    </row>
    <row r="7" spans="1:37" ht="18" customHeight="1">
      <c r="A7" s="1295"/>
      <c r="B7" s="3162"/>
      <c r="C7" s="1297"/>
      <c r="D7" s="352"/>
      <c r="E7" s="1298" t="s">
        <v>1400</v>
      </c>
      <c r="F7" s="348">
        <f ca="1">IF(INDIRECT("'数据-取费表'!ah"&amp;$G$1)="",INDIRECT("'数据-取费表'!k"&amp;$G$1),INDIRECT("'数据-取费表'!ah"&amp;$G$1))</f>
        <v>2388.2600000000002</v>
      </c>
      <c r="G7" s="1851"/>
      <c r="H7" s="349"/>
      <c r="I7" s="3162"/>
      <c r="J7" s="351"/>
      <c r="K7" s="352"/>
      <c r="L7" s="347" t="s">
        <v>1400</v>
      </c>
      <c r="M7" s="348">
        <f ca="1">F7</f>
        <v>2388.2600000000002</v>
      </c>
    </row>
    <row r="8" spans="1:37" ht="18" customHeight="1">
      <c r="A8" s="349"/>
      <c r="B8" s="3162"/>
      <c r="C8" s="351"/>
      <c r="D8" s="352"/>
      <c r="E8" s="347" t="s">
        <v>1401</v>
      </c>
      <c r="F8" s="348">
        <f ca="1">INDIRECT("'数据-取费表'!ai"&amp;$G$1)</f>
        <v>365</v>
      </c>
      <c r="G8" s="1851"/>
      <c r="H8" s="349"/>
      <c r="I8" s="3162"/>
      <c r="J8" s="351"/>
      <c r="K8" s="352"/>
      <c r="L8" s="347" t="s">
        <v>1401</v>
      </c>
      <c r="M8" s="348">
        <f ca="1">INDIRECT("'数据-取费表'!ai"&amp;$G$1)</f>
        <v>365</v>
      </c>
    </row>
    <row r="9" spans="1:37" ht="18" customHeight="1">
      <c r="A9" s="349"/>
      <c r="B9" s="3163"/>
      <c r="C9" s="351"/>
      <c r="D9" s="352"/>
      <c r="E9" s="347" t="s">
        <v>1402</v>
      </c>
      <c r="F9" s="357">
        <f ca="1">INDIRECT("'数据-取费表'!w"&amp;$G$1)</f>
        <v>0.15</v>
      </c>
      <c r="G9" s="1851"/>
      <c r="H9" s="349"/>
      <c r="I9" s="3163"/>
      <c r="J9" s="351"/>
      <c r="K9" s="352"/>
      <c r="L9" s="358" t="s">
        <v>1402</v>
      </c>
      <c r="M9" s="359">
        <f ca="1">INDIRECT("'数据-取费表'!ab"&amp;$G$1)</f>
        <v>0</v>
      </c>
    </row>
    <row r="10" spans="1:37" ht="18" customHeight="1">
      <c r="A10" s="1291" t="s">
        <v>1035</v>
      </c>
      <c r="B10" s="1823" t="s">
        <v>1403</v>
      </c>
      <c r="C10" s="361">
        <f ca="1">ROUND(IF(F10="押一",C6/12*F11,IF(F10="押二",C6/12*2*F11,IF(F10="押三",C6/12*3*F11,C11*F11))),1)</f>
        <v>0.2</v>
      </c>
      <c r="D10" s="1824" t="s">
        <v>3037</v>
      </c>
      <c r="E10" s="358" t="s">
        <v>1404</v>
      </c>
      <c r="F10" s="1366" t="s">
        <v>3075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747</v>
      </c>
      <c r="D13" s="1331" t="s">
        <v>1409</v>
      </c>
      <c r="E13" s="1331" t="s">
        <v>1410</v>
      </c>
      <c r="F13" s="1332">
        <f ca="1">INDIRECT("'数据-取费表'!y"&amp;$G$1)</f>
        <v>0.88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597</v>
      </c>
      <c r="D14" s="1800" t="s">
        <v>1412</v>
      </c>
      <c r="E14" s="1794"/>
      <c r="F14" s="364"/>
      <c r="G14" s="1851"/>
      <c r="H14" s="1201" t="s">
        <v>1031</v>
      </c>
      <c r="I14" s="347" t="s">
        <v>1413</v>
      </c>
      <c r="J14" s="24">
        <f ca="1">C29</f>
        <v>849</v>
      </c>
      <c r="K14" s="15"/>
      <c r="L14" s="979"/>
      <c r="M14" s="980"/>
    </row>
    <row r="15" spans="1:37" s="1858" customFormat="1" ht="18" customHeight="1" thickBot="1">
      <c r="A15" s="1201" t="s">
        <v>1032</v>
      </c>
      <c r="B15" s="347" t="s">
        <v>1414</v>
      </c>
      <c r="C15" s="24">
        <f ca="1">ROUND(C14*F15,0)</f>
        <v>18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21</v>
      </c>
      <c r="K16" s="1337" t="s">
        <v>1419</v>
      </c>
      <c r="L16" s="1338"/>
      <c r="M16" s="1294"/>
    </row>
    <row r="17" spans="1:37" s="1858" customFormat="1" ht="18" customHeight="1">
      <c r="A17" s="1201" t="s">
        <v>1384</v>
      </c>
      <c r="B17" s="347" t="s">
        <v>1420</v>
      </c>
      <c r="C17" s="24">
        <f ca="1">ROUND(F17*(F43+INDIRECT("'数据-取费表'!S"&amp;$G$1))/10000,0)</f>
        <v>48</v>
      </c>
      <c r="D17" s="347" t="s">
        <v>1421</v>
      </c>
      <c r="E17" s="347" t="s">
        <v>1422</v>
      </c>
      <c r="F17" s="26">
        <f>'数据-取费表'!B35</f>
        <v>200</v>
      </c>
      <c r="G17" s="1854"/>
      <c r="H17" s="1201" t="s">
        <v>1031</v>
      </c>
      <c r="I17" s="347" t="s">
        <v>1423</v>
      </c>
      <c r="J17" s="24">
        <f ca="1">ROUND(IF(项目基本情况!B11="自然人",J6*M17/(1+'数据-取费表'!C42),J18+J19+J20),1)</f>
        <v>7.1</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672</v>
      </c>
      <c r="D19" s="140" t="s">
        <v>1430</v>
      </c>
      <c r="E19" s="1818"/>
      <c r="F19" s="26"/>
      <c r="G19" s="1851"/>
      <c r="H19" s="1201" t="s">
        <v>1032</v>
      </c>
      <c r="I19" s="347" t="s">
        <v>1431</v>
      </c>
      <c r="J19" s="24">
        <f ca="1">IF(K19="按租金收入计税",ROUND(J6*M19/(1+'数据-取费表'!C42),2),ROUND(C29*M19*0.7,2))</f>
        <v>7.13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20</v>
      </c>
      <c r="D20" s="369" t="s">
        <v>1434</v>
      </c>
      <c r="E20" s="347" t="s">
        <v>1416</v>
      </c>
      <c r="F20" s="367">
        <f>'数据-取费表'!B37</f>
        <v>0.03</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13.6</v>
      </c>
      <c r="K22" s="1798" t="s">
        <v>1444</v>
      </c>
      <c r="L22" s="347" t="s">
        <v>1416</v>
      </c>
      <c r="M22" s="374">
        <f ca="1">INDIRECT("'数据-取费表'!Ak"&amp;$G$1)</f>
        <v>1.6E-2</v>
      </c>
    </row>
    <row r="23" spans="1:37" s="1858" customFormat="1" ht="18" customHeight="1">
      <c r="A23" s="1201" t="s">
        <v>1030</v>
      </c>
      <c r="B23" s="347" t="s">
        <v>1445</v>
      </c>
      <c r="C23" s="24">
        <f ca="1">IF('数据-取费表'!B22&lt;=1,ROUND(C19*F24*F23/2,0)+ROUND(C20*F24*F23/2,0),ROUND(C19*(POWER((1+F24),F23/2)-1),0)+ROUND(C20*(POWER((1+F24),F23/2)-1),0))</f>
        <v>15</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-21</v>
      </c>
      <c r="K25" s="1345" t="s">
        <v>1458</v>
      </c>
      <c r="L25" s="1346"/>
      <c r="M25" s="1347"/>
    </row>
    <row r="26" spans="1:37">
      <c r="A26" s="1201" t="s">
        <v>1030</v>
      </c>
      <c r="B26" s="347" t="s">
        <v>1459</v>
      </c>
      <c r="C26" s="24">
        <f ca="1">ROUND((C19+C20)*F26,0)</f>
        <v>69</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849</v>
      </c>
      <c r="D29" s="1342"/>
      <c r="E29" s="1340"/>
      <c r="F29" s="1343"/>
      <c r="G29" s="1854"/>
      <c r="H29" s="380" t="s">
        <v>1029</v>
      </c>
      <c r="I29" s="381" t="s">
        <v>1473</v>
      </c>
      <c r="J29" s="382">
        <f ca="1">ROUND(J26/(1+F40)^F41,0)</f>
        <v>0</v>
      </c>
      <c r="K29" s="383" t="s">
        <v>1474</v>
      </c>
      <c r="L29" s="384"/>
      <c r="M29" s="385">
        <f ca="1">INDIRECT("'数据-取费表'!k"&amp;$G$1)</f>
        <v>2388.2600000000002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22.2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6.97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15.2</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13.6</v>
      </c>
      <c r="D36" s="1798" t="s">
        <v>1476</v>
      </c>
      <c r="E36" s="347" t="s">
        <v>1416</v>
      </c>
      <c r="F36" s="374">
        <f ca="1">INDIRECT("'数据-取费表'!Ak"&amp;$G$1)</f>
        <v>1.6E-2</v>
      </c>
      <c r="G36" s="1851"/>
      <c r="H36" s="1859"/>
      <c r="I36" s="1860"/>
      <c r="J36" s="1861"/>
      <c r="K36" s="751"/>
      <c r="L36" s="1859"/>
      <c r="M36" s="1859"/>
    </row>
    <row r="37" spans="1:18" ht="18" customHeight="1">
      <c r="A37" s="1201" t="s">
        <v>1071</v>
      </c>
      <c r="B37" s="347" t="s">
        <v>1447</v>
      </c>
      <c r="C37" s="24">
        <f ca="1">ROUND(C13*F37,1)</f>
        <v>1.5</v>
      </c>
      <c r="D37" s="1798" t="s">
        <v>1448</v>
      </c>
      <c r="E37" s="347" t="s">
        <v>1449</v>
      </c>
      <c r="F37" s="376">
        <f ca="1">INDIRECT("'数据-取费表'!Al"&amp;$G$1)</f>
        <v>2E-3</v>
      </c>
      <c r="G37" s="1851"/>
      <c r="H37" s="1859"/>
      <c r="I37" s="1860"/>
      <c r="J37" s="1861"/>
      <c r="K37" s="751"/>
      <c r="L37" s="1859"/>
      <c r="M37" s="1859"/>
    </row>
    <row r="38" spans="1:18" ht="18" customHeight="1" thickBot="1">
      <c r="A38" s="1339" t="s">
        <v>1387</v>
      </c>
      <c r="B38" s="1340" t="s">
        <v>1433</v>
      </c>
      <c r="C38" s="1341">
        <f ca="1">ROUND(C5*F38,1)</f>
        <v>2.7</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93.199999999999989</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2017</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8445</v>
      </c>
      <c r="D43" s="383" t="s">
        <v>1482</v>
      </c>
      <c r="E43" s="384" t="s">
        <v>1483</v>
      </c>
      <c r="F43" s="385">
        <f ca="1">INDIRECT("'数据-取费表'!k"&amp;$G$1)</f>
        <v>2388.2600000000002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-3416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2017</v>
      </c>
      <c r="R47" s="1886" t="s">
        <v>1523</v>
      </c>
    </row>
    <row r="48" spans="1:18" s="1842" customFormat="1" ht="28.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42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2013</v>
      </c>
      <c r="K49" s="1889" t="s">
        <v>1529</v>
      </c>
      <c r="L49" s="1893"/>
      <c r="O49" s="1894" t="s">
        <v>1038</v>
      </c>
      <c r="P49" s="1885" t="s">
        <v>1530</v>
      </c>
      <c r="Q49" s="1886">
        <f ca="1">C29</f>
        <v>849</v>
      </c>
      <c r="R49" s="1886" t="s">
        <v>1523</v>
      </c>
    </row>
    <row r="50" spans="1:18" s="1842" customFormat="1" ht="13.5" thickBot="1">
      <c r="A50" s="1195"/>
      <c r="B50" s="1198"/>
      <c r="C50" s="1368"/>
      <c r="D50" s="1172"/>
      <c r="E50" s="1277" t="s">
        <v>1400</v>
      </c>
      <c r="F50" s="1278">
        <f ca="1">F7</f>
        <v>2388.2600000000002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53</v>
      </c>
      <c r="K51" s="1900" t="s">
        <v>1535</v>
      </c>
      <c r="L51" s="1901">
        <f ca="1">ROUND(-PV(INDIRECT("'数据-取费表'!h"&amp;$G$1),L48,(C39-C13*C76),0),0)</f>
        <v>518</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42</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49">
        <f ca="1">IF(M47="住宅",IF(D1="——",MAX(J51,L48),MAX(J51,L48-'数据-取费表'!B24)),IF(D1="——",MIN(J51,L48),MIN(J51,L48-'数据-取费表'!B24)))</f>
        <v>42</v>
      </c>
      <c r="K53" s="3159" t="s">
        <v>1542</v>
      </c>
      <c r="L53" s="3160"/>
      <c r="O53" s="1884" t="s">
        <v>1042</v>
      </c>
      <c r="P53" s="1885" t="s">
        <v>1543</v>
      </c>
      <c r="Q53" s="1886">
        <f ca="1">Q47+Q48</f>
        <v>2017</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747</v>
      </c>
      <c r="D56" s="1913"/>
      <c r="E56" s="1914"/>
      <c r="F56" s="1906"/>
      <c r="I56" s="1915" t="s">
        <v>1548</v>
      </c>
      <c r="J56" s="1916" t="s">
        <v>3068</v>
      </c>
      <c r="K56" s="1887" t="s">
        <v>1549</v>
      </c>
      <c r="L56" s="1890" t="str">
        <f ca="1">IF(L48&lt;J51,"——",L48-J53)</f>
        <v>——</v>
      </c>
      <c r="O56" s="1884" t="s">
        <v>1036</v>
      </c>
      <c r="P56" s="1885" t="s">
        <v>1522</v>
      </c>
      <c r="Q56" s="1886">
        <f ca="1">C40+J29</f>
        <v>2017</v>
      </c>
      <c r="R56" s="1886" t="s">
        <v>1523</v>
      </c>
    </row>
    <row r="57" spans="1:18" s="1842" customFormat="1" ht="24.75" thickBot="1">
      <c r="A57" s="1917"/>
      <c r="B57" s="1169" t="s">
        <v>1472</v>
      </c>
      <c r="C57" s="282">
        <f ca="1">C29</f>
        <v>849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86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71.3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71.319999999999993</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2017</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13.6</v>
      </c>
      <c r="D64" s="1183" t="s">
        <v>1496</v>
      </c>
      <c r="E64" s="1169" t="s">
        <v>1488</v>
      </c>
      <c r="F64" s="374">
        <f t="shared" ca="1" si="0"/>
        <v>1.6E-2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1.5</v>
      </c>
      <c r="D65" s="1183" t="s">
        <v>1448</v>
      </c>
      <c r="E65" s="1169" t="s">
        <v>1449</v>
      </c>
      <c r="F65" s="376">
        <f t="shared" ca="1" si="0"/>
        <v>2E-3</v>
      </c>
      <c r="I65" s="1928" t="s">
        <v>1573</v>
      </c>
      <c r="J65" s="1929">
        <v>40</v>
      </c>
      <c r="K65" s="1929">
        <v>30</v>
      </c>
      <c r="L65" s="1929">
        <v>50</v>
      </c>
      <c r="M65" s="1931">
        <v>0.02</v>
      </c>
      <c r="O65" s="1884" t="s">
        <v>1036</v>
      </c>
      <c r="P65" s="1885" t="s">
        <v>1574</v>
      </c>
      <c r="Q65" s="1886">
        <f ca="1">C40+J29</f>
        <v>2017</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-86</v>
      </c>
      <c r="D67" s="1182" t="s">
        <v>1458</v>
      </c>
      <c r="E67" s="1187"/>
      <c r="F67" s="1188"/>
      <c r="O67" s="1894" t="s">
        <v>1038</v>
      </c>
      <c r="P67" s="1885" t="s">
        <v>1556</v>
      </c>
      <c r="Q67" s="1932">
        <f ca="1">L51</f>
        <v>518</v>
      </c>
      <c r="R67" s="1886" t="s">
        <v>1576</v>
      </c>
    </row>
    <row r="68" spans="1:18" s="1842" customFormat="1" ht="16.5" thickBot="1">
      <c r="A68" s="1166" t="s">
        <v>1028</v>
      </c>
      <c r="B68" s="1167" t="s">
        <v>1479</v>
      </c>
      <c r="C68" s="346">
        <f ca="1">ROUND(C67*(1-((1+F70)/(1+F68))^F69)/(F68-F70),0)</f>
        <v>-1399</v>
      </c>
      <c r="D68" s="1184" t="s">
        <v>1463</v>
      </c>
      <c r="E68" s="1169" t="s">
        <v>1464</v>
      </c>
      <c r="F68" s="357">
        <f ca="1">F40</f>
        <v>5.5E-2</v>
      </c>
      <c r="O68" s="1894" t="s">
        <v>1039</v>
      </c>
      <c r="P68" s="1933" t="s">
        <v>1577</v>
      </c>
      <c r="Q68" s="1886">
        <f ca="1">ROUND(Q69-Q70*Q71,0)</f>
        <v>30</v>
      </c>
      <c r="R68" s="1886" t="s">
        <v>1047</v>
      </c>
    </row>
    <row r="69" spans="1:18" s="1842" customFormat="1" ht="13.5" thickBot="1">
      <c r="A69" s="1170"/>
      <c r="B69" s="1171"/>
      <c r="C69" s="351"/>
      <c r="D69" s="1189" t="s">
        <v>1467</v>
      </c>
      <c r="E69" s="1169" t="s">
        <v>1468</v>
      </c>
      <c r="F69" s="379">
        <f ca="1">F41</f>
        <v>42</v>
      </c>
      <c r="O69" s="1894" t="s">
        <v>1044</v>
      </c>
      <c r="P69" s="1933" t="s">
        <v>1578</v>
      </c>
      <c r="Q69" s="1886">
        <f ca="1">C39</f>
        <v>93.199999999999989</v>
      </c>
      <c r="R69" s="1886" t="s">
        <v>1523</v>
      </c>
    </row>
    <row r="70" spans="1:18" s="1842" customFormat="1" ht="13.5" thickBot="1">
      <c r="A70" s="1173"/>
      <c r="B70" s="1174"/>
      <c r="C70" s="355"/>
      <c r="D70" s="1185"/>
      <c r="E70" s="1169" t="s">
        <v>1471</v>
      </c>
      <c r="F70" s="1275"/>
      <c r="O70" s="1894" t="s">
        <v>1045</v>
      </c>
      <c r="P70" s="1933" t="s">
        <v>1579</v>
      </c>
      <c r="Q70" s="1886">
        <f ca="1">C13</f>
        <v>747</v>
      </c>
      <c r="R70" s="1886" t="s">
        <v>1523</v>
      </c>
    </row>
    <row r="71" spans="1:18" s="1842" customFormat="1" ht="13.5" thickBot="1">
      <c r="A71" s="1190" t="s">
        <v>1029</v>
      </c>
      <c r="B71" s="1191" t="s">
        <v>1481</v>
      </c>
      <c r="C71" s="382">
        <f ca="1">ROUND(C68*10000/F71,0)</f>
        <v>-5858</v>
      </c>
      <c r="D71" s="1192" t="s">
        <v>1482</v>
      </c>
      <c r="E71" s="1193" t="s">
        <v>1483</v>
      </c>
      <c r="F71" s="385">
        <f ca="1">F43</f>
        <v>2388.2600000000002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63</v>
      </c>
      <c r="D75" s="1842"/>
      <c r="E75" s="1842"/>
      <c r="F75" s="1842"/>
      <c r="K75" s="1868"/>
      <c r="L75" s="1842"/>
      <c r="O75" s="1884" t="s">
        <v>1042</v>
      </c>
      <c r="P75" s="1885" t="s">
        <v>1543</v>
      </c>
      <c r="Q75" s="1886">
        <f ca="1">Q65+Q66</f>
        <v>2017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0.32399999999999995</v>
      </c>
    </row>
    <row r="80" spans="1:18">
      <c r="B80" s="386" t="s">
        <v>1505</v>
      </c>
      <c r="C80" s="318">
        <f ca="1">ROUND(C75/C39,3)</f>
        <v>0.67600000000000005</v>
      </c>
    </row>
    <row r="81" spans="2:3">
      <c r="B81" s="314" t="s">
        <v>1506</v>
      </c>
      <c r="C81" s="282"/>
    </row>
    <row r="82" spans="2:3">
      <c r="B82" s="317" t="s">
        <v>1507</v>
      </c>
      <c r="C82" s="319">
        <f ca="1">1-C83</f>
        <v>0.63</v>
      </c>
    </row>
    <row r="83" spans="2:3">
      <c r="B83" s="317" t="s">
        <v>1508</v>
      </c>
      <c r="C83" s="318">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61" t="s">
        <v>1397</v>
      </c>
      <c r="C6" s="1296">
        <f ca="1">ROUND(F6*F8*F7*(1-F9),0)</f>
        <v>0</v>
      </c>
      <c r="D6" s="164" t="s">
        <v>3025</v>
      </c>
      <c r="E6" s="347" t="s">
        <v>1399</v>
      </c>
      <c r="F6" s="348">
        <f ca="1">INDIRECT("'数据-取费表'!u"&amp;$G$1)</f>
        <v>0</v>
      </c>
      <c r="G6" s="1851"/>
      <c r="H6" s="1291" t="s">
        <v>1031</v>
      </c>
      <c r="I6" s="3161" t="s">
        <v>1397</v>
      </c>
      <c r="J6" s="346">
        <f ca="1">ROUND(M6*M8*M7*(1-M9),0)</f>
        <v>0</v>
      </c>
      <c r="K6" s="1834" t="s">
        <v>3026</v>
      </c>
      <c r="L6" s="347" t="s">
        <v>1399</v>
      </c>
      <c r="M6" s="348">
        <f ca="1">INDIRECT("'数据-取费表'!z"&amp;$G$1)</f>
        <v>0</v>
      </c>
    </row>
    <row r="7" spans="1:37" ht="18" customHeight="1">
      <c r="A7" s="1295"/>
      <c r="B7" s="3162"/>
      <c r="C7" s="1297"/>
      <c r="D7" s="352"/>
      <c r="E7" s="1298" t="s">
        <v>1400</v>
      </c>
      <c r="F7" s="348">
        <f ca="1">IF(INDIRECT("'数据-取费表'!ah"&amp;$G$1)="",INDIRECT("'数据-取费表'!k"&amp;$G$1),INDIRECT("'数据-取费表'!ah"&amp;$G$1))</f>
        <v>0</v>
      </c>
      <c r="G7" s="1851"/>
      <c r="H7" s="349"/>
      <c r="I7" s="3162"/>
      <c r="J7" s="351"/>
      <c r="K7" s="352"/>
      <c r="L7" s="347" t="s">
        <v>1400</v>
      </c>
      <c r="M7" s="348">
        <f ca="1">F7</f>
        <v>0</v>
      </c>
    </row>
    <row r="8" spans="1:37" ht="18" customHeight="1">
      <c r="A8" s="349"/>
      <c r="B8" s="3162"/>
      <c r="C8" s="351"/>
      <c r="D8" s="352"/>
      <c r="E8" s="347" t="s">
        <v>1401</v>
      </c>
      <c r="F8" s="348">
        <f ca="1">INDIRECT("'数据-取费表'!ai"&amp;$G$1)</f>
        <v>0</v>
      </c>
      <c r="G8" s="1851"/>
      <c r="H8" s="349"/>
      <c r="I8" s="3162"/>
      <c r="J8" s="351"/>
      <c r="K8" s="352"/>
      <c r="L8" s="347" t="s">
        <v>1401</v>
      </c>
      <c r="M8" s="348">
        <f ca="1">INDIRECT("'数据-取费表'!ai"&amp;$G$1)</f>
        <v>0</v>
      </c>
    </row>
    <row r="9" spans="1:37" ht="18" customHeight="1">
      <c r="A9" s="349"/>
      <c r="B9" s="3163"/>
      <c r="C9" s="351"/>
      <c r="D9" s="352"/>
      <c r="E9" s="347" t="s">
        <v>1402</v>
      </c>
      <c r="F9" s="357">
        <f ca="1">INDIRECT("'数据-取费表'!w"&amp;$G$1)</f>
        <v>0</v>
      </c>
      <c r="G9" s="1851"/>
      <c r="H9" s="349"/>
      <c r="I9" s="316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49">
        <f ca="1">IF(M47="住宅",IF(D1="——",MAX(J51,L48),MAX(J51,L48-'数据-取费表'!B24)),IF(D1="——",MIN(J51,L48),MIN(J51,L48-'数据-取费表'!B24)))</f>
        <v>0</v>
      </c>
      <c r="K53" s="3159" t="s">
        <v>1542</v>
      </c>
      <c r="L53" s="3160"/>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2524</v>
      </c>
      <c r="B1" s="2561"/>
      <c r="C1" s="2561"/>
      <c r="D1" s="2561"/>
      <c r="E1" s="2562"/>
    </row>
    <row r="2" spans="1:6" ht="15.75">
      <c r="A2" s="2563" t="s">
        <v>2325</v>
      </c>
      <c r="B2" s="2564">
        <f ca="1">SUMIF(B6:B13,"&lt;&gt;#ref!",B6:B13)</f>
        <v>2017</v>
      </c>
      <c r="C2" s="2565" t="s">
        <v>2517</v>
      </c>
      <c r="D2" s="2566" t="s">
        <v>2518</v>
      </c>
      <c r="E2" s="2567">
        <f>SUM(E6:E13)</f>
        <v>2388.2600000000002</v>
      </c>
    </row>
    <row r="3" spans="1:6" ht="15.75">
      <c r="A3" s="2563" t="s">
        <v>1389</v>
      </c>
      <c r="B3" s="2564">
        <f ca="1">ROUND(B2*10000/E2,0)</f>
        <v>8445</v>
      </c>
      <c r="C3" s="2565" t="s">
        <v>2525</v>
      </c>
      <c r="D3" s="2568"/>
      <c r="E3" s="2569"/>
    </row>
    <row r="4" spans="1:6" ht="15.75">
      <c r="A4" s="2570"/>
      <c r="B4" s="2568"/>
      <c r="C4" s="2568"/>
      <c r="D4" s="2568"/>
      <c r="E4" s="2569"/>
    </row>
    <row r="5" spans="1:6" ht="15">
      <c r="A5" s="2571" t="s">
        <v>2519</v>
      </c>
      <c r="B5" s="3164" t="s">
        <v>2520</v>
      </c>
      <c r="C5" s="3164"/>
      <c r="D5" s="2572"/>
      <c r="E5" s="2573" t="s">
        <v>2521</v>
      </c>
      <c r="F5" s="2574" t="s">
        <v>2522</v>
      </c>
    </row>
    <row r="6" spans="1:6">
      <c r="A6" s="2575" t="str">
        <f>'数据-取费表'!AN6</f>
        <v>收益法</v>
      </c>
      <c r="B6" s="2574">
        <f ca="1">IF(F6="是",'数据-取费表'!AO6,0)</f>
        <v>2017</v>
      </c>
      <c r="C6" s="2565" t="s">
        <v>2517</v>
      </c>
      <c r="D6" s="2568"/>
      <c r="E6" s="2576">
        <f>IF(OR(A6=0,F6="否"),0,'数据-取费表'!K6+'数据-取费表'!S6)</f>
        <v>2388.2600000000002</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5" t="s">
        <v>1072</v>
      </c>
      <c r="B1" s="3166"/>
      <c r="C1" s="3167"/>
      <c r="D1" s="3168">
        <f>SUM(I10,I15,I20,I21,I23)</f>
        <v>0</v>
      </c>
      <c r="E1" s="3168"/>
      <c r="F1" s="3168"/>
      <c r="G1" s="3168"/>
      <c r="H1" s="3168"/>
      <c r="I1" s="3169"/>
    </row>
    <row r="2" spans="1:9">
      <c r="A2" s="3170" t="s">
        <v>1073</v>
      </c>
      <c r="B2" s="3171" t="s">
        <v>1074</v>
      </c>
      <c r="C2" s="3171"/>
      <c r="D2" s="1301" t="s">
        <v>1075</v>
      </c>
      <c r="E2" s="1301" t="s">
        <v>1076</v>
      </c>
      <c r="F2" s="1301" t="s">
        <v>1077</v>
      </c>
      <c r="G2" s="1301" t="s">
        <v>1078</v>
      </c>
      <c r="H2" s="1301" t="s">
        <v>1079</v>
      </c>
      <c r="I2" s="1302" t="s">
        <v>1080</v>
      </c>
    </row>
    <row r="3" spans="1:9">
      <c r="A3" s="3170"/>
      <c r="B3" s="3171" t="s">
        <v>1081</v>
      </c>
      <c r="C3" s="3171"/>
      <c r="D3" s="1303"/>
      <c r="E3" s="1301"/>
      <c r="F3" s="1304"/>
      <c r="G3" s="1304"/>
      <c r="H3" s="1305"/>
      <c r="I3" s="1306">
        <f>ROUND(D3*E3*F3*G3*H3/10000,0)</f>
        <v>0</v>
      </c>
    </row>
    <row r="4" spans="1:9">
      <c r="A4" s="3170"/>
      <c r="B4" s="3171" t="s">
        <v>1082</v>
      </c>
      <c r="C4" s="3171"/>
      <c r="D4" s="1303"/>
      <c r="E4" s="1301"/>
      <c r="F4" s="1304"/>
      <c r="G4" s="1304"/>
      <c r="H4" s="1305"/>
      <c r="I4" s="1306">
        <f t="shared" ref="I4:I9" si="0">ROUND(D4*E4*F4*G4*H4/10000,0)</f>
        <v>0</v>
      </c>
    </row>
    <row r="5" spans="1:9">
      <c r="A5" s="3170"/>
      <c r="B5" s="3171" t="s">
        <v>1083</v>
      </c>
      <c r="C5" s="3171"/>
      <c r="D5" s="1303"/>
      <c r="E5" s="1301"/>
      <c r="F5" s="1304"/>
      <c r="G5" s="1304"/>
      <c r="H5" s="1305"/>
      <c r="I5" s="1306">
        <f t="shared" si="0"/>
        <v>0</v>
      </c>
    </row>
    <row r="6" spans="1:9">
      <c r="A6" s="3170"/>
      <c r="B6" s="3171" t="s">
        <v>1084</v>
      </c>
      <c r="C6" s="3171"/>
      <c r="D6" s="1303"/>
      <c r="E6" s="1301"/>
      <c r="F6" s="1304"/>
      <c r="G6" s="1304"/>
      <c r="H6" s="1305"/>
      <c r="I6" s="1306">
        <f t="shared" si="0"/>
        <v>0</v>
      </c>
    </row>
    <row r="7" spans="1:9">
      <c r="A7" s="3170"/>
      <c r="B7" s="3171" t="s">
        <v>1085</v>
      </c>
      <c r="C7" s="3171"/>
      <c r="D7" s="1303"/>
      <c r="E7" s="1301"/>
      <c r="F7" s="1304"/>
      <c r="G7" s="1304"/>
      <c r="H7" s="1305"/>
      <c r="I7" s="1306">
        <f t="shared" si="0"/>
        <v>0</v>
      </c>
    </row>
    <row r="8" spans="1:9">
      <c r="A8" s="3170"/>
      <c r="B8" s="3171" t="s">
        <v>1086</v>
      </c>
      <c r="C8" s="3171"/>
      <c r="D8" s="1303"/>
      <c r="E8" s="1301"/>
      <c r="F8" s="1304"/>
      <c r="G8" s="1304"/>
      <c r="H8" s="1305"/>
      <c r="I8" s="1306">
        <f t="shared" si="0"/>
        <v>0</v>
      </c>
    </row>
    <row r="9" spans="1:9">
      <c r="A9" s="3170"/>
      <c r="B9" s="3171" t="s">
        <v>1087</v>
      </c>
      <c r="C9" s="3171"/>
      <c r="D9" s="1303"/>
      <c r="E9" s="1301"/>
      <c r="F9" s="1304"/>
      <c r="G9" s="1304"/>
      <c r="H9" s="1305"/>
      <c r="I9" s="1306">
        <f t="shared" si="0"/>
        <v>0</v>
      </c>
    </row>
    <row r="10" spans="1:9">
      <c r="A10" s="3170"/>
      <c r="B10" s="3172" t="s">
        <v>1088</v>
      </c>
      <c r="C10" s="3172"/>
      <c r="D10" s="1307"/>
      <c r="E10" s="1307" t="e">
        <f>ROUND(D1*10000/D10/H9,0)</f>
        <v>#DIV/0!</v>
      </c>
      <c r="F10" s="1308"/>
      <c r="G10" s="1308"/>
      <c r="H10" s="1309"/>
      <c r="I10" s="1310">
        <f>SUM(I3:I9)</f>
        <v>0</v>
      </c>
    </row>
    <row r="11" spans="1:9" ht="14.25">
      <c r="A11" s="3170" t="s">
        <v>1089</v>
      </c>
      <c r="B11" s="3171" t="s">
        <v>1090</v>
      </c>
      <c r="C11" s="3171"/>
      <c r="D11" s="1303" t="s">
        <v>1091</v>
      </c>
      <c r="E11" s="1303" t="s">
        <v>1092</v>
      </c>
      <c r="F11" s="1304" t="s">
        <v>1093</v>
      </c>
      <c r="G11" s="1304" t="s">
        <v>1079</v>
      </c>
      <c r="H11" s="1311" t="s">
        <v>1094</v>
      </c>
      <c r="I11" s="1302" t="s">
        <v>1080</v>
      </c>
    </row>
    <row r="12" spans="1:9">
      <c r="A12" s="3170"/>
      <c r="B12" s="3171" t="s">
        <v>1095</v>
      </c>
      <c r="C12" s="3171"/>
      <c r="D12" s="1303"/>
      <c r="E12" s="1303"/>
      <c r="F12" s="1304"/>
      <c r="G12" s="1305"/>
      <c r="H12" s="1312"/>
      <c r="I12" s="1302">
        <f>ROUND(D12*E12*F12*G12/10000,0)</f>
        <v>0</v>
      </c>
    </row>
    <row r="13" spans="1:9">
      <c r="A13" s="3170"/>
      <c r="B13" s="3171" t="s">
        <v>1096</v>
      </c>
      <c r="C13" s="3171"/>
      <c r="D13" s="1303"/>
      <c r="E13" s="1303"/>
      <c r="F13" s="1304"/>
      <c r="G13" s="1305"/>
      <c r="H13" s="1312"/>
      <c r="I13" s="1302">
        <f>ROUND(D13*E13*F13*G13/10000,0)</f>
        <v>0</v>
      </c>
    </row>
    <row r="14" spans="1:9">
      <c r="A14" s="3170"/>
      <c r="B14" s="3171" t="s">
        <v>1097</v>
      </c>
      <c r="C14" s="3171"/>
      <c r="D14" s="1303"/>
      <c r="E14" s="1303"/>
      <c r="F14" s="1304"/>
      <c r="G14" s="1305"/>
      <c r="H14" s="1312"/>
      <c r="I14" s="1302">
        <f>ROUND(D14*E14*F14*G14/10000,0)</f>
        <v>0</v>
      </c>
    </row>
    <row r="15" spans="1:9">
      <c r="A15" s="3170"/>
      <c r="B15" s="3172" t="s">
        <v>1088</v>
      </c>
      <c r="C15" s="3172"/>
      <c r="D15" s="1307"/>
      <c r="E15" s="1307">
        <f>SUM(E12:E14)</f>
        <v>0</v>
      </c>
      <c r="F15" s="1308"/>
      <c r="G15" s="1305"/>
      <c r="H15" s="1312"/>
      <c r="I15" s="1313">
        <f>SUM(I12:I14)</f>
        <v>0</v>
      </c>
    </row>
    <row r="16" spans="1:9" ht="24">
      <c r="A16" s="3170" t="s">
        <v>1098</v>
      </c>
      <c r="B16" s="3171" t="s">
        <v>1099</v>
      </c>
      <c r="C16" s="3171"/>
      <c r="D16" s="1303" t="s">
        <v>1075</v>
      </c>
      <c r="E16" s="1314" t="s">
        <v>1100</v>
      </c>
      <c r="F16" s="1304" t="s">
        <v>1101</v>
      </c>
      <c r="G16" s="1305" t="s">
        <v>1079</v>
      </c>
      <c r="H16" s="1311" t="s">
        <v>1094</v>
      </c>
      <c r="I16" s="1302" t="s">
        <v>1080</v>
      </c>
    </row>
    <row r="17" spans="1:9" ht="14.25">
      <c r="A17" s="3170"/>
      <c r="B17" s="3171" t="s">
        <v>1102</v>
      </c>
      <c r="C17" s="3171"/>
      <c r="D17" s="1303"/>
      <c r="E17" s="1303"/>
      <c r="F17" s="1304"/>
      <c r="G17" s="1305"/>
      <c r="H17" s="1315"/>
      <c r="I17" s="1316">
        <f>ROUND(D17*E17*F17*G17/10000,0)</f>
        <v>0</v>
      </c>
    </row>
    <row r="18" spans="1:9" ht="14.25">
      <c r="A18" s="3170"/>
      <c r="B18" s="3171" t="s">
        <v>1103</v>
      </c>
      <c r="C18" s="3171"/>
      <c r="D18" s="1303"/>
      <c r="E18" s="1303"/>
      <c r="F18" s="1304"/>
      <c r="G18" s="1305"/>
      <c r="H18" s="1315"/>
      <c r="I18" s="1316">
        <f>ROUND(D18*E18*F18*G18/10000,0)</f>
        <v>0</v>
      </c>
    </row>
    <row r="19" spans="1:9" ht="14.25">
      <c r="A19" s="3170"/>
      <c r="B19" s="3171" t="s">
        <v>1104</v>
      </c>
      <c r="C19" s="3171"/>
      <c r="D19" s="1303"/>
      <c r="E19" s="1303"/>
      <c r="F19" s="1304"/>
      <c r="G19" s="1305"/>
      <c r="H19" s="1315"/>
      <c r="I19" s="1316">
        <f>ROUND(D19*E19*F19*G19/10000,0)</f>
        <v>0</v>
      </c>
    </row>
    <row r="20" spans="1:9">
      <c r="A20" s="3170"/>
      <c r="B20" s="3172" t="s">
        <v>1088</v>
      </c>
      <c r="C20" s="3172"/>
      <c r="D20" s="1307">
        <f>SUM(D17:D19)</f>
        <v>0</v>
      </c>
      <c r="E20" s="1307"/>
      <c r="F20" s="1308"/>
      <c r="G20" s="1305"/>
      <c r="H20" s="1312"/>
      <c r="I20" s="1313">
        <f>SUM(I17:I19)</f>
        <v>0</v>
      </c>
    </row>
    <row r="21" spans="1:9">
      <c r="A21" s="3170" t="s">
        <v>1105</v>
      </c>
      <c r="B21" s="3174"/>
      <c r="C21" s="3174"/>
      <c r="D21" s="3174"/>
      <c r="E21" s="3174"/>
      <c r="F21" s="3174"/>
      <c r="G21" s="3174"/>
      <c r="H21" s="1765">
        <v>0.1</v>
      </c>
      <c r="I21" s="1310">
        <f>ROUND(I10*H21,0)</f>
        <v>0</v>
      </c>
    </row>
    <row r="22" spans="1:9" ht="14.25">
      <c r="A22" s="3175" t="s">
        <v>1106</v>
      </c>
      <c r="B22" s="3176"/>
      <c r="C22" s="3177"/>
      <c r="D22" s="1317" t="s">
        <v>1107</v>
      </c>
      <c r="E22" s="1317" t="s">
        <v>1108</v>
      </c>
      <c r="F22" s="1318" t="s">
        <v>1109</v>
      </c>
      <c r="G22" s="1318" t="s">
        <v>1110</v>
      </c>
      <c r="H22" s="1311" t="s">
        <v>1111</v>
      </c>
      <c r="I22" s="1302" t="s">
        <v>1112</v>
      </c>
    </row>
    <row r="23" spans="1:9" ht="14.25" thickBot="1">
      <c r="A23" s="3178"/>
      <c r="B23" s="3179"/>
      <c r="C23" s="3180"/>
      <c r="D23" s="1319"/>
      <c r="E23" s="1319"/>
      <c r="F23" s="1319"/>
      <c r="G23" s="1320"/>
      <c r="H23" s="1321"/>
      <c r="I23" s="1322">
        <f>ROUND(E23*D23*F23*(1-G23)/10000,0)</f>
        <v>0</v>
      </c>
    </row>
    <row r="26" spans="1:9">
      <c r="A26" s="1323" t="s">
        <v>1113</v>
      </c>
      <c r="B26" s="1323"/>
      <c r="C26" s="1323"/>
      <c r="D26" s="1323"/>
      <c r="E26" s="3181">
        <f>C27-C30-C31-C32</f>
        <v>0</v>
      </c>
      <c r="F26" s="3181"/>
      <c r="G26" s="3181"/>
      <c r="H26" s="1737" t="s">
        <v>1335</v>
      </c>
    </row>
    <row r="27" spans="1:9">
      <c r="A27" s="1324">
        <v>1</v>
      </c>
      <c r="B27" s="1325" t="s">
        <v>1114</v>
      </c>
      <c r="C27" s="1325">
        <f>C28+C29</f>
        <v>0</v>
      </c>
      <c r="D27" s="1325"/>
      <c r="E27" s="3182"/>
      <c r="F27" s="3182"/>
      <c r="G27" s="3182"/>
    </row>
    <row r="28" spans="1:9">
      <c r="A28" s="1326" t="s">
        <v>1115</v>
      </c>
      <c r="B28" s="1325" t="s">
        <v>1116</v>
      </c>
      <c r="C28" s="1325"/>
      <c r="D28" s="1325"/>
      <c r="E28" s="3182"/>
      <c r="F28" s="3182"/>
      <c r="G28" s="318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3"/>
      <c r="F32" s="3173"/>
      <c r="G32" s="3173"/>
    </row>
    <row r="33" spans="1:7" hidden="1">
      <c r="A33" s="3183" t="s">
        <v>1125</v>
      </c>
      <c r="B33" s="3184"/>
      <c r="C33" s="3184"/>
      <c r="D33" s="3185"/>
      <c r="E33" s="3181"/>
      <c r="F33" s="3181"/>
      <c r="G33" s="3181"/>
    </row>
    <row r="34" spans="1:7" hidden="1">
      <c r="A34" s="1328">
        <v>1</v>
      </c>
      <c r="B34" s="1325" t="s">
        <v>1126</v>
      </c>
      <c r="C34" s="1325"/>
      <c r="D34" s="1325"/>
      <c r="E34" s="3182"/>
      <c r="F34" s="3182"/>
      <c r="G34" s="3182"/>
    </row>
    <row r="35" spans="1:7" hidden="1">
      <c r="A35" s="1328">
        <v>2</v>
      </c>
      <c r="B35" s="1325" t="s">
        <v>1127</v>
      </c>
      <c r="C35" s="1325"/>
      <c r="D35" s="1325"/>
      <c r="E35" s="3182"/>
      <c r="F35" s="3182"/>
      <c r="G35" s="3182"/>
    </row>
    <row r="36" spans="1:7" hidden="1">
      <c r="A36" s="1328">
        <v>3</v>
      </c>
      <c r="B36" s="1325" t="s">
        <v>1128</v>
      </c>
      <c r="C36" s="1325"/>
      <c r="D36" s="1325"/>
      <c r="E36" s="3182"/>
      <c r="F36" s="3182"/>
      <c r="G36" s="3182"/>
    </row>
    <row r="37" spans="1:7" hidden="1">
      <c r="A37" s="1328">
        <v>4</v>
      </c>
      <c r="B37" s="1325" t="s">
        <v>1129</v>
      </c>
      <c r="C37" s="1325"/>
      <c r="D37" s="1325"/>
      <c r="E37" s="3182"/>
      <c r="F37" s="3182"/>
      <c r="G37" s="3182"/>
    </row>
    <row r="38" spans="1:7" hidden="1">
      <c r="A38" s="3183" t="s">
        <v>1130</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2532</v>
      </c>
      <c r="D3" s="399">
        <f>IF(D1="",'数据-汇总表'!E3,SUMIF('数据-汇总表'!$C19:$C33,D1,'数据-汇总表'!$E19:$E33))</f>
        <v>2388.2600000000002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2533</v>
      </c>
      <c r="B4" s="402"/>
      <c r="C4" s="3204" t="s">
        <v>2534</v>
      </c>
      <c r="D4" s="3205"/>
      <c r="E4" s="3206" t="s">
        <v>2535</v>
      </c>
      <c r="F4" s="3207"/>
      <c r="G4" s="3204" t="s">
        <v>2536</v>
      </c>
      <c r="H4" s="3205"/>
      <c r="I4" s="3204" t="s">
        <v>2537</v>
      </c>
      <c r="J4" s="3205"/>
      <c r="K4" s="2595" t="s">
        <v>2538</v>
      </c>
      <c r="L4" s="1130"/>
      <c r="M4" s="1131"/>
      <c r="N4" s="1131"/>
      <c r="O4" s="1131"/>
      <c r="P4" s="3208" t="s">
        <v>2539</v>
      </c>
      <c r="Q4" s="3209"/>
      <c r="R4" s="3191" t="s">
        <v>2535</v>
      </c>
      <c r="S4" s="3192"/>
      <c r="T4" s="3191" t="s">
        <v>2536</v>
      </c>
      <c r="U4" s="3192"/>
      <c r="V4" s="3216" t="s">
        <v>2537</v>
      </c>
      <c r="W4" s="3216"/>
      <c r="X4" s="1813"/>
      <c r="Y4" s="3191" t="s">
        <v>2539</v>
      </c>
      <c r="Z4" s="3192"/>
      <c r="AA4" s="3186" t="s">
        <v>2535</v>
      </c>
      <c r="AB4" s="3186" t="s">
        <v>2536</v>
      </c>
      <c r="AC4" s="3186" t="s">
        <v>2537</v>
      </c>
    </row>
    <row r="5" spans="1:29" ht="15">
      <c r="A5" s="404"/>
      <c r="B5" s="405"/>
      <c r="C5" s="3197" t="s">
        <v>2540</v>
      </c>
      <c r="D5" s="3198"/>
      <c r="E5" s="3195" t="s">
        <v>2541</v>
      </c>
      <c r="F5" s="3196"/>
      <c r="G5" s="3197" t="s">
        <v>2542</v>
      </c>
      <c r="H5" s="3198"/>
      <c r="I5" s="3197" t="s">
        <v>2543</v>
      </c>
      <c r="J5" s="3198"/>
      <c r="K5" s="2596"/>
      <c r="L5" s="1130"/>
      <c r="M5" s="1131"/>
      <c r="N5" s="1131"/>
      <c r="O5" s="1131"/>
      <c r="P5" s="3210"/>
      <c r="Q5" s="3211"/>
      <c r="R5" s="3193"/>
      <c r="S5" s="3194"/>
      <c r="T5" s="3193"/>
      <c r="U5" s="3194"/>
      <c r="V5" s="3216"/>
      <c r="W5" s="3216"/>
      <c r="X5" s="1813"/>
      <c r="Y5" s="3193"/>
      <c r="Z5" s="3194"/>
      <c r="AA5" s="3187"/>
      <c r="AB5" s="3187"/>
      <c r="AC5" s="3187"/>
    </row>
    <row r="6" spans="1:29" ht="15.75" thickBot="1">
      <c r="A6" s="406"/>
      <c r="B6" s="407"/>
      <c r="C6" s="3199" t="s">
        <v>2544</v>
      </c>
      <c r="D6" s="3200"/>
      <c r="E6" s="3201" t="s">
        <v>2544</v>
      </c>
      <c r="F6" s="3202"/>
      <c r="G6" s="3199" t="s">
        <v>2544</v>
      </c>
      <c r="H6" s="3200"/>
      <c r="I6" s="3199" t="s">
        <v>2544</v>
      </c>
      <c r="J6" s="3200"/>
      <c r="K6" s="2596" t="s">
        <v>2545</v>
      </c>
      <c r="L6" s="1130"/>
      <c r="M6" s="1131"/>
      <c r="N6" s="1131"/>
      <c r="O6" s="1131"/>
      <c r="P6" s="3212"/>
      <c r="Q6" s="3213"/>
      <c r="R6" s="3193"/>
      <c r="S6" s="3194"/>
      <c r="T6" s="3214"/>
      <c r="U6" s="3215"/>
      <c r="V6" s="3216"/>
      <c r="W6" s="3216"/>
      <c r="X6" s="1813"/>
      <c r="Y6" s="3214"/>
      <c r="Z6" s="3215"/>
      <c r="AA6" s="3188"/>
      <c r="AB6" s="3188"/>
      <c r="AC6" s="3188"/>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9" t="s">
        <v>2547</v>
      </c>
      <c r="Q7" s="3217"/>
      <c r="R7" s="770" t="s">
        <v>23</v>
      </c>
      <c r="S7" s="771">
        <f t="shared" ref="S7:S15" si="0">F7</f>
        <v>0</v>
      </c>
      <c r="T7" s="770" t="s">
        <v>23</v>
      </c>
      <c r="U7" s="771">
        <f t="shared" ref="U7:U15" si="1">H7</f>
        <v>0</v>
      </c>
      <c r="V7" s="770" t="s">
        <v>23</v>
      </c>
      <c r="W7" s="771">
        <f t="shared" ref="W7:W15" si="2">J7</f>
        <v>0</v>
      </c>
      <c r="X7" s="772"/>
      <c r="Y7" s="3189" t="s">
        <v>2547</v>
      </c>
      <c r="Z7" s="3190"/>
      <c r="AA7" s="773" t="e">
        <f>D7/F7</f>
        <v>#DIV/0!</v>
      </c>
      <c r="AB7" s="773" t="e">
        <f>D7/H7</f>
        <v>#DIV/0!</v>
      </c>
      <c r="AC7" s="773"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9" t="s">
        <v>2550</v>
      </c>
      <c r="Q8" s="3190"/>
      <c r="R8" s="770" t="s">
        <v>23</v>
      </c>
      <c r="S8" s="771">
        <f t="shared" si="0"/>
        <v>0</v>
      </c>
      <c r="T8" s="770" t="s">
        <v>23</v>
      </c>
      <c r="U8" s="771">
        <f t="shared" si="1"/>
        <v>0</v>
      </c>
      <c r="V8" s="770" t="s">
        <v>23</v>
      </c>
      <c r="W8" s="771">
        <f t="shared" si="2"/>
        <v>0</v>
      </c>
      <c r="X8" s="772"/>
      <c r="Y8" s="3189" t="s">
        <v>2550</v>
      </c>
      <c r="Z8" s="319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03" t="s">
        <v>2553</v>
      </c>
      <c r="Q9" s="1795"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3"/>
      <c r="Q11" s="1795"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03"/>
      <c r="Q12" s="1795">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03"/>
      <c r="Q13" s="1795">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03"/>
      <c r="Q14" s="1795">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2557</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0" t="s">
        <v>2558</v>
      </c>
      <c r="Q15" s="1810" t="str">
        <f t="shared" si="6"/>
        <v>居住社区成熟度</v>
      </c>
      <c r="R15" s="774" t="s">
        <v>21</v>
      </c>
      <c r="S15" s="775">
        <f t="shared" si="0"/>
        <v>100</v>
      </c>
      <c r="T15" s="774" t="s">
        <v>21</v>
      </c>
      <c r="U15" s="775">
        <f t="shared" si="1"/>
        <v>100</v>
      </c>
      <c r="V15" s="774" t="s">
        <v>21</v>
      </c>
      <c r="W15" s="775">
        <f t="shared" si="2"/>
        <v>100</v>
      </c>
      <c r="X15" s="1813"/>
      <c r="Y15" s="3223" t="s">
        <v>2558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1"/>
      <c r="Q16" s="1810"/>
      <c r="R16" s="774"/>
      <c r="S16" s="775"/>
      <c r="T16" s="774"/>
      <c r="U16" s="775"/>
      <c r="V16" s="774"/>
      <c r="W16" s="775"/>
      <c r="X16" s="1813"/>
      <c r="Y16" s="3224"/>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1"/>
      <c r="Q17" s="1810" t="str">
        <f>B17</f>
        <v>交通便捷度</v>
      </c>
      <c r="R17" s="774" t="s">
        <v>21</v>
      </c>
      <c r="S17" s="775">
        <f>F17</f>
        <v>100</v>
      </c>
      <c r="T17" s="774" t="s">
        <v>21</v>
      </c>
      <c r="U17" s="775">
        <f>H17</f>
        <v>100</v>
      </c>
      <c r="V17" s="774" t="s">
        <v>21</v>
      </c>
      <c r="W17" s="775">
        <f>J17</f>
        <v>100</v>
      </c>
      <c r="X17" s="1813"/>
      <c r="Y17" s="322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1"/>
      <c r="Q18" s="1810"/>
      <c r="R18" s="774"/>
      <c r="S18" s="775"/>
      <c r="T18" s="774"/>
      <c r="U18" s="775"/>
      <c r="V18" s="774"/>
      <c r="W18" s="775"/>
      <c r="X18" s="1813"/>
      <c r="Y18" s="3224"/>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1"/>
      <c r="Q19" s="1810" t="str">
        <f>B19</f>
        <v>公共配套设施</v>
      </c>
      <c r="R19" s="774" t="s">
        <v>21</v>
      </c>
      <c r="S19" s="775">
        <f>F19</f>
        <v>100</v>
      </c>
      <c r="T19" s="774" t="s">
        <v>21</v>
      </c>
      <c r="U19" s="775">
        <f>H19</f>
        <v>100</v>
      </c>
      <c r="V19" s="774" t="s">
        <v>21</v>
      </c>
      <c r="W19" s="775">
        <f>J19</f>
        <v>100</v>
      </c>
      <c r="X19" s="1813"/>
      <c r="Y19" s="322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1"/>
      <c r="Q20" s="1810"/>
      <c r="R20" s="774"/>
      <c r="S20" s="775"/>
      <c r="T20" s="774"/>
      <c r="U20" s="775"/>
      <c r="V20" s="774"/>
      <c r="W20" s="775"/>
      <c r="X20" s="1813"/>
      <c r="Y20" s="3224"/>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1"/>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1"/>
      <c r="Q22" s="1810"/>
      <c r="R22" s="774"/>
      <c r="S22" s="775"/>
      <c r="T22" s="774"/>
      <c r="U22" s="775"/>
      <c r="V22" s="774"/>
      <c r="W22" s="775"/>
      <c r="X22" s="1813"/>
      <c r="Y22" s="3224"/>
      <c r="Z22" s="1814"/>
      <c r="AA22" s="1811">
        <v>1</v>
      </c>
      <c r="AB22" s="1811">
        <v>1</v>
      </c>
      <c r="AC22" s="1811">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1"/>
      <c r="Q23" s="1810" t="str">
        <f>B23</f>
        <v>自然及人文环境</v>
      </c>
      <c r="R23" s="774" t="s">
        <v>21</v>
      </c>
      <c r="S23" s="775">
        <f>F23</f>
        <v>100</v>
      </c>
      <c r="T23" s="774" t="s">
        <v>21</v>
      </c>
      <c r="U23" s="775">
        <f>H23</f>
        <v>100</v>
      </c>
      <c r="V23" s="774" t="s">
        <v>21</v>
      </c>
      <c r="W23" s="775">
        <f>J23</f>
        <v>100</v>
      </c>
      <c r="X23" s="1813"/>
      <c r="Y23" s="322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1"/>
      <c r="Q24" s="1810"/>
      <c r="R24" s="774"/>
      <c r="S24" s="775"/>
      <c r="T24" s="774"/>
      <c r="U24" s="775"/>
      <c r="V24" s="774"/>
      <c r="W24" s="775"/>
      <c r="X24" s="1813"/>
      <c r="Y24" s="3224"/>
      <c r="Z24" s="1814"/>
      <c r="AA24" s="1811">
        <v>1</v>
      </c>
      <c r="AB24" s="1811">
        <v>1</v>
      </c>
      <c r="AC24" s="1811">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4"/>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1"/>
      <c r="Q26" s="1810" t="str">
        <f t="shared" si="11"/>
        <v>朝向</v>
      </c>
      <c r="R26" s="774" t="s">
        <v>21</v>
      </c>
      <c r="S26" s="775">
        <f t="shared" si="12"/>
        <v>100</v>
      </c>
      <c r="T26" s="774" t="s">
        <v>21</v>
      </c>
      <c r="U26" s="775">
        <f t="shared" si="13"/>
        <v>100</v>
      </c>
      <c r="V26" s="774" t="s">
        <v>21</v>
      </c>
      <c r="W26" s="775">
        <f t="shared" si="14"/>
        <v>100</v>
      </c>
      <c r="X26" s="1813"/>
      <c r="Y26" s="322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1"/>
      <c r="Q27" s="1795">
        <f t="shared" si="11"/>
        <v>111</v>
      </c>
      <c r="R27" s="770" t="s">
        <v>21</v>
      </c>
      <c r="S27" s="771">
        <f t="shared" si="12"/>
        <v>100</v>
      </c>
      <c r="T27" s="770" t="s">
        <v>21</v>
      </c>
      <c r="U27" s="771">
        <f t="shared" si="13"/>
        <v>100</v>
      </c>
      <c r="V27" s="770" t="s">
        <v>21</v>
      </c>
      <c r="W27" s="771">
        <f t="shared" si="14"/>
        <v>100</v>
      </c>
      <c r="X27" s="772"/>
      <c r="Y27" s="322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1"/>
      <c r="Q28" s="1810">
        <f t="shared" si="11"/>
        <v>111</v>
      </c>
      <c r="R28" s="774" t="s">
        <v>21</v>
      </c>
      <c r="S28" s="775">
        <f t="shared" si="12"/>
        <v>100</v>
      </c>
      <c r="T28" s="774" t="s">
        <v>21</v>
      </c>
      <c r="U28" s="775">
        <f t="shared" si="13"/>
        <v>100</v>
      </c>
      <c r="V28" s="774" t="s">
        <v>21</v>
      </c>
      <c r="W28" s="775">
        <f t="shared" si="14"/>
        <v>100</v>
      </c>
      <c r="X28" s="1813"/>
      <c r="Y28" s="322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1"/>
      <c r="Q29" s="1810">
        <f t="shared" si="11"/>
        <v>111</v>
      </c>
      <c r="R29" s="774" t="s">
        <v>21</v>
      </c>
      <c r="S29" s="775">
        <f t="shared" si="12"/>
        <v>100</v>
      </c>
      <c r="T29" s="774" t="s">
        <v>21</v>
      </c>
      <c r="U29" s="775">
        <f t="shared" si="13"/>
        <v>100</v>
      </c>
      <c r="V29" s="774" t="s">
        <v>21</v>
      </c>
      <c r="W29" s="775">
        <f t="shared" si="14"/>
        <v>100</v>
      </c>
      <c r="X29" s="1813"/>
      <c r="Y29" s="322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1"/>
      <c r="Q30" s="1810">
        <f t="shared" si="11"/>
        <v>111</v>
      </c>
      <c r="R30" s="774" t="s">
        <v>21</v>
      </c>
      <c r="S30" s="775">
        <f t="shared" si="12"/>
        <v>100</v>
      </c>
      <c r="T30" s="774" t="s">
        <v>21</v>
      </c>
      <c r="U30" s="775">
        <f t="shared" si="13"/>
        <v>100</v>
      </c>
      <c r="V30" s="774" t="s">
        <v>21</v>
      </c>
      <c r="W30" s="775">
        <f t="shared" si="14"/>
        <v>100</v>
      </c>
      <c r="X30" s="1813"/>
      <c r="Y30" s="322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1"/>
      <c r="Q31" s="1810">
        <f t="shared" si="11"/>
        <v>111</v>
      </c>
      <c r="R31" s="774" t="s">
        <v>21</v>
      </c>
      <c r="S31" s="775">
        <f t="shared" si="12"/>
        <v>100</v>
      </c>
      <c r="T31" s="774" t="s">
        <v>21</v>
      </c>
      <c r="U31" s="775">
        <f t="shared" si="13"/>
        <v>100</v>
      </c>
      <c r="V31" s="774" t="s">
        <v>21</v>
      </c>
      <c r="W31" s="775">
        <f t="shared" si="14"/>
        <v>100</v>
      </c>
      <c r="X31" s="1813"/>
      <c r="Y31" s="3224"/>
      <c r="Z31" s="1814">
        <f t="shared" si="18"/>
        <v>111</v>
      </c>
      <c r="AA31" s="1811">
        <f t="shared" si="15"/>
        <v>1</v>
      </c>
      <c r="AB31" s="1811">
        <f t="shared" si="16"/>
        <v>1</v>
      </c>
      <c r="AC31" s="1811">
        <f t="shared" si="17"/>
        <v>1</v>
      </c>
    </row>
    <row r="32" spans="1:29" ht="15">
      <c r="A32" s="440" t="s">
        <v>2561</v>
      </c>
      <c r="B32" s="71" t="s">
        <v>2562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5" t="s">
        <v>2563</v>
      </c>
      <c r="Q32" s="1810" t="str">
        <f t="shared" si="11"/>
        <v>建筑类型</v>
      </c>
      <c r="R32" s="774" t="s">
        <v>21</v>
      </c>
      <c r="S32" s="775">
        <f t="shared" si="12"/>
        <v>100</v>
      </c>
      <c r="T32" s="774" t="s">
        <v>21</v>
      </c>
      <c r="U32" s="775">
        <f t="shared" si="13"/>
        <v>100</v>
      </c>
      <c r="V32" s="774" t="s">
        <v>21</v>
      </c>
      <c r="W32" s="775">
        <f t="shared" si="14"/>
        <v>100</v>
      </c>
      <c r="X32" s="1813"/>
      <c r="Y32" s="3228"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1" t="e">
        <f t="shared" si="15"/>
        <v>#N/A</v>
      </c>
      <c r="AB33" s="1811" t="e">
        <f t="shared" si="16"/>
        <v>#N/A</v>
      </c>
      <c r="AC33" s="1811" t="e">
        <f t="shared" si="17"/>
        <v>#N/A</v>
      </c>
    </row>
    <row r="34" spans="1:29" ht="15">
      <c r="A34" s="472"/>
      <c r="B34" s="422" t="s">
        <v>2565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6"/>
      <c r="Q34" s="1810" t="str">
        <f t="shared" si="11"/>
        <v>建筑结构</v>
      </c>
      <c r="R34" s="774" t="s">
        <v>21</v>
      </c>
      <c r="S34" s="775">
        <f t="shared" si="12"/>
        <v>100</v>
      </c>
      <c r="T34" s="774" t="s">
        <v>21</v>
      </c>
      <c r="U34" s="775">
        <f t="shared" si="13"/>
        <v>100</v>
      </c>
      <c r="V34" s="774" t="s">
        <v>21</v>
      </c>
      <c r="W34" s="775">
        <f t="shared" si="14"/>
        <v>100</v>
      </c>
      <c r="X34" s="1813"/>
      <c r="Y34" s="3228"/>
      <c r="Z34" s="1814" t="str">
        <f t="shared" si="18"/>
        <v>建筑结构</v>
      </c>
      <c r="AA34" s="1811">
        <f t="shared" si="15"/>
        <v>1</v>
      </c>
      <c r="AB34" s="1811">
        <f t="shared" si="16"/>
        <v>1</v>
      </c>
      <c r="AC34" s="1811">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6"/>
      <c r="Q35" s="1810" t="str">
        <f t="shared" si="11"/>
        <v>建筑品质</v>
      </c>
      <c r="R35" s="774" t="s">
        <v>21</v>
      </c>
      <c r="S35" s="775">
        <f t="shared" si="12"/>
        <v>100</v>
      </c>
      <c r="T35" s="774" t="s">
        <v>21</v>
      </c>
      <c r="U35" s="775">
        <f t="shared" si="13"/>
        <v>100</v>
      </c>
      <c r="V35" s="774" t="s">
        <v>21</v>
      </c>
      <c r="W35" s="775">
        <f t="shared" si="14"/>
        <v>100</v>
      </c>
      <c r="X35" s="1813"/>
      <c r="Y35" s="3228"/>
      <c r="Z35" s="1814" t="str">
        <f t="shared" si="18"/>
        <v>建筑品质</v>
      </c>
      <c r="AA35" s="1811">
        <f t="shared" si="15"/>
        <v>1</v>
      </c>
      <c r="AB35" s="1811">
        <f t="shared" si="16"/>
        <v>1</v>
      </c>
      <c r="AC35" s="1811">
        <f t="shared" si="17"/>
        <v>1</v>
      </c>
    </row>
    <row r="36" spans="1:29" ht="15">
      <c r="A36" s="472"/>
      <c r="B36" s="422" t="s">
        <v>2567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6"/>
      <c r="Q36" s="1810" t="str">
        <f t="shared" si="11"/>
        <v>公共部分装修</v>
      </c>
      <c r="R36" s="774" t="s">
        <v>21</v>
      </c>
      <c r="S36" s="775">
        <f t="shared" si="12"/>
        <v>100</v>
      </c>
      <c r="T36" s="774" t="s">
        <v>21</v>
      </c>
      <c r="U36" s="775">
        <f t="shared" si="13"/>
        <v>100</v>
      </c>
      <c r="V36" s="774" t="s">
        <v>21</v>
      </c>
      <c r="W36" s="775">
        <f t="shared" si="14"/>
        <v>100</v>
      </c>
      <c r="X36" s="1813"/>
      <c r="Y36" s="3228"/>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6"/>
      <c r="Q37" s="1795"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2569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6" t="s">
        <v>2563</v>
      </c>
      <c r="Q38" s="1810" t="str">
        <f t="shared" si="11"/>
        <v>物业管理</v>
      </c>
      <c r="R38" s="774" t="s">
        <v>21</v>
      </c>
      <c r="S38" s="775">
        <f t="shared" si="12"/>
        <v>100</v>
      </c>
      <c r="T38" s="774" t="s">
        <v>21</v>
      </c>
      <c r="U38" s="775">
        <f t="shared" si="13"/>
        <v>100</v>
      </c>
      <c r="V38" s="774" t="s">
        <v>21</v>
      </c>
      <c r="W38" s="775">
        <f t="shared" si="14"/>
        <v>100</v>
      </c>
      <c r="X38" s="1813"/>
      <c r="Y38" s="3228" t="s">
        <v>2563</v>
      </c>
      <c r="Z38" s="1814" t="str">
        <f t="shared" si="18"/>
        <v>物业管理</v>
      </c>
      <c r="AA38" s="1811">
        <f t="shared" si="15"/>
        <v>1</v>
      </c>
      <c r="AB38" s="1811">
        <f t="shared" si="16"/>
        <v>1</v>
      </c>
      <c r="AC38" s="1811">
        <f t="shared" si="17"/>
        <v>1</v>
      </c>
    </row>
    <row r="39" spans="1:29" ht="15">
      <c r="A39" s="472"/>
      <c r="B39" s="422" t="s">
        <v>2570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6"/>
      <c r="Q39" s="1810" t="str">
        <f t="shared" si="11"/>
        <v>市政基础设施</v>
      </c>
      <c r="R39" s="774" t="s">
        <v>21</v>
      </c>
      <c r="S39" s="775">
        <f t="shared" si="12"/>
        <v>100</v>
      </c>
      <c r="T39" s="774" t="s">
        <v>21</v>
      </c>
      <c r="U39" s="775">
        <f t="shared" si="13"/>
        <v>100</v>
      </c>
      <c r="V39" s="774" t="s">
        <v>21</v>
      </c>
      <c r="W39" s="775">
        <f t="shared" si="14"/>
        <v>100</v>
      </c>
      <c r="X39" s="1813"/>
      <c r="Y39" s="3228"/>
      <c r="Z39" s="1814" t="str">
        <f t="shared" si="18"/>
        <v>市政基础设施</v>
      </c>
      <c r="AA39" s="1811">
        <f t="shared" si="15"/>
        <v>1</v>
      </c>
      <c r="AB39" s="1811">
        <f t="shared" si="16"/>
        <v>1</v>
      </c>
      <c r="AC39" s="1811">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6"/>
      <c r="Q40" s="1810" t="str">
        <f t="shared" si="11"/>
        <v>房型</v>
      </c>
      <c r="R40" s="774" t="s">
        <v>21</v>
      </c>
      <c r="S40" s="775">
        <f t="shared" si="12"/>
        <v>100</v>
      </c>
      <c r="T40" s="774" t="s">
        <v>21</v>
      </c>
      <c r="U40" s="775">
        <f t="shared" si="13"/>
        <v>100</v>
      </c>
      <c r="V40" s="774" t="s">
        <v>21</v>
      </c>
      <c r="W40" s="775">
        <f t="shared" si="14"/>
        <v>100</v>
      </c>
      <c r="X40" s="1813"/>
      <c r="Y40" s="3228"/>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1">
        <f t="shared" si="15"/>
        <v>1</v>
      </c>
      <c r="AB41" s="1811">
        <f t="shared" si="16"/>
        <v>1</v>
      </c>
      <c r="AC41" s="1811">
        <f t="shared" si="17"/>
        <v>1</v>
      </c>
    </row>
    <row r="42" spans="1:29" ht="15">
      <c r="A42" s="472"/>
      <c r="B42" s="422" t="s">
        <v>2573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6"/>
      <c r="Q42" s="1810" t="str">
        <f t="shared" si="11"/>
        <v>内部装修</v>
      </c>
      <c r="R42" s="774" t="s">
        <v>21</v>
      </c>
      <c r="S42" s="775">
        <f t="shared" si="12"/>
        <v>100</v>
      </c>
      <c r="T42" s="774" t="s">
        <v>21</v>
      </c>
      <c r="U42" s="775">
        <f t="shared" si="13"/>
        <v>100</v>
      </c>
      <c r="V42" s="774" t="s">
        <v>21</v>
      </c>
      <c r="W42" s="775">
        <f t="shared" si="14"/>
        <v>100</v>
      </c>
      <c r="X42" s="1813"/>
      <c r="Y42" s="3228"/>
      <c r="Z42" s="1814" t="str">
        <f t="shared" si="18"/>
        <v>内部装修</v>
      </c>
      <c r="AA42" s="1811">
        <f t="shared" si="15"/>
        <v>1</v>
      </c>
      <c r="AB42" s="1811">
        <f t="shared" si="16"/>
        <v>1</v>
      </c>
      <c r="AC42" s="1811">
        <f t="shared" si="17"/>
        <v>1</v>
      </c>
    </row>
    <row r="43" spans="1:29" ht="15">
      <c r="A43" s="472"/>
      <c r="B43" s="422" t="s">
        <v>2574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6"/>
      <c r="Q43" s="1810" t="str">
        <f t="shared" si="11"/>
        <v>内部装修维护情况</v>
      </c>
      <c r="R43" s="774" t="s">
        <v>21</v>
      </c>
      <c r="S43" s="775">
        <f t="shared" si="12"/>
        <v>100</v>
      </c>
      <c r="T43" s="774" t="s">
        <v>21</v>
      </c>
      <c r="U43" s="775">
        <f t="shared" si="13"/>
        <v>100</v>
      </c>
      <c r="V43" s="774" t="s">
        <v>21</v>
      </c>
      <c r="W43" s="775">
        <f t="shared" si="14"/>
        <v>100</v>
      </c>
      <c r="X43" s="1813"/>
      <c r="Y43" s="322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6"/>
      <c r="Q44" s="1795">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6"/>
      <c r="Q45" s="1810">
        <f t="shared" si="11"/>
        <v>111</v>
      </c>
      <c r="R45" s="774" t="s">
        <v>21</v>
      </c>
      <c r="S45" s="775">
        <f t="shared" si="12"/>
        <v>100</v>
      </c>
      <c r="T45" s="774" t="s">
        <v>21</v>
      </c>
      <c r="U45" s="775">
        <f t="shared" si="13"/>
        <v>100</v>
      </c>
      <c r="V45" s="774" t="s">
        <v>21</v>
      </c>
      <c r="W45" s="775">
        <f t="shared" si="14"/>
        <v>100</v>
      </c>
      <c r="X45" s="1813"/>
      <c r="Y45" s="322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7"/>
      <c r="Q46" s="1810">
        <f t="shared" si="11"/>
        <v>111</v>
      </c>
      <c r="R46" s="774" t="s">
        <v>20</v>
      </c>
      <c r="S46" s="775">
        <f t="shared" si="12"/>
        <v>100</v>
      </c>
      <c r="T46" s="774" t="s">
        <v>20</v>
      </c>
      <c r="U46" s="775">
        <f t="shared" si="13"/>
        <v>100</v>
      </c>
      <c r="V46" s="774" t="s">
        <v>20</v>
      </c>
      <c r="W46" s="775">
        <f t="shared" si="14"/>
        <v>100</v>
      </c>
      <c r="X46" s="1813"/>
      <c r="Y46" s="3229"/>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0"/>
      <c r="L47" s="1143"/>
      <c r="M47" s="1144"/>
      <c r="N47" s="1131"/>
      <c r="O47" s="1144"/>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1"/>
      <c r="L48" s="1143"/>
      <c r="M48" s="1144"/>
      <c r="N48" s="1144"/>
      <c r="O48" s="1144"/>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2"/>
      <c r="L49" s="1143"/>
      <c r="M49" s="1144"/>
      <c r="N49" s="1144"/>
      <c r="O49" s="1144"/>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5"/>
      <c r="Q57" s="504"/>
    </row>
    <row r="58" spans="1:29" s="508" customFormat="1" ht="15">
      <c r="A58" s="505" t="s">
        <v>2582</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2561</v>
      </c>
      <c r="B100" s="528" t="s">
        <v>2610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5">
        <f>ROUNDUP((J139-1)/2,0)</f>
        <v>10</v>
      </c>
      <c r="K140" s="1095">
        <v>100</v>
      </c>
    </row>
    <row r="141" spans="1:17" ht="15">
      <c r="B141" s="1090">
        <v>4</v>
      </c>
      <c r="C141" s="1091">
        <v>102</v>
      </c>
      <c r="D141" s="1091"/>
      <c r="E141" s="1092"/>
      <c r="F141" s="1093">
        <v>101.5</v>
      </c>
      <c r="G141" s="1091"/>
      <c r="H141" s="1094"/>
      <c r="I141" s="2649" t="s">
        <v>2632</v>
      </c>
      <c r="J141" s="315">
        <v>1</v>
      </c>
      <c r="K141" s="1096">
        <f>ROUND(100+(J141-J140)*K139*100,1)</f>
        <v>96.4</v>
      </c>
    </row>
    <row r="142" spans="1:17" ht="15">
      <c r="B142" s="1090">
        <v>3</v>
      </c>
      <c r="C142" s="1091">
        <v>103</v>
      </c>
      <c r="D142" s="1091"/>
      <c r="E142" s="1092"/>
      <c r="F142" s="1093">
        <v>101</v>
      </c>
      <c r="G142" s="1091"/>
      <c r="H142" s="1094"/>
      <c r="I142" s="2649" t="s">
        <v>2633</v>
      </c>
      <c r="J142" s="315">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2325</v>
      </c>
      <c r="B2" s="1418" t="e">
        <f ca="1">IF(C2="——",ROUND(C49*D3/10000,0),ROUND(C49*D3/10000,0)-D2)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2327</v>
      </c>
      <c r="B3" s="609" t="e">
        <f ca="1">IF(C2="——",C49,ROUND(B2*10000/D3,0))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191" t="s">
        <v>2645</v>
      </c>
      <c r="S4" s="3192"/>
      <c r="T4" s="3191" t="s">
        <v>2646</v>
      </c>
      <c r="U4" s="3192"/>
      <c r="V4" s="3216" t="s">
        <v>2647</v>
      </c>
      <c r="W4" s="3216"/>
      <c r="X4" s="1813"/>
      <c r="Y4" s="3191" t="s">
        <v>2649</v>
      </c>
      <c r="Z4" s="3192"/>
      <c r="AA4" s="3186" t="s">
        <v>2645</v>
      </c>
      <c r="AB4" s="3216" t="s">
        <v>2646</v>
      </c>
      <c r="AC4" s="3186" t="s">
        <v>2647</v>
      </c>
    </row>
    <row r="5" spans="1:29"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1813"/>
      <c r="Y5" s="3193"/>
      <c r="Z5" s="3194"/>
      <c r="AA5" s="3187"/>
      <c r="AB5" s="3216"/>
      <c r="AC5" s="3187"/>
    </row>
    <row r="6" spans="1:29" ht="15.75" thickBot="1">
      <c r="A6" s="406"/>
      <c r="B6" s="407"/>
      <c r="C6" s="3199" t="s">
        <v>2544</v>
      </c>
      <c r="D6" s="3200"/>
      <c r="E6" s="3201" t="s">
        <v>2544</v>
      </c>
      <c r="F6" s="3202"/>
      <c r="G6" s="3199" t="s">
        <v>2544</v>
      </c>
      <c r="H6" s="3200"/>
      <c r="I6" s="3199" t="s">
        <v>2544</v>
      </c>
      <c r="J6" s="3200"/>
      <c r="K6" s="610" t="s">
        <v>2545</v>
      </c>
      <c r="L6" s="1130"/>
      <c r="M6" s="1131"/>
      <c r="N6" s="1131"/>
      <c r="O6" s="1131"/>
      <c r="P6" s="3212"/>
      <c r="Q6" s="3213"/>
      <c r="R6" s="3193"/>
      <c r="S6" s="3194"/>
      <c r="T6" s="3214"/>
      <c r="U6" s="3215"/>
      <c r="V6" s="3216"/>
      <c r="W6" s="3216"/>
      <c r="X6" s="1813"/>
      <c r="Y6" s="3214"/>
      <c r="Z6" s="3215"/>
      <c r="AA6" s="3188"/>
      <c r="AB6" s="3216"/>
      <c r="AC6" s="3188"/>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9"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9" t="s">
        <v>2550</v>
      </c>
      <c r="Q8" s="3190"/>
      <c r="R8" s="770" t="s">
        <v>17</v>
      </c>
      <c r="S8" s="771">
        <f t="shared" si="0"/>
        <v>0</v>
      </c>
      <c r="T8" s="770" t="s">
        <v>17</v>
      </c>
      <c r="U8" s="771">
        <f t="shared" si="1"/>
        <v>0</v>
      </c>
      <c r="V8" s="770" t="s">
        <v>17</v>
      </c>
      <c r="W8" s="771">
        <f t="shared" si="2"/>
        <v>0</v>
      </c>
      <c r="X8" s="772"/>
      <c r="Y8" s="3189" t="s">
        <v>2550</v>
      </c>
      <c r="Z8" s="319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3" t="s">
        <v>2553</v>
      </c>
      <c r="Q9" s="1795"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3"/>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3"/>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2557</v>
      </c>
      <c r="B15" s="69" t="s">
        <v>2651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0" t="s">
        <v>2558</v>
      </c>
      <c r="Q15" s="1810" t="str">
        <f t="shared" si="6"/>
        <v>商业繁华度</v>
      </c>
      <c r="R15" s="774" t="s">
        <v>17</v>
      </c>
      <c r="S15" s="775">
        <f t="shared" si="0"/>
        <v>100</v>
      </c>
      <c r="T15" s="774" t="s">
        <v>17</v>
      </c>
      <c r="U15" s="775">
        <f t="shared" si="1"/>
        <v>100</v>
      </c>
      <c r="V15" s="774" t="s">
        <v>17</v>
      </c>
      <c r="W15" s="775">
        <f t="shared" si="2"/>
        <v>100</v>
      </c>
      <c r="X15" s="1813"/>
      <c r="Y15" s="3223"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1"/>
      <c r="Q16" s="1810"/>
      <c r="R16" s="774"/>
      <c r="S16" s="775"/>
      <c r="T16" s="774"/>
      <c r="U16" s="775"/>
      <c r="V16" s="774"/>
      <c r="W16" s="775"/>
      <c r="X16" s="1813"/>
      <c r="Y16" s="3224"/>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1"/>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1"/>
      <c r="Q18" s="1810"/>
      <c r="R18" s="774"/>
      <c r="S18" s="775"/>
      <c r="T18" s="774"/>
      <c r="U18" s="775"/>
      <c r="V18" s="774"/>
      <c r="W18" s="775"/>
      <c r="X18" s="1813"/>
      <c r="Y18" s="3224"/>
      <c r="Z18" s="1814"/>
      <c r="AA18" s="1811">
        <v>1</v>
      </c>
      <c r="AB18" s="1811">
        <v>1</v>
      </c>
      <c r="AC18" s="1811">
        <v>1</v>
      </c>
    </row>
    <row r="19" spans="1:29" ht="42.75">
      <c r="A19" s="428"/>
      <c r="B19" s="451" t="s">
        <v>2652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1"/>
      <c r="Q19" s="1810" t="str">
        <f>B19</f>
        <v>公共配套设施</v>
      </c>
      <c r="R19" s="774" t="s">
        <v>17</v>
      </c>
      <c r="S19" s="775">
        <f>F19</f>
        <v>100</v>
      </c>
      <c r="T19" s="774" t="s">
        <v>17</v>
      </c>
      <c r="U19" s="775">
        <f>H19</f>
        <v>100</v>
      </c>
      <c r="V19" s="774" t="s">
        <v>17</v>
      </c>
      <c r="W19" s="775">
        <f>J19</f>
        <v>100</v>
      </c>
      <c r="X19" s="1813"/>
      <c r="Y19" s="322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1"/>
      <c r="Q20" s="1810"/>
      <c r="R20" s="774"/>
      <c r="S20" s="775"/>
      <c r="T20" s="774"/>
      <c r="U20" s="775"/>
      <c r="V20" s="774"/>
      <c r="W20" s="775"/>
      <c r="X20" s="1813"/>
      <c r="Y20" s="3224"/>
      <c r="Z20" s="1814"/>
      <c r="AA20" s="1811">
        <v>1</v>
      </c>
      <c r="AB20" s="1811">
        <v>1</v>
      </c>
      <c r="AC20" s="1811">
        <v>1</v>
      </c>
    </row>
    <row r="21" spans="1:29" ht="28.5">
      <c r="A21" s="428"/>
      <c r="B21" s="1384" t="s">
        <v>2653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1"/>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1"/>
      <c r="Q22" s="1810"/>
      <c r="R22" s="774"/>
      <c r="S22" s="775"/>
      <c r="T22" s="774"/>
      <c r="U22" s="775"/>
      <c r="V22" s="774"/>
      <c r="W22" s="775"/>
      <c r="X22" s="1813"/>
      <c r="Y22" s="3224"/>
      <c r="Z22" s="1814"/>
      <c r="AA22" s="1811">
        <v>1</v>
      </c>
      <c r="AB22" s="1811">
        <v>1</v>
      </c>
      <c r="AC22" s="1811">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1"/>
      <c r="Q23" s="1810" t="str">
        <f>B23</f>
        <v>自然及人文环境</v>
      </c>
      <c r="R23" s="774" t="s">
        <v>17</v>
      </c>
      <c r="S23" s="775">
        <f>F23</f>
        <v>100</v>
      </c>
      <c r="T23" s="774" t="s">
        <v>17</v>
      </c>
      <c r="U23" s="775">
        <f>H23</f>
        <v>100</v>
      </c>
      <c r="V23" s="774" t="s">
        <v>17</v>
      </c>
      <c r="W23" s="775">
        <f>J23</f>
        <v>100</v>
      </c>
      <c r="X23" s="1813"/>
      <c r="Y23" s="3224"/>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1"/>
      <c r="Q24" s="1810"/>
      <c r="R24" s="774"/>
      <c r="S24" s="775"/>
      <c r="T24" s="774"/>
      <c r="U24" s="775"/>
      <c r="V24" s="774"/>
      <c r="W24" s="775"/>
      <c r="X24" s="1813"/>
      <c r="Y24" s="3224"/>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1"/>
      <c r="Q25" s="1810" t="str">
        <f t="shared" ref="Q25:Q46" si="11">B25</f>
        <v>临街状况</v>
      </c>
      <c r="R25" s="774" t="s">
        <v>17</v>
      </c>
      <c r="S25" s="775">
        <f>F25</f>
        <v>100</v>
      </c>
      <c r="T25" s="774" t="s">
        <v>17</v>
      </c>
      <c r="U25" s="775">
        <f>H25</f>
        <v>100</v>
      </c>
      <c r="V25" s="774" t="s">
        <v>17</v>
      </c>
      <c r="W25" s="775">
        <f>J25</f>
        <v>100</v>
      </c>
      <c r="X25" s="1813"/>
      <c r="Y25" s="3224"/>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1"/>
      <c r="Q26" s="1810" t="str">
        <f t="shared" si="11"/>
        <v>平面位置/可视性</v>
      </c>
      <c r="R26" s="774" t="s">
        <v>17</v>
      </c>
      <c r="S26" s="775">
        <f>F26</f>
        <v>100</v>
      </c>
      <c r="T26" s="774" t="s">
        <v>17</v>
      </c>
      <c r="U26" s="775">
        <f>H26</f>
        <v>100</v>
      </c>
      <c r="V26" s="774" t="s">
        <v>17</v>
      </c>
      <c r="W26" s="775">
        <f>J26</f>
        <v>100</v>
      </c>
      <c r="X26" s="1813"/>
      <c r="Y26" s="3224"/>
      <c r="Z26" s="1814" t="str">
        <f>Q26</f>
        <v>平面位置/可视性</v>
      </c>
      <c r="AA26" s="1811">
        <f t="shared" si="3"/>
        <v>1</v>
      </c>
      <c r="AB26" s="1811">
        <f t="shared" si="4"/>
        <v>1</v>
      </c>
      <c r="AC26" s="1811">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1"/>
      <c r="Q27" s="1795" t="str">
        <f t="shared" si="11"/>
        <v>人流量</v>
      </c>
      <c r="R27" s="770" t="s">
        <v>17</v>
      </c>
      <c r="S27" s="771">
        <f>F27</f>
        <v>100</v>
      </c>
      <c r="T27" s="770" t="s">
        <v>17</v>
      </c>
      <c r="U27" s="771">
        <f>H27</f>
        <v>100</v>
      </c>
      <c r="V27" s="770" t="s">
        <v>17</v>
      </c>
      <c r="W27" s="771">
        <f>J27</f>
        <v>100</v>
      </c>
      <c r="X27" s="772"/>
      <c r="Y27" s="3224"/>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1"/>
      <c r="Q29" s="1810">
        <f t="shared" si="11"/>
        <v>111</v>
      </c>
      <c r="R29" s="774" t="s">
        <v>17</v>
      </c>
      <c r="S29" s="775">
        <f t="shared" si="12"/>
        <v>100</v>
      </c>
      <c r="T29" s="774" t="s">
        <v>17</v>
      </c>
      <c r="U29" s="775">
        <f t="shared" si="13"/>
        <v>100</v>
      </c>
      <c r="V29" s="774" t="s">
        <v>17</v>
      </c>
      <c r="W29" s="775">
        <f t="shared" si="14"/>
        <v>100</v>
      </c>
      <c r="X29" s="1813"/>
      <c r="Y29" s="322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1"/>
      <c r="Q30" s="1810">
        <f t="shared" si="11"/>
        <v>111</v>
      </c>
      <c r="R30" s="774" t="s">
        <v>17</v>
      </c>
      <c r="S30" s="775">
        <f t="shared" si="12"/>
        <v>100</v>
      </c>
      <c r="T30" s="774" t="s">
        <v>17</v>
      </c>
      <c r="U30" s="775">
        <f t="shared" si="13"/>
        <v>100</v>
      </c>
      <c r="V30" s="774" t="s">
        <v>17</v>
      </c>
      <c r="W30" s="775">
        <f t="shared" si="14"/>
        <v>100</v>
      </c>
      <c r="X30" s="1813"/>
      <c r="Y30" s="322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1"/>
      <c r="Q31" s="1810">
        <f t="shared" si="11"/>
        <v>111</v>
      </c>
      <c r="R31" s="774" t="s">
        <v>17</v>
      </c>
      <c r="S31" s="775">
        <f t="shared" si="12"/>
        <v>100</v>
      </c>
      <c r="T31" s="774" t="s">
        <v>17</v>
      </c>
      <c r="U31" s="775">
        <f t="shared" si="13"/>
        <v>100</v>
      </c>
      <c r="V31" s="774" t="s">
        <v>17</v>
      </c>
      <c r="W31" s="775">
        <f t="shared" si="14"/>
        <v>100</v>
      </c>
      <c r="X31" s="1813"/>
      <c r="Y31" s="3224"/>
      <c r="Z31" s="1814">
        <f t="shared" si="15"/>
        <v>111</v>
      </c>
      <c r="AA31" s="1811">
        <f t="shared" si="3"/>
        <v>1</v>
      </c>
      <c r="AB31" s="1811">
        <f t="shared" si="4"/>
        <v>1</v>
      </c>
      <c r="AC31" s="1811">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5" t="s">
        <v>2563</v>
      </c>
      <c r="Q32" s="1810" t="str">
        <f t="shared" si="11"/>
        <v>商业类型</v>
      </c>
      <c r="R32" s="774" t="s">
        <v>17</v>
      </c>
      <c r="S32" s="775">
        <f t="shared" si="12"/>
        <v>100</v>
      </c>
      <c r="T32" s="774" t="s">
        <v>17</v>
      </c>
      <c r="U32" s="775">
        <f t="shared" si="13"/>
        <v>100</v>
      </c>
      <c r="V32" s="774" t="s">
        <v>17</v>
      </c>
      <c r="W32" s="775">
        <f t="shared" si="14"/>
        <v>100</v>
      </c>
      <c r="X32" s="1813"/>
      <c r="Y32" s="3228"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6"/>
      <c r="Q33" s="776" t="str">
        <f t="shared" si="11"/>
        <v>项目建筑规模</v>
      </c>
      <c r="R33" s="777" t="s">
        <v>17</v>
      </c>
      <c r="S33" s="778" t="e">
        <f t="shared" si="12"/>
        <v>#N/A</v>
      </c>
      <c r="T33" s="777" t="s">
        <v>17</v>
      </c>
      <c r="U33" s="778" t="e">
        <f t="shared" si="13"/>
        <v>#N/A</v>
      </c>
      <c r="V33" s="777" t="s">
        <v>17</v>
      </c>
      <c r="W33" s="778" t="e">
        <f t="shared" si="14"/>
        <v>#N/A</v>
      </c>
      <c r="X33" s="779"/>
      <c r="Y33" s="3228"/>
      <c r="Z33" s="780" t="str">
        <f t="shared" si="15"/>
        <v>项目建筑规模</v>
      </c>
      <c r="AA33" s="1811" t="e">
        <f t="shared" si="3"/>
        <v>#N/A</v>
      </c>
      <c r="AB33" s="1811" t="e">
        <f t="shared" si="4"/>
        <v>#N/A</v>
      </c>
      <c r="AC33" s="1811"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6"/>
      <c r="Q34" s="1810" t="str">
        <f t="shared" si="11"/>
        <v>建筑结构</v>
      </c>
      <c r="R34" s="774" t="s">
        <v>17</v>
      </c>
      <c r="S34" s="775">
        <f t="shared" si="12"/>
        <v>100</v>
      </c>
      <c r="T34" s="774" t="s">
        <v>17</v>
      </c>
      <c r="U34" s="775">
        <f t="shared" si="13"/>
        <v>100</v>
      </c>
      <c r="V34" s="774" t="s">
        <v>17</v>
      </c>
      <c r="W34" s="775">
        <f t="shared" si="14"/>
        <v>100</v>
      </c>
      <c r="X34" s="1813"/>
      <c r="Y34" s="3228"/>
      <c r="Z34" s="1814" t="str">
        <f t="shared" si="15"/>
        <v>建筑结构</v>
      </c>
      <c r="AA34" s="1811">
        <f t="shared" si="3"/>
        <v>1</v>
      </c>
      <c r="AB34" s="1811">
        <f t="shared" si="4"/>
        <v>1</v>
      </c>
      <c r="AC34" s="1811">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6"/>
      <c r="Q35" s="1810" t="str">
        <f t="shared" si="11"/>
        <v>公共部分装修</v>
      </c>
      <c r="R35" s="774" t="s">
        <v>17</v>
      </c>
      <c r="S35" s="775">
        <f t="shared" si="12"/>
        <v>100</v>
      </c>
      <c r="T35" s="774" t="s">
        <v>17</v>
      </c>
      <c r="U35" s="775">
        <f t="shared" si="13"/>
        <v>100</v>
      </c>
      <c r="V35" s="774" t="s">
        <v>17</v>
      </c>
      <c r="W35" s="775">
        <f t="shared" si="14"/>
        <v>100</v>
      </c>
      <c r="X35" s="1813"/>
      <c r="Y35" s="3228"/>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6"/>
      <c r="Q36" s="1810" t="str">
        <f t="shared" si="11"/>
        <v>成新度</v>
      </c>
      <c r="R36" s="774" t="s">
        <v>17</v>
      </c>
      <c r="S36" s="775" t="e">
        <f t="shared" si="12"/>
        <v>#N/A</v>
      </c>
      <c r="T36" s="774" t="s">
        <v>17</v>
      </c>
      <c r="U36" s="775" t="e">
        <f t="shared" si="13"/>
        <v>#N/A</v>
      </c>
      <c r="V36" s="774" t="s">
        <v>17</v>
      </c>
      <c r="W36" s="775" t="e">
        <f t="shared" si="14"/>
        <v>#N/A</v>
      </c>
      <c r="X36" s="1813"/>
      <c r="Y36" s="3228"/>
      <c r="Z36" s="1814" t="str">
        <f t="shared" si="15"/>
        <v>成新度</v>
      </c>
      <c r="AA36" s="1811" t="e">
        <f t="shared" si="3"/>
        <v>#N/A</v>
      </c>
      <c r="AB36" s="1811" t="e">
        <f t="shared" si="4"/>
        <v>#N/A</v>
      </c>
      <c r="AC36" s="1811"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6"/>
      <c r="Q37" s="1795"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6" t="s">
        <v>2563</v>
      </c>
      <c r="Q38" s="1810" t="str">
        <f t="shared" si="11"/>
        <v>业态</v>
      </c>
      <c r="R38" s="774" t="s">
        <v>17</v>
      </c>
      <c r="S38" s="775">
        <f t="shared" si="12"/>
        <v>100</v>
      </c>
      <c r="T38" s="774" t="s">
        <v>17</v>
      </c>
      <c r="U38" s="775">
        <f t="shared" si="13"/>
        <v>100</v>
      </c>
      <c r="V38" s="774" t="s">
        <v>17</v>
      </c>
      <c r="W38" s="775">
        <f t="shared" si="14"/>
        <v>100</v>
      </c>
      <c r="X38" s="1813"/>
      <c r="Y38" s="3228" t="s">
        <v>2563</v>
      </c>
      <c r="Z38" s="1814" t="str">
        <f t="shared" si="15"/>
        <v>业态</v>
      </c>
      <c r="AA38" s="1811">
        <f t="shared" si="3"/>
        <v>1</v>
      </c>
      <c r="AB38" s="1811">
        <f t="shared" si="4"/>
        <v>1</v>
      </c>
      <c r="AC38" s="1811">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6"/>
      <c r="Q39" s="1810" t="str">
        <f t="shared" si="11"/>
        <v>层高</v>
      </c>
      <c r="R39" s="774" t="s">
        <v>17</v>
      </c>
      <c r="S39" s="775">
        <f t="shared" si="12"/>
        <v>100</v>
      </c>
      <c r="T39" s="774" t="s">
        <v>17</v>
      </c>
      <c r="U39" s="775">
        <f t="shared" si="13"/>
        <v>100</v>
      </c>
      <c r="V39" s="774" t="s">
        <v>17</v>
      </c>
      <c r="W39" s="775">
        <f t="shared" si="14"/>
        <v>100</v>
      </c>
      <c r="X39" s="1813"/>
      <c r="Y39" s="3228"/>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6"/>
      <c r="Q40" s="1810" t="str">
        <f t="shared" si="11"/>
        <v>单套建筑面积</v>
      </c>
      <c r="R40" s="774" t="s">
        <v>17</v>
      </c>
      <c r="S40" s="775">
        <f t="shared" si="12"/>
        <v>100</v>
      </c>
      <c r="T40" s="774" t="s">
        <v>17</v>
      </c>
      <c r="U40" s="775">
        <f t="shared" si="13"/>
        <v>100</v>
      </c>
      <c r="V40" s="774" t="s">
        <v>17</v>
      </c>
      <c r="W40" s="775">
        <f t="shared" si="14"/>
        <v>100</v>
      </c>
      <c r="X40" s="1813"/>
      <c r="Y40" s="3228"/>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1">
        <f t="shared" si="3"/>
        <v>1</v>
      </c>
      <c r="AB41" s="1811">
        <f t="shared" si="4"/>
        <v>1</v>
      </c>
      <c r="AC41" s="1811">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6"/>
      <c r="Q42" s="1810" t="str">
        <f t="shared" si="11"/>
        <v>内部装修</v>
      </c>
      <c r="R42" s="774" t="s">
        <v>17</v>
      </c>
      <c r="S42" s="775">
        <f t="shared" si="12"/>
        <v>100</v>
      </c>
      <c r="T42" s="774" t="s">
        <v>17</v>
      </c>
      <c r="U42" s="775">
        <f t="shared" si="13"/>
        <v>100</v>
      </c>
      <c r="V42" s="774" t="s">
        <v>17</v>
      </c>
      <c r="W42" s="775">
        <f t="shared" si="14"/>
        <v>100</v>
      </c>
      <c r="X42" s="1813"/>
      <c r="Y42" s="3228"/>
      <c r="Z42" s="1814" t="str">
        <f t="shared" si="15"/>
        <v>内部装修</v>
      </c>
      <c r="AA42" s="1811">
        <f t="shared" si="3"/>
        <v>1</v>
      </c>
      <c r="AB42" s="1811">
        <f t="shared" si="4"/>
        <v>1</v>
      </c>
      <c r="AC42" s="1811">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6"/>
      <c r="Q43" s="1810" t="str">
        <f t="shared" si="11"/>
        <v>内部装修维护情况</v>
      </c>
      <c r="R43" s="774" t="s">
        <v>17</v>
      </c>
      <c r="S43" s="775">
        <f t="shared" si="12"/>
        <v>100</v>
      </c>
      <c r="T43" s="774" t="s">
        <v>17</v>
      </c>
      <c r="U43" s="775">
        <f t="shared" si="13"/>
        <v>100</v>
      </c>
      <c r="V43" s="774" t="s">
        <v>17</v>
      </c>
      <c r="W43" s="775">
        <f t="shared" si="14"/>
        <v>100</v>
      </c>
      <c r="X43" s="1813"/>
      <c r="Y43" s="322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6"/>
      <c r="Q44" s="1795">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6"/>
      <c r="Q45" s="1810">
        <f t="shared" si="11"/>
        <v>111</v>
      </c>
      <c r="R45" s="774" t="s">
        <v>17</v>
      </c>
      <c r="S45" s="775">
        <f t="shared" si="12"/>
        <v>100</v>
      </c>
      <c r="T45" s="774" t="s">
        <v>17</v>
      </c>
      <c r="U45" s="775">
        <f t="shared" si="13"/>
        <v>100</v>
      </c>
      <c r="V45" s="774" t="s">
        <v>17</v>
      </c>
      <c r="W45" s="775">
        <f t="shared" si="14"/>
        <v>100</v>
      </c>
      <c r="X45" s="1813"/>
      <c r="Y45" s="3228"/>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7"/>
      <c r="Q46" s="1810">
        <f t="shared" si="11"/>
        <v>111</v>
      </c>
      <c r="R46" s="774" t="s">
        <v>17</v>
      </c>
      <c r="S46" s="775">
        <f t="shared" si="12"/>
        <v>100</v>
      </c>
      <c r="T46" s="774" t="s">
        <v>17</v>
      </c>
      <c r="U46" s="775">
        <f t="shared" si="13"/>
        <v>100</v>
      </c>
      <c r="V46" s="774" t="s">
        <v>17</v>
      </c>
      <c r="W46" s="775">
        <f t="shared" si="14"/>
        <v>100</v>
      </c>
      <c r="X46" s="1813"/>
      <c r="Y46" s="3229"/>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221" t="str">
        <f>A47</f>
        <v>成交单价（元/平方米）</v>
      </c>
      <c r="Q47" s="3221"/>
      <c r="R47" s="3216">
        <f>E47</f>
        <v>0</v>
      </c>
      <c r="S47" s="3216"/>
      <c r="T47" s="3216">
        <f>G47</f>
        <v>0</v>
      </c>
      <c r="U47" s="3216"/>
      <c r="V47" s="3216">
        <f>I47</f>
        <v>0</v>
      </c>
      <c r="W47" s="3216"/>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2546</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2561</v>
      </c>
      <c r="B100" s="528" t="s">
        <v>2679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2684</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38" t="s">
        <v>2649</v>
      </c>
      <c r="Q4" s="3239"/>
      <c r="R4" s="3233" t="s">
        <v>2645</v>
      </c>
      <c r="S4" s="3234"/>
      <c r="T4" s="3233" t="s">
        <v>2646</v>
      </c>
      <c r="U4" s="3234"/>
      <c r="V4" s="3242" t="s">
        <v>2647</v>
      </c>
      <c r="W4" s="3242"/>
      <c r="X4" s="2669"/>
      <c r="Y4" s="3233" t="s">
        <v>2649</v>
      </c>
      <c r="Z4" s="3234"/>
      <c r="AA4" s="3232" t="s">
        <v>2645</v>
      </c>
      <c r="AB4" s="3232" t="s">
        <v>2646</v>
      </c>
      <c r="AC4" s="3235" t="s">
        <v>2647</v>
      </c>
    </row>
    <row r="5" spans="1:29" ht="15">
      <c r="A5" s="404"/>
      <c r="B5" s="405"/>
      <c r="C5" s="3197" t="s">
        <v>2540</v>
      </c>
      <c r="D5" s="3198"/>
      <c r="E5" s="3195" t="s">
        <v>2541</v>
      </c>
      <c r="F5" s="3196"/>
      <c r="G5" s="3197" t="s">
        <v>2542</v>
      </c>
      <c r="H5" s="3198"/>
      <c r="I5" s="3197" t="s">
        <v>2543</v>
      </c>
      <c r="J5" s="3198"/>
      <c r="K5" s="610"/>
      <c r="L5" s="1130"/>
      <c r="M5" s="1131"/>
      <c r="N5" s="1131"/>
      <c r="O5" s="1131"/>
      <c r="P5" s="3240"/>
      <c r="Q5" s="3211"/>
      <c r="R5" s="3193"/>
      <c r="S5" s="3194"/>
      <c r="T5" s="3193"/>
      <c r="U5" s="3194"/>
      <c r="V5" s="3216"/>
      <c r="W5" s="3216"/>
      <c r="X5" s="1813"/>
      <c r="Y5" s="3193"/>
      <c r="Z5" s="3194"/>
      <c r="AA5" s="3187"/>
      <c r="AB5" s="3187"/>
      <c r="AC5" s="3236"/>
    </row>
    <row r="6" spans="1:29" ht="15.75" thickBot="1">
      <c r="A6" s="406"/>
      <c r="B6" s="407"/>
      <c r="C6" s="3199" t="s">
        <v>2544</v>
      </c>
      <c r="D6" s="3200"/>
      <c r="E6" s="3201" t="s">
        <v>2544</v>
      </c>
      <c r="F6" s="3202"/>
      <c r="G6" s="3199" t="s">
        <v>2544</v>
      </c>
      <c r="H6" s="3200"/>
      <c r="I6" s="3199" t="s">
        <v>2544</v>
      </c>
      <c r="J6" s="3200"/>
      <c r="K6" s="610" t="s">
        <v>2545</v>
      </c>
      <c r="L6" s="1130"/>
      <c r="M6" s="1131"/>
      <c r="N6" s="1131"/>
      <c r="O6" s="1131"/>
      <c r="P6" s="3241"/>
      <c r="Q6" s="3213"/>
      <c r="R6" s="3193"/>
      <c r="S6" s="3194"/>
      <c r="T6" s="3214"/>
      <c r="U6" s="3215"/>
      <c r="V6" s="3216"/>
      <c r="W6" s="3216"/>
      <c r="X6" s="1813"/>
      <c r="Y6" s="3214"/>
      <c r="Z6" s="3215"/>
      <c r="AA6" s="3188"/>
      <c r="AB6" s="3188"/>
      <c r="AC6" s="3237"/>
    </row>
    <row r="7" spans="1:29" s="117" customFormat="1" ht="15.75" thickBot="1">
      <c r="A7" s="408" t="s">
        <v>2546</v>
      </c>
      <c r="B7" s="409"/>
      <c r="C7" s="410">
        <f>'数据-取费表'!B2</f>
        <v>43889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3"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2670"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3" t="s">
        <v>2550</v>
      </c>
      <c r="Q8" s="3190"/>
      <c r="R8" s="770" t="s">
        <v>17</v>
      </c>
      <c r="S8" s="771">
        <f t="shared" si="0"/>
        <v>0</v>
      </c>
      <c r="T8" s="770" t="s">
        <v>17</v>
      </c>
      <c r="U8" s="771">
        <f t="shared" si="1"/>
        <v>0</v>
      </c>
      <c r="V8" s="770" t="s">
        <v>17</v>
      </c>
      <c r="W8" s="771">
        <f t="shared" si="2"/>
        <v>0</v>
      </c>
      <c r="X8" s="772"/>
      <c r="Y8" s="3189" t="s">
        <v>2550</v>
      </c>
      <c r="Z8" s="3190"/>
      <c r="AA8" s="773" t="e">
        <f t="shared" ref="AA8:AA47" si="3">D8/F8</f>
        <v>#DIV/0!</v>
      </c>
      <c r="AB8" s="773" t="e">
        <f t="shared" ref="AB8:AB47" si="4">D8/H8</f>
        <v>#DIV/0!</v>
      </c>
      <c r="AC8" s="2670"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3" t="s">
        <v>2553</v>
      </c>
      <c r="Q9" s="1795"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2670">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0">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3"/>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03"/>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0">
        <f t="shared" si="5"/>
        <v>1</v>
      </c>
    </row>
    <row r="15" spans="1:29" ht="71.25">
      <c r="A15" s="440" t="s">
        <v>2557</v>
      </c>
      <c r="B15" s="629"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0" t="s">
        <v>2558</v>
      </c>
      <c r="Q15" s="1810" t="str">
        <f t="shared" si="6"/>
        <v>办公集聚程度</v>
      </c>
      <c r="R15" s="774" t="s">
        <v>17</v>
      </c>
      <c r="S15" s="775">
        <f t="shared" si="0"/>
        <v>100</v>
      </c>
      <c r="T15" s="774" t="s">
        <v>17</v>
      </c>
      <c r="U15" s="775">
        <f t="shared" si="1"/>
        <v>100</v>
      </c>
      <c r="V15" s="774" t="s">
        <v>17</v>
      </c>
      <c r="W15" s="775">
        <f t="shared" si="2"/>
        <v>100</v>
      </c>
      <c r="X15" s="1813"/>
      <c r="Y15" s="3223" t="s">
        <v>2558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1"/>
      <c r="Q16" s="1810"/>
      <c r="R16" s="774"/>
      <c r="S16" s="775"/>
      <c r="T16" s="774"/>
      <c r="U16" s="775"/>
      <c r="V16" s="774"/>
      <c r="W16" s="775"/>
      <c r="X16" s="1813"/>
      <c r="Y16" s="3224"/>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1"/>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1"/>
      <c r="Q18" s="1810"/>
      <c r="R18" s="774"/>
      <c r="S18" s="775"/>
      <c r="T18" s="774"/>
      <c r="U18" s="775"/>
      <c r="V18" s="774"/>
      <c r="W18" s="775"/>
      <c r="X18" s="1813"/>
      <c r="Y18" s="3224"/>
      <c r="Z18" s="1814"/>
      <c r="AA18" s="1811">
        <v>1</v>
      </c>
      <c r="AB18" s="1811">
        <v>1</v>
      </c>
      <c r="AC18" s="2673">
        <v>1</v>
      </c>
    </row>
    <row r="19" spans="1:29" ht="42.75">
      <c r="A19" s="428"/>
      <c r="B19" s="631"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1"/>
      <c r="Q19" s="1810" t="str">
        <f>B19</f>
        <v>公共配套设施</v>
      </c>
      <c r="R19" s="774" t="s">
        <v>17</v>
      </c>
      <c r="S19" s="775">
        <f>F19</f>
        <v>100</v>
      </c>
      <c r="T19" s="774" t="s">
        <v>17</v>
      </c>
      <c r="U19" s="775">
        <f>H19</f>
        <v>100</v>
      </c>
      <c r="V19" s="774" t="s">
        <v>17</v>
      </c>
      <c r="W19" s="775">
        <f>J19</f>
        <v>100</v>
      </c>
      <c r="X19" s="1813"/>
      <c r="Y19" s="322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1"/>
      <c r="Q20" s="1810"/>
      <c r="R20" s="774"/>
      <c r="S20" s="775"/>
      <c r="T20" s="774"/>
      <c r="U20" s="775"/>
      <c r="V20" s="774"/>
      <c r="W20" s="775"/>
      <c r="X20" s="1813"/>
      <c r="Y20" s="3224"/>
      <c r="Z20" s="1814"/>
      <c r="AA20" s="1811">
        <v>1</v>
      </c>
      <c r="AB20" s="1811">
        <v>1</v>
      </c>
      <c r="AC20" s="2673">
        <v>1</v>
      </c>
    </row>
    <row r="21" spans="1:29" ht="28.5">
      <c r="A21" s="428"/>
      <c r="B21" s="633"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1"/>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1"/>
      <c r="Q22" s="1810"/>
      <c r="R22" s="774"/>
      <c r="S22" s="775"/>
      <c r="T22" s="774"/>
      <c r="U22" s="775"/>
      <c r="V22" s="774"/>
      <c r="W22" s="775"/>
      <c r="X22" s="1813"/>
      <c r="Y22" s="3224"/>
      <c r="Z22" s="1814"/>
      <c r="AA22" s="1811">
        <v>1</v>
      </c>
      <c r="AB22" s="1811">
        <v>1</v>
      </c>
      <c r="AC22" s="2673">
        <v>1</v>
      </c>
    </row>
    <row r="23" spans="1:29" ht="42.75">
      <c r="A23" s="428"/>
      <c r="B23" s="631"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1"/>
      <c r="Q23" s="1810" t="str">
        <f>B23</f>
        <v>环境质量</v>
      </c>
      <c r="R23" s="774" t="s">
        <v>17</v>
      </c>
      <c r="S23" s="775">
        <f>F23</f>
        <v>100</v>
      </c>
      <c r="T23" s="774" t="s">
        <v>17</v>
      </c>
      <c r="U23" s="775">
        <f>H23</f>
        <v>100</v>
      </c>
      <c r="V23" s="774" t="s">
        <v>17</v>
      </c>
      <c r="W23" s="775">
        <f>J23</f>
        <v>100</v>
      </c>
      <c r="X23" s="1813"/>
      <c r="Y23" s="322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1"/>
      <c r="Q24" s="1810"/>
      <c r="R24" s="774"/>
      <c r="S24" s="775"/>
      <c r="T24" s="774"/>
      <c r="U24" s="775"/>
      <c r="V24" s="774"/>
      <c r="W24" s="775"/>
      <c r="X24" s="1813"/>
      <c r="Y24" s="3224"/>
      <c r="Z24" s="1814"/>
      <c r="AA24" s="1811">
        <v>1</v>
      </c>
      <c r="AB24" s="1811">
        <v>1</v>
      </c>
      <c r="AC24" s="2673">
        <v>1</v>
      </c>
    </row>
    <row r="25" spans="1:29" ht="27">
      <c r="A25" s="404"/>
      <c r="B25" s="631"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1"/>
      <c r="Q25" s="1810" t="str">
        <f>B25</f>
        <v>毗邻道路的类型与等级</v>
      </c>
      <c r="R25" s="774" t="s">
        <v>17</v>
      </c>
      <c r="S25" s="775">
        <f>F25</f>
        <v>100</v>
      </c>
      <c r="T25" s="774" t="s">
        <v>17</v>
      </c>
      <c r="U25" s="775">
        <f>H25</f>
        <v>100</v>
      </c>
      <c r="V25" s="774" t="s">
        <v>17</v>
      </c>
      <c r="W25" s="775">
        <f>J25</f>
        <v>100</v>
      </c>
      <c r="X25" s="1813"/>
      <c r="Y25" s="322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1"/>
      <c r="Q26" s="1810"/>
      <c r="R26" s="774"/>
      <c r="S26" s="775"/>
      <c r="T26" s="774"/>
      <c r="U26" s="775"/>
      <c r="V26" s="774"/>
      <c r="W26" s="775"/>
      <c r="X26" s="1813"/>
      <c r="Y26" s="3224"/>
      <c r="Z26" s="1814"/>
      <c r="AA26" s="1811">
        <v>1</v>
      </c>
      <c r="AB26" s="1811">
        <v>1</v>
      </c>
      <c r="AC26" s="2673">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1"/>
      <c r="Q27" s="1810" t="str">
        <f t="shared" ref="Q27:Q47" si="11">B27</f>
        <v>楼层</v>
      </c>
      <c r="R27" s="774" t="s">
        <v>17</v>
      </c>
      <c r="S27" s="775">
        <f>F27</f>
        <v>100</v>
      </c>
      <c r="T27" s="774" t="s">
        <v>17</v>
      </c>
      <c r="U27" s="775">
        <f>H27</f>
        <v>100</v>
      </c>
      <c r="V27" s="774" t="s">
        <v>17</v>
      </c>
      <c r="W27" s="775">
        <f>J27</f>
        <v>100</v>
      </c>
      <c r="X27" s="1813"/>
      <c r="Y27" s="3224"/>
      <c r="Z27" s="1814" t="str">
        <f>Q27</f>
        <v>楼层</v>
      </c>
      <c r="AA27" s="1811">
        <f t="shared" si="3"/>
        <v>1</v>
      </c>
      <c r="AB27" s="1811">
        <f t="shared" si="4"/>
        <v>1</v>
      </c>
      <c r="AC27" s="2673">
        <f t="shared" si="5"/>
        <v>1</v>
      </c>
    </row>
    <row r="28" spans="1:29" s="117" customFormat="1" ht="15">
      <c r="A28" s="431"/>
      <c r="B28" s="631"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1"/>
      <c r="Q28" s="1795" t="str">
        <f t="shared" si="11"/>
        <v>朝向</v>
      </c>
      <c r="R28" s="770" t="s">
        <v>17</v>
      </c>
      <c r="S28" s="771">
        <f>F28</f>
        <v>100</v>
      </c>
      <c r="T28" s="770" t="s">
        <v>17</v>
      </c>
      <c r="U28" s="771">
        <f>H28</f>
        <v>100</v>
      </c>
      <c r="V28" s="770" t="s">
        <v>17</v>
      </c>
      <c r="W28" s="771">
        <f>J28</f>
        <v>100</v>
      </c>
      <c r="X28" s="772"/>
      <c r="Y28" s="322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1"/>
      <c r="Q29" s="1810">
        <f t="shared" si="11"/>
        <v>111</v>
      </c>
      <c r="R29" s="774" t="s">
        <v>17</v>
      </c>
      <c r="S29" s="775">
        <f t="shared" ref="S29:S47" si="12">F29</f>
        <v>100</v>
      </c>
      <c r="T29" s="774" t="s">
        <v>17</v>
      </c>
      <c r="U29" s="775">
        <f t="shared" ref="U29:U47" si="13">H29</f>
        <v>100</v>
      </c>
      <c r="V29" s="774" t="s">
        <v>17</v>
      </c>
      <c r="W29" s="775">
        <f t="shared" ref="W29:W47" si="14">J29</f>
        <v>100</v>
      </c>
      <c r="X29" s="1813"/>
      <c r="Y29" s="322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1"/>
      <c r="Q30" s="1810">
        <f t="shared" si="11"/>
        <v>111</v>
      </c>
      <c r="R30" s="774" t="s">
        <v>17</v>
      </c>
      <c r="S30" s="775">
        <f t="shared" si="12"/>
        <v>100</v>
      </c>
      <c r="T30" s="774" t="s">
        <v>17</v>
      </c>
      <c r="U30" s="775">
        <f t="shared" si="13"/>
        <v>100</v>
      </c>
      <c r="V30" s="774" t="s">
        <v>17</v>
      </c>
      <c r="W30" s="775">
        <f t="shared" si="14"/>
        <v>100</v>
      </c>
      <c r="X30" s="1813"/>
      <c r="Y30" s="322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1"/>
      <c r="Q31" s="1810">
        <f t="shared" si="11"/>
        <v>111</v>
      </c>
      <c r="R31" s="774" t="s">
        <v>17</v>
      </c>
      <c r="S31" s="775">
        <f t="shared" si="12"/>
        <v>100</v>
      </c>
      <c r="T31" s="774" t="s">
        <v>17</v>
      </c>
      <c r="U31" s="775">
        <f t="shared" si="13"/>
        <v>100</v>
      </c>
      <c r="V31" s="774" t="s">
        <v>17</v>
      </c>
      <c r="W31" s="775">
        <f t="shared" si="14"/>
        <v>100</v>
      </c>
      <c r="X31" s="1813"/>
      <c r="Y31" s="322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1"/>
      <c r="Q32" s="1810">
        <f t="shared" si="11"/>
        <v>111</v>
      </c>
      <c r="R32" s="774" t="s">
        <v>17</v>
      </c>
      <c r="S32" s="775">
        <f t="shared" si="12"/>
        <v>100</v>
      </c>
      <c r="T32" s="774" t="s">
        <v>17</v>
      </c>
      <c r="U32" s="775">
        <f t="shared" si="13"/>
        <v>100</v>
      </c>
      <c r="V32" s="774" t="s">
        <v>17</v>
      </c>
      <c r="W32" s="775">
        <f t="shared" si="14"/>
        <v>100</v>
      </c>
      <c r="X32" s="1813"/>
      <c r="Y32" s="3224"/>
      <c r="Z32" s="1814">
        <f t="shared" si="15"/>
        <v>111</v>
      </c>
      <c r="AA32" s="1811">
        <f t="shared" si="3"/>
        <v>1</v>
      </c>
      <c r="AB32" s="1811">
        <f t="shared" si="4"/>
        <v>1</v>
      </c>
      <c r="AC32" s="2673">
        <f t="shared" si="5"/>
        <v>1</v>
      </c>
    </row>
    <row r="33" spans="1:29" ht="15">
      <c r="A33" s="440" t="s">
        <v>2561</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5" t="s">
        <v>2563</v>
      </c>
      <c r="Q33" s="1810" t="str">
        <f t="shared" si="11"/>
        <v>建筑类型</v>
      </c>
      <c r="R33" s="774" t="s">
        <v>17</v>
      </c>
      <c r="S33" s="775">
        <f t="shared" si="12"/>
        <v>100</v>
      </c>
      <c r="T33" s="774" t="s">
        <v>17</v>
      </c>
      <c r="U33" s="775">
        <f t="shared" si="13"/>
        <v>100</v>
      </c>
      <c r="V33" s="774" t="s">
        <v>17</v>
      </c>
      <c r="W33" s="775">
        <f t="shared" si="14"/>
        <v>100</v>
      </c>
      <c r="X33" s="1813"/>
      <c r="Y33" s="3228" t="s">
        <v>2563</v>
      </c>
      <c r="Z33" s="1814" t="str">
        <f t="shared" si="15"/>
        <v>建筑类型</v>
      </c>
      <c r="AA33" s="1811">
        <f t="shared" si="3"/>
        <v>1</v>
      </c>
      <c r="AB33" s="1811">
        <f t="shared" si="4"/>
        <v>1</v>
      </c>
      <c r="AC33" s="2673">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6"/>
      <c r="Q34" s="776" t="str">
        <f t="shared" si="11"/>
        <v>项目建筑规模</v>
      </c>
      <c r="R34" s="777" t="s">
        <v>17</v>
      </c>
      <c r="S34" s="778" t="e">
        <f t="shared" si="12"/>
        <v>#N/A</v>
      </c>
      <c r="T34" s="777" t="s">
        <v>17</v>
      </c>
      <c r="U34" s="778" t="e">
        <f t="shared" si="13"/>
        <v>#N/A</v>
      </c>
      <c r="V34" s="777" t="s">
        <v>17</v>
      </c>
      <c r="W34" s="778" t="e">
        <f t="shared" si="14"/>
        <v>#N/A</v>
      </c>
      <c r="X34" s="779"/>
      <c r="Y34" s="3228"/>
      <c r="Z34" s="780" t="str">
        <f t="shared" si="15"/>
        <v>项目建筑规模</v>
      </c>
      <c r="AA34" s="1811" t="e">
        <f t="shared" si="3"/>
        <v>#N/A</v>
      </c>
      <c r="AB34" s="1811" t="e">
        <f t="shared" si="4"/>
        <v>#N/A</v>
      </c>
      <c r="AC34" s="2673"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6"/>
      <c r="Q35" s="1810" t="str">
        <f t="shared" si="11"/>
        <v>建筑结构</v>
      </c>
      <c r="R35" s="774" t="s">
        <v>17</v>
      </c>
      <c r="S35" s="775">
        <f t="shared" si="12"/>
        <v>100</v>
      </c>
      <c r="T35" s="774" t="s">
        <v>17</v>
      </c>
      <c r="U35" s="775">
        <f t="shared" si="13"/>
        <v>100</v>
      </c>
      <c r="V35" s="774" t="s">
        <v>17</v>
      </c>
      <c r="W35" s="775">
        <f t="shared" si="14"/>
        <v>100</v>
      </c>
      <c r="X35" s="1813"/>
      <c r="Y35" s="3228"/>
      <c r="Z35" s="1814" t="str">
        <f t="shared" si="15"/>
        <v>建筑结构</v>
      </c>
      <c r="AA35" s="1811">
        <f t="shared" si="3"/>
        <v>1</v>
      </c>
      <c r="AB35" s="1811">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6"/>
      <c r="Q36" s="1810" t="str">
        <f t="shared" si="11"/>
        <v>公共部分装修</v>
      </c>
      <c r="R36" s="774" t="s">
        <v>17</v>
      </c>
      <c r="S36" s="775">
        <f t="shared" si="12"/>
        <v>100</v>
      </c>
      <c r="T36" s="774" t="s">
        <v>17</v>
      </c>
      <c r="U36" s="775">
        <f t="shared" si="13"/>
        <v>100</v>
      </c>
      <c r="V36" s="774" t="s">
        <v>17</v>
      </c>
      <c r="W36" s="775">
        <f t="shared" si="14"/>
        <v>100</v>
      </c>
      <c r="X36" s="1813"/>
      <c r="Y36" s="3228"/>
      <c r="Z36" s="1814" t="str">
        <f t="shared" si="15"/>
        <v>公共部分装修</v>
      </c>
      <c r="AA36" s="1811">
        <f t="shared" si="3"/>
        <v>1</v>
      </c>
      <c r="AB36" s="1811">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6"/>
      <c r="Q37" s="1810" t="str">
        <f t="shared" si="11"/>
        <v>成新度</v>
      </c>
      <c r="R37" s="774" t="s">
        <v>17</v>
      </c>
      <c r="S37" s="775" t="e">
        <f t="shared" si="12"/>
        <v>#N/A</v>
      </c>
      <c r="T37" s="774" t="s">
        <v>17</v>
      </c>
      <c r="U37" s="775" t="e">
        <f t="shared" si="13"/>
        <v>#N/A</v>
      </c>
      <c r="V37" s="774" t="s">
        <v>17</v>
      </c>
      <c r="W37" s="775" t="e">
        <f t="shared" si="14"/>
        <v>#N/A</v>
      </c>
      <c r="X37" s="1813"/>
      <c r="Y37" s="3228"/>
      <c r="Z37" s="1814" t="str">
        <f t="shared" si="15"/>
        <v>成新度</v>
      </c>
      <c r="AA37" s="1811" t="e">
        <f t="shared" si="3"/>
        <v>#N/A</v>
      </c>
      <c r="AB37" s="1811"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6"/>
      <c r="Q38" s="1795"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6" t="s">
        <v>2563</v>
      </c>
      <c r="Q39" s="1810" t="str">
        <f t="shared" si="11"/>
        <v>物业管理</v>
      </c>
      <c r="R39" s="774" t="s">
        <v>17</v>
      </c>
      <c r="S39" s="775">
        <f t="shared" si="12"/>
        <v>100</v>
      </c>
      <c r="T39" s="774" t="s">
        <v>17</v>
      </c>
      <c r="U39" s="775">
        <f t="shared" si="13"/>
        <v>100</v>
      </c>
      <c r="V39" s="774" t="s">
        <v>17</v>
      </c>
      <c r="W39" s="775">
        <f t="shared" si="14"/>
        <v>100</v>
      </c>
      <c r="X39" s="1813"/>
      <c r="Y39" s="3228" t="s">
        <v>2563</v>
      </c>
      <c r="Z39" s="1814" t="str">
        <f t="shared" si="15"/>
        <v>物业管理</v>
      </c>
      <c r="AA39" s="1811">
        <f t="shared" si="3"/>
        <v>1</v>
      </c>
      <c r="AB39" s="1811">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6"/>
      <c r="Q40" s="1810" t="str">
        <f t="shared" si="11"/>
        <v>市政基础设施</v>
      </c>
      <c r="R40" s="774" t="s">
        <v>17</v>
      </c>
      <c r="S40" s="775">
        <f t="shared" si="12"/>
        <v>100</v>
      </c>
      <c r="T40" s="774" t="s">
        <v>17</v>
      </c>
      <c r="U40" s="775">
        <f t="shared" si="13"/>
        <v>100</v>
      </c>
      <c r="V40" s="774" t="s">
        <v>17</v>
      </c>
      <c r="W40" s="775">
        <f t="shared" si="14"/>
        <v>100</v>
      </c>
      <c r="X40" s="1813"/>
      <c r="Y40" s="3228"/>
      <c r="Z40" s="1814" t="str">
        <f t="shared" si="15"/>
        <v>市政基础设施</v>
      </c>
      <c r="AA40" s="1811">
        <f t="shared" si="3"/>
        <v>1</v>
      </c>
      <c r="AB40" s="1811">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6"/>
      <c r="Q41" s="1810" t="str">
        <f t="shared" si="11"/>
        <v>层高</v>
      </c>
      <c r="R41" s="774" t="s">
        <v>17</v>
      </c>
      <c r="S41" s="775">
        <f t="shared" si="12"/>
        <v>100</v>
      </c>
      <c r="T41" s="774" t="s">
        <v>17</v>
      </c>
      <c r="U41" s="775">
        <f t="shared" si="13"/>
        <v>100</v>
      </c>
      <c r="V41" s="774" t="s">
        <v>17</v>
      </c>
      <c r="W41" s="775">
        <f t="shared" si="14"/>
        <v>100</v>
      </c>
      <c r="X41" s="1813"/>
      <c r="Y41" s="3228"/>
      <c r="Z41" s="1814" t="str">
        <f t="shared" si="15"/>
        <v>层高</v>
      </c>
      <c r="AA41" s="1811">
        <f t="shared" si="3"/>
        <v>1</v>
      </c>
      <c r="AB41" s="1811">
        <f t="shared" si="4"/>
        <v>1</v>
      </c>
      <c r="AC41" s="2673">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6"/>
      <c r="Q42" s="776" t="str">
        <f t="shared" si="11"/>
        <v>单套建筑面积</v>
      </c>
      <c r="R42" s="777" t="s">
        <v>17</v>
      </c>
      <c r="S42" s="778">
        <f t="shared" si="12"/>
        <v>100</v>
      </c>
      <c r="T42" s="777" t="s">
        <v>17</v>
      </c>
      <c r="U42" s="778">
        <f t="shared" si="13"/>
        <v>100</v>
      </c>
      <c r="V42" s="777" t="s">
        <v>17</v>
      </c>
      <c r="W42" s="778">
        <f t="shared" si="14"/>
        <v>100</v>
      </c>
      <c r="X42" s="779"/>
      <c r="Y42" s="3228"/>
      <c r="Z42" s="780" t="str">
        <f t="shared" si="15"/>
        <v>单套建筑面积</v>
      </c>
      <c r="AA42" s="1811">
        <f t="shared" si="3"/>
        <v>1</v>
      </c>
      <c r="AB42" s="1811">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6"/>
      <c r="Q43" s="1810" t="str">
        <f t="shared" si="11"/>
        <v>内部装修</v>
      </c>
      <c r="R43" s="774" t="s">
        <v>17</v>
      </c>
      <c r="S43" s="775">
        <f t="shared" si="12"/>
        <v>100</v>
      </c>
      <c r="T43" s="774" t="s">
        <v>17</v>
      </c>
      <c r="U43" s="775">
        <f t="shared" si="13"/>
        <v>100</v>
      </c>
      <c r="V43" s="774" t="s">
        <v>17</v>
      </c>
      <c r="W43" s="775">
        <f t="shared" si="14"/>
        <v>100</v>
      </c>
      <c r="X43" s="1813"/>
      <c r="Y43" s="3228"/>
      <c r="Z43" s="1814" t="str">
        <f t="shared" si="15"/>
        <v>内部装修</v>
      </c>
      <c r="AA43" s="1811">
        <f t="shared" si="3"/>
        <v>1</v>
      </c>
      <c r="AB43" s="1811">
        <f t="shared" si="4"/>
        <v>1</v>
      </c>
      <c r="AC43" s="2673">
        <f t="shared" si="5"/>
        <v>1</v>
      </c>
    </row>
    <row r="44" spans="1:29" ht="15">
      <c r="A44" s="472"/>
      <c r="B44" s="422" t="s">
        <v>2574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6"/>
      <c r="Q44" s="1810" t="str">
        <f t="shared" si="11"/>
        <v>内部装修维护情况</v>
      </c>
      <c r="R44" s="774" t="s">
        <v>17</v>
      </c>
      <c r="S44" s="775">
        <f t="shared" si="12"/>
        <v>100</v>
      </c>
      <c r="T44" s="774" t="s">
        <v>17</v>
      </c>
      <c r="U44" s="775">
        <f t="shared" si="13"/>
        <v>100</v>
      </c>
      <c r="V44" s="774" t="s">
        <v>17</v>
      </c>
      <c r="W44" s="775">
        <f t="shared" si="14"/>
        <v>100</v>
      </c>
      <c r="X44" s="1813"/>
      <c r="Y44" s="3228"/>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6"/>
      <c r="Q45" s="1795">
        <f t="shared" si="11"/>
        <v>111</v>
      </c>
      <c r="R45" s="770" t="s">
        <v>17</v>
      </c>
      <c r="S45" s="771">
        <f t="shared" si="12"/>
        <v>100</v>
      </c>
      <c r="T45" s="770" t="s">
        <v>17</v>
      </c>
      <c r="U45" s="771">
        <f t="shared" si="13"/>
        <v>100</v>
      </c>
      <c r="V45" s="770" t="s">
        <v>17</v>
      </c>
      <c r="W45" s="771">
        <f t="shared" si="14"/>
        <v>100</v>
      </c>
      <c r="X45" s="772"/>
      <c r="Y45" s="322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22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7"/>
      <c r="Q47" s="1810">
        <f t="shared" si="11"/>
        <v>111</v>
      </c>
      <c r="R47" s="774" t="s">
        <v>17</v>
      </c>
      <c r="S47" s="775">
        <f t="shared" si="12"/>
        <v>100</v>
      </c>
      <c r="T47" s="774" t="s">
        <v>17</v>
      </c>
      <c r="U47" s="775">
        <f t="shared" si="13"/>
        <v>100</v>
      </c>
      <c r="V47" s="774" t="s">
        <v>17</v>
      </c>
      <c r="W47" s="775">
        <f t="shared" si="14"/>
        <v>100</v>
      </c>
      <c r="X47" s="1813"/>
      <c r="Y47" s="3229"/>
      <c r="Z47" s="1814">
        <f t="shared" si="15"/>
        <v>111</v>
      </c>
      <c r="AA47" s="1811">
        <f t="shared" si="3"/>
        <v>1</v>
      </c>
      <c r="AB47" s="1811">
        <f t="shared" si="4"/>
        <v>1</v>
      </c>
      <c r="AC47" s="2673">
        <f t="shared" si="5"/>
        <v>1</v>
      </c>
    </row>
    <row r="48" spans="1:29" ht="15">
      <c r="A48" s="479" t="s">
        <v>2575</v>
      </c>
      <c r="B48" s="480"/>
      <c r="C48" s="1407" t="s">
        <v>1</v>
      </c>
      <c r="D48" s="1408"/>
      <c r="E48" s="1409"/>
      <c r="F48" s="1410"/>
      <c r="G48" s="1411"/>
      <c r="H48" s="1412"/>
      <c r="I48" s="1409"/>
      <c r="J48" s="485"/>
      <c r="K48" s="783"/>
      <c r="L48" s="1143"/>
      <c r="M48" s="1131"/>
      <c r="N48" s="1131"/>
      <c r="O48" s="1131"/>
      <c r="P48" s="3203" t="str">
        <f>A48</f>
        <v>成交单价（元/平方米）</v>
      </c>
      <c r="Q48" s="3221"/>
      <c r="R48" s="3222">
        <f>E48</f>
        <v>0</v>
      </c>
      <c r="S48" s="3222"/>
      <c r="T48" s="3222">
        <f>G48</f>
        <v>0</v>
      </c>
      <c r="U48" s="3222"/>
      <c r="V48" s="3222">
        <f>I48</f>
        <v>0</v>
      </c>
      <c r="W48" s="3222"/>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44" t="str">
        <f>A50</f>
        <v>估价对象XX用房的比较价值（楼面单价，元/平方米）</v>
      </c>
      <c r="Q50" s="3245"/>
      <c r="R50" s="3246" t="e">
        <f>IF(F1="售价",ROUND(AVERAGE(R49:V49),0),ROUND(AVERAGE(R49:V49),1))</f>
        <v>#DIV/0!</v>
      </c>
      <c r="S50" s="3246"/>
      <c r="T50" s="3246"/>
      <c r="U50" s="3246"/>
      <c r="V50" s="3246"/>
      <c r="W50" s="3246"/>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0"/>
      <c r="Q58" s="504"/>
    </row>
    <row r="59" spans="1:29" s="508" customFormat="1" ht="15">
      <c r="A59" s="505" t="s">
        <v>2546</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2586</v>
      </c>
      <c r="B64" s="528" t="s">
        <v>2552</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2561</v>
      </c>
      <c r="B101" s="528" t="s">
        <v>2610</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2612</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2614</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2615</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2616</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2618</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13"/>
  <sheetViews>
    <sheetView topLeftCell="A7" zoomScale="90" zoomScaleNormal="90" workbookViewId="0">
      <selection activeCell="C33" sqref="C3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3098</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IF(C2="——",ROUND(C43*D3/10000,0),ROUND(C43*D3/10000,0)-D2)</f>
        <v>0</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1389</v>
      </c>
      <c r="B3" s="609">
        <f>IF(C2="——",C43,ROUND(B2*10000/D3,0))</f>
        <v>1.8</v>
      </c>
      <c r="C3" s="400" t="s">
        <v>2532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2533</v>
      </c>
      <c r="B4" s="402"/>
      <c r="C4" s="3204" t="s">
        <v>2534</v>
      </c>
      <c r="D4" s="3205"/>
      <c r="E4" s="3206" t="s">
        <v>2535</v>
      </c>
      <c r="F4" s="3207"/>
      <c r="G4" s="3204" t="s">
        <v>2536</v>
      </c>
      <c r="H4" s="3205"/>
      <c r="I4" s="3204" t="s">
        <v>2537</v>
      </c>
      <c r="J4" s="3205"/>
      <c r="K4" s="610" t="s">
        <v>2538</v>
      </c>
      <c r="L4" s="1130"/>
      <c r="M4" s="1131"/>
      <c r="N4" s="1131"/>
      <c r="O4" s="1131"/>
      <c r="P4" s="3208" t="s">
        <v>2539</v>
      </c>
      <c r="Q4" s="3209"/>
      <c r="R4" s="3191" t="s">
        <v>2535</v>
      </c>
      <c r="S4" s="3192"/>
      <c r="T4" s="3191" t="s">
        <v>2536</v>
      </c>
      <c r="U4" s="3192"/>
      <c r="V4" s="3216" t="s">
        <v>2537</v>
      </c>
      <c r="W4" s="3216"/>
      <c r="X4" s="2957"/>
      <c r="Y4" s="3191" t="s">
        <v>2539</v>
      </c>
      <c r="Z4" s="3192"/>
      <c r="AA4" s="3186" t="s">
        <v>2535</v>
      </c>
      <c r="AB4" s="3187" t="s">
        <v>2536</v>
      </c>
      <c r="AC4" s="3186" t="s">
        <v>2537</v>
      </c>
    </row>
    <row r="5" spans="1:29"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2957"/>
      <c r="Y5" s="3193"/>
      <c r="Z5" s="3194"/>
      <c r="AA5" s="3187"/>
      <c r="AB5" s="3187"/>
      <c r="AC5" s="3187"/>
    </row>
    <row r="6" spans="1:29" ht="15.75" thickBot="1">
      <c r="A6" s="406"/>
      <c r="B6" s="407"/>
      <c r="C6" s="3199" t="s">
        <v>2544</v>
      </c>
      <c r="D6" s="3200"/>
      <c r="E6" s="3201" t="s">
        <v>2544</v>
      </c>
      <c r="F6" s="3202"/>
      <c r="G6" s="3199" t="s">
        <v>2544</v>
      </c>
      <c r="H6" s="3200"/>
      <c r="I6" s="3199" t="s">
        <v>2544</v>
      </c>
      <c r="J6" s="3200"/>
      <c r="K6" s="610" t="s">
        <v>2545</v>
      </c>
      <c r="L6" s="1130"/>
      <c r="M6" s="1131"/>
      <c r="N6" s="1131"/>
      <c r="O6" s="1131"/>
      <c r="P6" s="3212"/>
      <c r="Q6" s="3213"/>
      <c r="R6" s="3193"/>
      <c r="S6" s="3194"/>
      <c r="T6" s="3214"/>
      <c r="U6" s="3215"/>
      <c r="V6" s="3216"/>
      <c r="W6" s="3216"/>
      <c r="X6" s="2957"/>
      <c r="Y6" s="3214"/>
      <c r="Z6" s="3215"/>
      <c r="AA6" s="3188"/>
      <c r="AB6" s="3188"/>
      <c r="AC6" s="3188"/>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189" t="s">
        <v>2547</v>
      </c>
      <c r="Q7" s="3217"/>
      <c r="R7" s="770" t="s">
        <v>17</v>
      </c>
      <c r="S7" s="771">
        <f t="shared" ref="S7:S15" si="0">F7</f>
        <v>100</v>
      </c>
      <c r="T7" s="770" t="s">
        <v>17</v>
      </c>
      <c r="U7" s="771">
        <f t="shared" ref="U7:U15" si="1">H7</f>
        <v>100</v>
      </c>
      <c r="V7" s="770" t="s">
        <v>17</v>
      </c>
      <c r="W7" s="771">
        <f t="shared" ref="W7:W15" si="2">J7</f>
        <v>100</v>
      </c>
      <c r="X7" s="772"/>
      <c r="Y7" s="3189" t="s">
        <v>2547</v>
      </c>
      <c r="Z7" s="3190"/>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189" t="s">
        <v>2550</v>
      </c>
      <c r="Q8" s="3190"/>
      <c r="R8" s="770" t="s">
        <v>17</v>
      </c>
      <c r="S8" s="771">
        <f t="shared" si="0"/>
        <v>100</v>
      </c>
      <c r="T8" s="770" t="s">
        <v>17</v>
      </c>
      <c r="U8" s="771">
        <f t="shared" si="1"/>
        <v>100</v>
      </c>
      <c r="V8" s="770" t="s">
        <v>17</v>
      </c>
      <c r="W8" s="771">
        <f t="shared" si="2"/>
        <v>100</v>
      </c>
      <c r="X8" s="772"/>
      <c r="Y8" s="3189" t="s">
        <v>2550</v>
      </c>
      <c r="Z8" s="3190"/>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221" t="s">
        <v>2553</v>
      </c>
      <c r="Q9" s="2952" t="str">
        <f t="shared" ref="Q9:Q15" si="6">B9</f>
        <v>用途</v>
      </c>
      <c r="R9" s="770" t="s">
        <v>17</v>
      </c>
      <c r="S9" s="771">
        <f t="shared" si="0"/>
        <v>100</v>
      </c>
      <c r="T9" s="770" t="s">
        <v>17</v>
      </c>
      <c r="U9" s="771">
        <f t="shared" si="1"/>
        <v>100</v>
      </c>
      <c r="V9" s="770" t="s">
        <v>17</v>
      </c>
      <c r="W9" s="771">
        <f t="shared" si="2"/>
        <v>100</v>
      </c>
      <c r="X9" s="772"/>
      <c r="Y9" s="3036" t="s">
        <v>2554</v>
      </c>
      <c r="Z9" s="2953" t="str">
        <f t="shared" ref="Z9:Z15" si="7">Q9</f>
        <v>用途</v>
      </c>
      <c r="AA9" s="773">
        <f t="shared" si="3"/>
        <v>1</v>
      </c>
      <c r="AB9" s="773">
        <f t="shared" si="4"/>
        <v>1</v>
      </c>
      <c r="AC9" s="773">
        <f t="shared" si="5"/>
        <v>1</v>
      </c>
    </row>
    <row r="10" spans="1:29" s="427" customFormat="1" ht="27.75" thickBot="1">
      <c r="A10" s="421"/>
      <c r="B10" s="2954"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221"/>
      <c r="Q10" s="2952" t="str">
        <f t="shared" si="6"/>
        <v>土地使用年限（年）</v>
      </c>
      <c r="R10" s="770" t="s">
        <v>17</v>
      </c>
      <c r="S10" s="771">
        <f t="shared" si="0"/>
        <v>100</v>
      </c>
      <c r="T10" s="770" t="s">
        <v>17</v>
      </c>
      <c r="U10" s="771">
        <f t="shared" si="1"/>
        <v>100</v>
      </c>
      <c r="V10" s="770" t="s">
        <v>17</v>
      </c>
      <c r="W10" s="771">
        <f t="shared" si="2"/>
        <v>100</v>
      </c>
      <c r="X10" s="772"/>
      <c r="Y10" s="3036"/>
      <c r="Z10" s="2953" t="str">
        <f t="shared" si="7"/>
        <v>土地使用年限（年）</v>
      </c>
      <c r="AA10" s="773">
        <f t="shared" si="3"/>
        <v>1</v>
      </c>
      <c r="AB10" s="773">
        <f t="shared" si="4"/>
        <v>1</v>
      </c>
      <c r="AC10" s="773">
        <f t="shared" si="5"/>
        <v>1</v>
      </c>
    </row>
    <row r="11" spans="1:29" ht="15.75" hidden="1" thickBot="1">
      <c r="A11" s="428"/>
      <c r="B11" s="2954"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21"/>
      <c r="Q11" s="2952" t="str">
        <f t="shared" si="6"/>
        <v>容积率</v>
      </c>
      <c r="R11" s="770" t="s">
        <v>17</v>
      </c>
      <c r="S11" s="771">
        <f t="shared" si="0"/>
        <v>100</v>
      </c>
      <c r="T11" s="770" t="s">
        <v>17</v>
      </c>
      <c r="U11" s="771">
        <f t="shared" si="1"/>
        <v>100</v>
      </c>
      <c r="V11" s="770" t="s">
        <v>17</v>
      </c>
      <c r="W11" s="771">
        <f t="shared" si="2"/>
        <v>100</v>
      </c>
      <c r="X11" s="772"/>
      <c r="Y11" s="3036"/>
      <c r="Z11" s="2953" t="str">
        <f t="shared" si="7"/>
        <v>容积率</v>
      </c>
      <c r="AA11" s="773">
        <f t="shared" si="3"/>
        <v>1</v>
      </c>
      <c r="AB11" s="773">
        <f t="shared" si="4"/>
        <v>1</v>
      </c>
      <c r="AC11" s="773">
        <f t="shared" si="5"/>
        <v>1</v>
      </c>
    </row>
    <row r="12" spans="1:29" s="117" customFormat="1" ht="15.75" hidden="1" thickBot="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21"/>
      <c r="Q12" s="2952">
        <f t="shared" si="6"/>
        <v>111</v>
      </c>
      <c r="R12" s="770" t="s">
        <v>17</v>
      </c>
      <c r="S12" s="771">
        <f t="shared" si="0"/>
        <v>100</v>
      </c>
      <c r="T12" s="770" t="s">
        <v>17</v>
      </c>
      <c r="U12" s="771">
        <f t="shared" si="1"/>
        <v>100</v>
      </c>
      <c r="V12" s="770" t="s">
        <v>17</v>
      </c>
      <c r="W12" s="771">
        <f t="shared" si="2"/>
        <v>100</v>
      </c>
      <c r="X12" s="772"/>
      <c r="Y12" s="3036"/>
      <c r="Z12" s="2953">
        <f t="shared" si="7"/>
        <v>111</v>
      </c>
      <c r="AA12" s="773">
        <f>D12/F12</f>
        <v>1</v>
      </c>
      <c r="AB12" s="773">
        <f>D12/H12</f>
        <v>1</v>
      </c>
      <c r="AC12" s="773">
        <f>D12/J12</f>
        <v>1</v>
      </c>
    </row>
    <row r="13" spans="1:29" ht="15.75" hidden="1" thickBot="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21"/>
      <c r="Q13" s="2952">
        <f t="shared" si="6"/>
        <v>111</v>
      </c>
      <c r="R13" s="770" t="s">
        <v>17</v>
      </c>
      <c r="S13" s="771">
        <f t="shared" si="0"/>
        <v>100</v>
      </c>
      <c r="T13" s="770" t="s">
        <v>17</v>
      </c>
      <c r="U13" s="771">
        <f t="shared" si="1"/>
        <v>100</v>
      </c>
      <c r="V13" s="770" t="s">
        <v>17</v>
      </c>
      <c r="W13" s="771">
        <f t="shared" si="2"/>
        <v>100</v>
      </c>
      <c r="X13" s="772"/>
      <c r="Y13" s="3036"/>
      <c r="Z13" s="2953">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21"/>
      <c r="Q14" s="2952">
        <f t="shared" si="6"/>
        <v>111</v>
      </c>
      <c r="R14" s="770" t="s">
        <v>17</v>
      </c>
      <c r="S14" s="771">
        <f t="shared" si="0"/>
        <v>100</v>
      </c>
      <c r="T14" s="770" t="s">
        <v>17</v>
      </c>
      <c r="U14" s="771">
        <f t="shared" si="1"/>
        <v>100</v>
      </c>
      <c r="V14" s="770" t="s">
        <v>17</v>
      </c>
      <c r="W14" s="771">
        <f t="shared" si="2"/>
        <v>100</v>
      </c>
      <c r="X14" s="772"/>
      <c r="Y14" s="3036"/>
      <c r="Z14" s="2953">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223" t="s">
        <v>2558</v>
      </c>
      <c r="Q15" s="2955" t="str">
        <f t="shared" si="6"/>
        <v>产业集聚程度</v>
      </c>
      <c r="R15" s="774" t="s">
        <v>17</v>
      </c>
      <c r="S15" s="775">
        <f t="shared" si="0"/>
        <v>100</v>
      </c>
      <c r="T15" s="774" t="s">
        <v>17</v>
      </c>
      <c r="U15" s="775">
        <f t="shared" si="1"/>
        <v>100</v>
      </c>
      <c r="V15" s="774" t="s">
        <v>17</v>
      </c>
      <c r="W15" s="775">
        <f t="shared" si="2"/>
        <v>100</v>
      </c>
      <c r="X15" s="2957"/>
      <c r="Y15" s="3223" t="s">
        <v>2558</v>
      </c>
      <c r="Z15" s="2958" t="str">
        <f t="shared" si="7"/>
        <v>产业集聚程度</v>
      </c>
      <c r="AA15" s="2956">
        <f t="shared" si="3"/>
        <v>1</v>
      </c>
      <c r="AB15" s="2956">
        <f t="shared" si="4"/>
        <v>1</v>
      </c>
      <c r="AC15" s="2956">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224"/>
      <c r="Q16" s="2955"/>
      <c r="R16" s="774"/>
      <c r="S16" s="775"/>
      <c r="T16" s="774"/>
      <c r="U16" s="775"/>
      <c r="V16" s="774"/>
      <c r="W16" s="775"/>
      <c r="X16" s="2957"/>
      <c r="Y16" s="3224"/>
      <c r="Z16" s="2958"/>
      <c r="AA16" s="2956">
        <v>1</v>
      </c>
      <c r="AB16" s="2956">
        <v>1</v>
      </c>
      <c r="AC16" s="2956">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224"/>
      <c r="Q17" s="2955" t="str">
        <f>B17</f>
        <v>交通便捷度</v>
      </c>
      <c r="R17" s="774" t="s">
        <v>17</v>
      </c>
      <c r="S17" s="775">
        <f>F17</f>
        <v>100</v>
      </c>
      <c r="T17" s="774" t="s">
        <v>17</v>
      </c>
      <c r="U17" s="775">
        <f>H17</f>
        <v>100</v>
      </c>
      <c r="V17" s="774" t="s">
        <v>17</v>
      </c>
      <c r="W17" s="775">
        <f>J17</f>
        <v>100</v>
      </c>
      <c r="X17" s="2957"/>
      <c r="Y17" s="3224"/>
      <c r="Z17" s="2958" t="str">
        <f>Q17</f>
        <v>交通便捷度</v>
      </c>
      <c r="AA17" s="2956">
        <f t="shared" si="3"/>
        <v>1</v>
      </c>
      <c r="AB17" s="2956">
        <f t="shared" si="4"/>
        <v>1</v>
      </c>
      <c r="AC17" s="2956">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224"/>
      <c r="Q18" s="2955"/>
      <c r="R18" s="774"/>
      <c r="S18" s="775"/>
      <c r="T18" s="774"/>
      <c r="U18" s="775"/>
      <c r="V18" s="774"/>
      <c r="W18" s="775"/>
      <c r="X18" s="2957"/>
      <c r="Y18" s="3224"/>
      <c r="Z18" s="2958"/>
      <c r="AA18" s="2956">
        <v>1</v>
      </c>
      <c r="AB18" s="2956">
        <v>1</v>
      </c>
      <c r="AC18" s="2956">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224"/>
      <c r="Q19" s="2955" t="str">
        <f>B19</f>
        <v>公共配套设施</v>
      </c>
      <c r="R19" s="774" t="s">
        <v>17</v>
      </c>
      <c r="S19" s="775">
        <f>F19</f>
        <v>100</v>
      </c>
      <c r="T19" s="774" t="s">
        <v>17</v>
      </c>
      <c r="U19" s="775">
        <f>H19</f>
        <v>100</v>
      </c>
      <c r="V19" s="774" t="s">
        <v>17</v>
      </c>
      <c r="W19" s="775">
        <f>J19</f>
        <v>100</v>
      </c>
      <c r="X19" s="2957"/>
      <c r="Y19" s="3224"/>
      <c r="Z19" s="2958" t="str">
        <f>Q19</f>
        <v>公共配套设施</v>
      </c>
      <c r="AA19" s="2956">
        <f t="shared" si="3"/>
        <v>1</v>
      </c>
      <c r="AB19" s="2956">
        <f t="shared" si="4"/>
        <v>1</v>
      </c>
      <c r="AC19" s="2956">
        <f t="shared" si="5"/>
        <v>1</v>
      </c>
    </row>
    <row r="20" spans="1:29" ht="15">
      <c r="A20" s="428"/>
      <c r="B20" s="456"/>
      <c r="C20" s="447" t="s">
        <v>3113</v>
      </c>
      <c r="D20" s="448"/>
      <c r="E20" s="447" t="s">
        <v>3113</v>
      </c>
      <c r="F20" s="449"/>
      <c r="G20" s="447" t="s">
        <v>3113</v>
      </c>
      <c r="H20" s="448"/>
      <c r="I20" s="447" t="s">
        <v>3113</v>
      </c>
      <c r="J20" s="448"/>
      <c r="K20" s="615"/>
      <c r="L20" s="1140"/>
      <c r="M20" s="1131"/>
      <c r="N20" s="1131"/>
      <c r="O20" s="1139"/>
      <c r="P20" s="3224"/>
      <c r="Q20" s="2955"/>
      <c r="R20" s="774"/>
      <c r="S20" s="775"/>
      <c r="T20" s="774"/>
      <c r="U20" s="775"/>
      <c r="V20" s="774"/>
      <c r="W20" s="775"/>
      <c r="X20" s="2957"/>
      <c r="Y20" s="3224"/>
      <c r="Z20" s="2958"/>
      <c r="AA20" s="2956">
        <v>1</v>
      </c>
      <c r="AB20" s="2956">
        <v>1</v>
      </c>
      <c r="AC20" s="2956">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224"/>
      <c r="Q21" s="2955" t="str">
        <f>B21</f>
        <v>基础设施水平</v>
      </c>
      <c r="R21" s="774" t="s">
        <v>17</v>
      </c>
      <c r="S21" s="775">
        <f>F21</f>
        <v>100</v>
      </c>
      <c r="T21" s="774" t="s">
        <v>17</v>
      </c>
      <c r="U21" s="775">
        <f>H21</f>
        <v>100</v>
      </c>
      <c r="V21" s="774" t="s">
        <v>17</v>
      </c>
      <c r="W21" s="775">
        <f>J21</f>
        <v>100</v>
      </c>
      <c r="X21" s="2957"/>
      <c r="Y21" s="3224"/>
      <c r="Z21" s="2958" t="str">
        <f>Q21</f>
        <v>基础设施水平</v>
      </c>
      <c r="AA21" s="2956">
        <f t="shared" ref="AA21" si="8">D21/F21</f>
        <v>1</v>
      </c>
      <c r="AB21" s="2956">
        <f t="shared" ref="AB21" si="9">D21/H21</f>
        <v>1</v>
      </c>
      <c r="AC21" s="2956">
        <f t="shared" ref="AC21" si="10">D21/J21</f>
        <v>1</v>
      </c>
    </row>
    <row r="22" spans="1:29" ht="15">
      <c r="A22" s="428"/>
      <c r="B22" s="1384"/>
      <c r="C22" s="2607" t="s">
        <v>3086</v>
      </c>
      <c r="D22" s="448"/>
      <c r="E22" s="2607" t="s">
        <v>3086</v>
      </c>
      <c r="F22" s="449"/>
      <c r="G22" s="2607" t="s">
        <v>3086</v>
      </c>
      <c r="H22" s="448"/>
      <c r="I22" s="2607" t="s">
        <v>3086</v>
      </c>
      <c r="J22" s="448"/>
      <c r="K22" s="1383"/>
      <c r="L22" s="1140"/>
      <c r="M22" s="1131"/>
      <c r="N22" s="1131"/>
      <c r="O22" s="1139"/>
      <c r="P22" s="3224"/>
      <c r="Q22" s="2955"/>
      <c r="R22" s="774"/>
      <c r="S22" s="775"/>
      <c r="T22" s="774"/>
      <c r="U22" s="775"/>
      <c r="V22" s="774"/>
      <c r="W22" s="775"/>
      <c r="X22" s="2957"/>
      <c r="Y22" s="3224"/>
      <c r="Z22" s="2958"/>
      <c r="AA22" s="2956">
        <v>1</v>
      </c>
      <c r="AB22" s="2956">
        <v>1</v>
      </c>
      <c r="AC22" s="2956">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224"/>
      <c r="Q23" s="2955" t="str">
        <f>B23</f>
        <v>环境质量</v>
      </c>
      <c r="R23" s="774" t="s">
        <v>17</v>
      </c>
      <c r="S23" s="775">
        <f>F23</f>
        <v>100</v>
      </c>
      <c r="T23" s="774" t="s">
        <v>17</v>
      </c>
      <c r="U23" s="775">
        <f>H23</f>
        <v>100</v>
      </c>
      <c r="V23" s="774" t="s">
        <v>17</v>
      </c>
      <c r="W23" s="775">
        <f>J23</f>
        <v>100</v>
      </c>
      <c r="X23" s="2957"/>
      <c r="Y23" s="3224"/>
      <c r="Z23" s="2958" t="str">
        <f>Q23</f>
        <v>环境质量</v>
      </c>
      <c r="AA23" s="2956">
        <f t="shared" si="3"/>
        <v>1</v>
      </c>
      <c r="AB23" s="2956">
        <f t="shared" si="4"/>
        <v>1</v>
      </c>
      <c r="AC23" s="2956">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224"/>
      <c r="Q24" s="2955"/>
      <c r="R24" s="774"/>
      <c r="S24" s="775"/>
      <c r="T24" s="774"/>
      <c r="U24" s="775"/>
      <c r="V24" s="774"/>
      <c r="W24" s="775"/>
      <c r="X24" s="2957"/>
      <c r="Y24" s="3224"/>
      <c r="Z24" s="2958"/>
      <c r="AA24" s="2956">
        <v>1</v>
      </c>
      <c r="AB24" s="2956">
        <v>1</v>
      </c>
      <c r="AC24" s="2956">
        <v>1</v>
      </c>
    </row>
    <row r="25" spans="1:29" ht="15.75" hidden="1" thickBot="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4"/>
      <c r="Q25" s="2955">
        <f>B25</f>
        <v>111</v>
      </c>
      <c r="R25" s="774" t="s">
        <v>17</v>
      </c>
      <c r="S25" s="775">
        <f>F25</f>
        <v>100</v>
      </c>
      <c r="T25" s="774" t="s">
        <v>17</v>
      </c>
      <c r="U25" s="775">
        <f>H25</f>
        <v>100</v>
      </c>
      <c r="V25" s="774" t="s">
        <v>17</v>
      </c>
      <c r="W25" s="775">
        <f>J25</f>
        <v>100</v>
      </c>
      <c r="X25" s="2957"/>
      <c r="Y25" s="3224"/>
      <c r="Z25" s="2958">
        <f>Q25</f>
        <v>111</v>
      </c>
      <c r="AA25" s="2956">
        <f t="shared" si="3"/>
        <v>1</v>
      </c>
      <c r="AB25" s="2956">
        <f t="shared" si="4"/>
        <v>1</v>
      </c>
      <c r="AC25" s="2956">
        <f t="shared" si="5"/>
        <v>1</v>
      </c>
    </row>
    <row r="26" spans="1:29" ht="15.75" hidden="1" thickBot="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4"/>
      <c r="Q26" s="2955">
        <f t="shared" ref="Q26:Q40" si="11">B26</f>
        <v>111</v>
      </c>
      <c r="R26" s="774" t="s">
        <v>17</v>
      </c>
      <c r="S26" s="775">
        <f>F26</f>
        <v>100</v>
      </c>
      <c r="T26" s="774" t="s">
        <v>17</v>
      </c>
      <c r="U26" s="775">
        <f>H26</f>
        <v>100</v>
      </c>
      <c r="V26" s="774" t="s">
        <v>17</v>
      </c>
      <c r="W26" s="775">
        <f>J26</f>
        <v>100</v>
      </c>
      <c r="X26" s="2957"/>
      <c r="Y26" s="3224"/>
      <c r="Z26" s="2958">
        <f>Q26</f>
        <v>111</v>
      </c>
      <c r="AA26" s="2956">
        <f t="shared" si="3"/>
        <v>1</v>
      </c>
      <c r="AB26" s="2956">
        <f t="shared" si="4"/>
        <v>1</v>
      </c>
      <c r="AC26" s="2956">
        <f t="shared" si="5"/>
        <v>1</v>
      </c>
    </row>
    <row r="27" spans="1:29" s="117" customFormat="1" ht="15.75" hidden="1" thickBot="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4"/>
      <c r="Q27" s="2952">
        <f t="shared" si="11"/>
        <v>111</v>
      </c>
      <c r="R27" s="770" t="s">
        <v>17</v>
      </c>
      <c r="S27" s="771">
        <f>F27</f>
        <v>100</v>
      </c>
      <c r="T27" s="770" t="s">
        <v>17</v>
      </c>
      <c r="U27" s="771">
        <f>H27</f>
        <v>100</v>
      </c>
      <c r="V27" s="770" t="s">
        <v>17</v>
      </c>
      <c r="W27" s="771">
        <f>J27</f>
        <v>100</v>
      </c>
      <c r="X27" s="772"/>
      <c r="Y27" s="3224"/>
      <c r="Z27" s="2953">
        <f>Q27</f>
        <v>111</v>
      </c>
      <c r="AA27" s="2956">
        <f>D27/F27</f>
        <v>1</v>
      </c>
      <c r="AB27" s="2956">
        <f>D27/H27</f>
        <v>1</v>
      </c>
      <c r="AC27" s="2956">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4"/>
      <c r="Q28" s="2955">
        <f t="shared" si="11"/>
        <v>111</v>
      </c>
      <c r="R28" s="774" t="s">
        <v>17</v>
      </c>
      <c r="S28" s="775">
        <f t="shared" ref="S28:S40" si="12">F28</f>
        <v>100</v>
      </c>
      <c r="T28" s="774" t="s">
        <v>17</v>
      </c>
      <c r="U28" s="775">
        <f t="shared" ref="U28:U40" si="13">H28</f>
        <v>100</v>
      </c>
      <c r="V28" s="774" t="s">
        <v>17</v>
      </c>
      <c r="W28" s="775">
        <f t="shared" ref="W28:W40" si="14">J28</f>
        <v>100</v>
      </c>
      <c r="X28" s="2957"/>
      <c r="Y28" s="3224"/>
      <c r="Z28" s="2958">
        <f t="shared" ref="Z28:Z40" si="15">Q28</f>
        <v>111</v>
      </c>
      <c r="AA28" s="2956">
        <f t="shared" si="3"/>
        <v>1</v>
      </c>
      <c r="AB28" s="2956">
        <f t="shared" si="4"/>
        <v>1</v>
      </c>
      <c r="AC28" s="2956">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7" t="s">
        <v>2563</v>
      </c>
      <c r="Q29" s="2955" t="str">
        <f t="shared" si="11"/>
        <v>建筑类型</v>
      </c>
      <c r="R29" s="774" t="s">
        <v>17</v>
      </c>
      <c r="S29" s="775">
        <f t="shared" si="12"/>
        <v>100</v>
      </c>
      <c r="T29" s="774" t="s">
        <v>17</v>
      </c>
      <c r="U29" s="775">
        <f t="shared" si="13"/>
        <v>100</v>
      </c>
      <c r="V29" s="774" t="s">
        <v>17</v>
      </c>
      <c r="W29" s="775">
        <f t="shared" si="14"/>
        <v>100</v>
      </c>
      <c r="X29" s="2957"/>
      <c r="Y29" s="3228" t="s">
        <v>2563</v>
      </c>
      <c r="Z29" s="2958" t="str">
        <f t="shared" si="15"/>
        <v>建筑类型</v>
      </c>
      <c r="AA29" s="2956">
        <f t="shared" si="3"/>
        <v>1</v>
      </c>
      <c r="AB29" s="2956">
        <f t="shared" si="4"/>
        <v>1</v>
      </c>
      <c r="AC29" s="2956">
        <f t="shared" si="5"/>
        <v>1</v>
      </c>
    </row>
    <row r="30" spans="1:29" s="471" customFormat="1" ht="15">
      <c r="A30" s="468"/>
      <c r="B30" s="2954" t="s">
        <v>2564</v>
      </c>
      <c r="C30" s="469">
        <f>'数据-汇总表'!F19</f>
        <v>2388.2600000000002</v>
      </c>
      <c r="D30" s="136">
        <v>100</v>
      </c>
      <c r="E30" s="430">
        <v>1200</v>
      </c>
      <c r="F30" s="425">
        <f>LOOKUP(E30,91:91,92:92)-LOOKUP(C30,91:91,92:92)+100</f>
        <v>101</v>
      </c>
      <c r="G30" s="429">
        <v>700</v>
      </c>
      <c r="H30" s="136">
        <f>LOOKUP(G30,91:91,92:92)-LOOKUP(C30,91:91,92:92)+100</f>
        <v>102</v>
      </c>
      <c r="I30" s="429">
        <v>1000</v>
      </c>
      <c r="J30" s="136">
        <f>LOOKUP(I30,91:91,92:92)-LOOKUP(C30,91:91,92:92)+100</f>
        <v>101</v>
      </c>
      <c r="K30" s="613"/>
      <c r="L30" s="1138"/>
      <c r="M30" s="1141"/>
      <c r="N30" s="1141"/>
      <c r="O30" s="1142"/>
      <c r="P30" s="3228"/>
      <c r="Q30" s="776" t="str">
        <f t="shared" si="11"/>
        <v>项目建筑规模</v>
      </c>
      <c r="R30" s="777" t="s">
        <v>17</v>
      </c>
      <c r="S30" s="778">
        <f t="shared" si="12"/>
        <v>101</v>
      </c>
      <c r="T30" s="777" t="s">
        <v>17</v>
      </c>
      <c r="U30" s="778">
        <f t="shared" si="13"/>
        <v>102</v>
      </c>
      <c r="V30" s="777" t="s">
        <v>17</v>
      </c>
      <c r="W30" s="778">
        <f t="shared" si="14"/>
        <v>101</v>
      </c>
      <c r="X30" s="779"/>
      <c r="Y30" s="3228"/>
      <c r="Z30" s="780" t="str">
        <f t="shared" si="15"/>
        <v>项目建筑规模</v>
      </c>
      <c r="AA30" s="2956">
        <f t="shared" si="3"/>
        <v>0.99009900990099009</v>
      </c>
      <c r="AB30" s="2956">
        <f t="shared" si="4"/>
        <v>0.98039215686274506</v>
      </c>
      <c r="AC30" s="2956">
        <f t="shared" si="5"/>
        <v>0.99009900990099009</v>
      </c>
    </row>
    <row r="31" spans="1:29" ht="15">
      <c r="A31" s="472"/>
      <c r="B31" s="2954"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228"/>
      <c r="Q31" s="2955" t="str">
        <f t="shared" si="11"/>
        <v>建筑结构</v>
      </c>
      <c r="R31" s="774" t="s">
        <v>17</v>
      </c>
      <c r="S31" s="775">
        <f t="shared" si="12"/>
        <v>100</v>
      </c>
      <c r="T31" s="774" t="s">
        <v>17</v>
      </c>
      <c r="U31" s="775">
        <f t="shared" si="13"/>
        <v>100</v>
      </c>
      <c r="V31" s="774" t="s">
        <v>17</v>
      </c>
      <c r="W31" s="775">
        <f t="shared" si="14"/>
        <v>100</v>
      </c>
      <c r="X31" s="2957"/>
      <c r="Y31" s="3228"/>
      <c r="Z31" s="2958" t="str">
        <f t="shared" si="15"/>
        <v>建筑结构</v>
      </c>
      <c r="AA31" s="2956">
        <f t="shared" si="3"/>
        <v>1</v>
      </c>
      <c r="AB31" s="2956">
        <f t="shared" si="4"/>
        <v>1</v>
      </c>
      <c r="AC31" s="2956">
        <f t="shared" si="5"/>
        <v>1</v>
      </c>
    </row>
    <row r="32" spans="1:29" ht="15">
      <c r="A32" s="472"/>
      <c r="B32" s="2954"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228"/>
      <c r="Q32" s="2955" t="str">
        <f t="shared" si="11"/>
        <v>公共部分装修</v>
      </c>
      <c r="R32" s="774" t="s">
        <v>17</v>
      </c>
      <c r="S32" s="775">
        <f t="shared" si="12"/>
        <v>100</v>
      </c>
      <c r="T32" s="774" t="s">
        <v>17</v>
      </c>
      <c r="U32" s="775">
        <f t="shared" si="13"/>
        <v>100</v>
      </c>
      <c r="V32" s="774" t="s">
        <v>17</v>
      </c>
      <c r="W32" s="775">
        <f t="shared" si="14"/>
        <v>100</v>
      </c>
      <c r="X32" s="2957"/>
      <c r="Y32" s="3228"/>
      <c r="Z32" s="2958" t="str">
        <f t="shared" si="15"/>
        <v>公共部分装修</v>
      </c>
      <c r="AA32" s="2956">
        <f t="shared" si="3"/>
        <v>1</v>
      </c>
      <c r="AB32" s="2956">
        <f t="shared" si="4"/>
        <v>1</v>
      </c>
      <c r="AC32" s="2956">
        <f t="shared" si="5"/>
        <v>1</v>
      </c>
    </row>
    <row r="33" spans="1:29" ht="15">
      <c r="A33" s="472"/>
      <c r="B33" s="2954"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228"/>
      <c r="Q33" s="2955" t="str">
        <f t="shared" si="11"/>
        <v>成新度</v>
      </c>
      <c r="R33" s="774" t="s">
        <v>17</v>
      </c>
      <c r="S33" s="775">
        <f t="shared" si="12"/>
        <v>100</v>
      </c>
      <c r="T33" s="774" t="s">
        <v>17</v>
      </c>
      <c r="U33" s="775">
        <f t="shared" si="13"/>
        <v>100</v>
      </c>
      <c r="V33" s="774" t="s">
        <v>17</v>
      </c>
      <c r="W33" s="775">
        <f t="shared" si="14"/>
        <v>100</v>
      </c>
      <c r="X33" s="2957"/>
      <c r="Y33" s="3228"/>
      <c r="Z33" s="2958" t="str">
        <f t="shared" si="15"/>
        <v>成新度</v>
      </c>
      <c r="AA33" s="2956">
        <f t="shared" si="3"/>
        <v>1</v>
      </c>
      <c r="AB33" s="2956">
        <f t="shared" si="4"/>
        <v>1</v>
      </c>
      <c r="AC33" s="2956">
        <f t="shared" si="5"/>
        <v>1</v>
      </c>
    </row>
    <row r="34" spans="1:29" s="117" customFormat="1" ht="15">
      <c r="A34" s="473"/>
      <c r="B34" s="2954"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228"/>
      <c r="Q34" s="2952" t="str">
        <f t="shared" si="11"/>
        <v>物业管理</v>
      </c>
      <c r="R34" s="770" t="s">
        <v>17</v>
      </c>
      <c r="S34" s="771">
        <f t="shared" si="12"/>
        <v>100</v>
      </c>
      <c r="T34" s="770" t="s">
        <v>17</v>
      </c>
      <c r="U34" s="771">
        <f t="shared" si="13"/>
        <v>100</v>
      </c>
      <c r="V34" s="770" t="s">
        <v>17</v>
      </c>
      <c r="W34" s="771">
        <f t="shared" si="14"/>
        <v>100</v>
      </c>
      <c r="X34" s="772"/>
      <c r="Y34" s="3228"/>
      <c r="Z34" s="2953" t="str">
        <f t="shared" si="15"/>
        <v>物业管理</v>
      </c>
      <c r="AA34" s="773">
        <f t="shared" si="3"/>
        <v>1</v>
      </c>
      <c r="AB34" s="773">
        <f t="shared" si="4"/>
        <v>1</v>
      </c>
      <c r="AC34" s="773">
        <f t="shared" si="5"/>
        <v>1</v>
      </c>
    </row>
    <row r="35" spans="1:29" ht="15">
      <c r="A35" s="472"/>
      <c r="B35" s="2954"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228" t="s">
        <v>2563</v>
      </c>
      <c r="Q35" s="2955" t="str">
        <f t="shared" si="11"/>
        <v>市政基础设施</v>
      </c>
      <c r="R35" s="774" t="s">
        <v>17</v>
      </c>
      <c r="S35" s="775">
        <f t="shared" si="12"/>
        <v>100</v>
      </c>
      <c r="T35" s="774" t="s">
        <v>17</v>
      </c>
      <c r="U35" s="775">
        <f t="shared" si="13"/>
        <v>100</v>
      </c>
      <c r="V35" s="774" t="s">
        <v>17</v>
      </c>
      <c r="W35" s="775">
        <f t="shared" si="14"/>
        <v>100</v>
      </c>
      <c r="X35" s="2957"/>
      <c r="Y35" s="3228" t="s">
        <v>2563</v>
      </c>
      <c r="Z35" s="2958" t="str">
        <f t="shared" si="15"/>
        <v>市政基础设施</v>
      </c>
      <c r="AA35" s="2956">
        <f t="shared" si="3"/>
        <v>1</v>
      </c>
      <c r="AB35" s="2956">
        <f t="shared" si="4"/>
        <v>1</v>
      </c>
      <c r="AC35" s="2956">
        <f t="shared" si="5"/>
        <v>1</v>
      </c>
    </row>
    <row r="36" spans="1:29" ht="15">
      <c r="A36" s="472"/>
      <c r="B36" s="2954"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228"/>
      <c r="Q36" s="2955" t="str">
        <f t="shared" si="11"/>
        <v>内部装修</v>
      </c>
      <c r="R36" s="774" t="s">
        <v>17</v>
      </c>
      <c r="S36" s="775">
        <f t="shared" si="12"/>
        <v>100</v>
      </c>
      <c r="T36" s="774" t="s">
        <v>17</v>
      </c>
      <c r="U36" s="775">
        <f t="shared" si="13"/>
        <v>100</v>
      </c>
      <c r="V36" s="774" t="s">
        <v>17</v>
      </c>
      <c r="W36" s="775">
        <f t="shared" si="14"/>
        <v>100</v>
      </c>
      <c r="X36" s="2957"/>
      <c r="Y36" s="3228"/>
      <c r="Z36" s="2958" t="str">
        <f t="shared" si="15"/>
        <v>内部装修</v>
      </c>
      <c r="AA36" s="2956">
        <f t="shared" si="3"/>
        <v>1</v>
      </c>
      <c r="AB36" s="2956">
        <f t="shared" si="4"/>
        <v>1</v>
      </c>
      <c r="AC36" s="2956">
        <f t="shared" si="5"/>
        <v>1</v>
      </c>
    </row>
    <row r="37" spans="1:29" ht="15">
      <c r="A37" s="472"/>
      <c r="B37" s="2954"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228"/>
      <c r="Q37" s="2955" t="str">
        <f t="shared" si="11"/>
        <v>内部装修状况</v>
      </c>
      <c r="R37" s="774" t="s">
        <v>17</v>
      </c>
      <c r="S37" s="775">
        <f t="shared" si="12"/>
        <v>100</v>
      </c>
      <c r="T37" s="774" t="s">
        <v>17</v>
      </c>
      <c r="U37" s="775">
        <f t="shared" si="13"/>
        <v>100</v>
      </c>
      <c r="V37" s="774" t="s">
        <v>17</v>
      </c>
      <c r="W37" s="775">
        <f t="shared" si="14"/>
        <v>100</v>
      </c>
      <c r="X37" s="2957"/>
      <c r="Y37" s="3228"/>
      <c r="Z37" s="2958" t="str">
        <f t="shared" si="15"/>
        <v>内部装修状况</v>
      </c>
      <c r="AA37" s="2956">
        <f t="shared" si="3"/>
        <v>1</v>
      </c>
      <c r="AB37" s="2956">
        <f t="shared" si="4"/>
        <v>1</v>
      </c>
      <c r="AC37" s="2956">
        <f t="shared" si="5"/>
        <v>1</v>
      </c>
    </row>
    <row r="38" spans="1:29" s="471" customFormat="1" ht="15">
      <c r="A38" s="468"/>
      <c r="B38" s="2967" t="s">
        <v>3116</v>
      </c>
      <c r="C38" s="2968" t="s">
        <v>3117</v>
      </c>
      <c r="D38" s="435">
        <v>100</v>
      </c>
      <c r="E38" s="2969" t="s">
        <v>3118</v>
      </c>
      <c r="F38" s="461">
        <f>SUMIF(108:108,E38,109:109)-SUMIF(108:108,C38,109:109)+100</f>
        <v>105</v>
      </c>
      <c r="G38" s="2969" t="s">
        <v>3118</v>
      </c>
      <c r="H38" s="435">
        <f>SUMIF(108:108,G38,109:109)-SUMIF(108:108,C38,109:109)+100</f>
        <v>105</v>
      </c>
      <c r="I38" s="2969" t="s">
        <v>3118</v>
      </c>
      <c r="J38" s="435">
        <f>SUMIF(108:108,I38,109:1038)-SUMIF(108:108,C38,109:109)+100</f>
        <v>105</v>
      </c>
      <c r="K38" s="613"/>
      <c r="L38" s="1138"/>
      <c r="M38" s="1141"/>
      <c r="N38" s="1141"/>
      <c r="O38" s="1142"/>
      <c r="P38" s="3228"/>
      <c r="Q38" s="776" t="str">
        <f t="shared" si="11"/>
        <v>物业类型</v>
      </c>
      <c r="R38" s="777" t="s">
        <v>17</v>
      </c>
      <c r="S38" s="778">
        <f t="shared" si="12"/>
        <v>105</v>
      </c>
      <c r="T38" s="777" t="s">
        <v>17</v>
      </c>
      <c r="U38" s="778">
        <f t="shared" si="13"/>
        <v>105</v>
      </c>
      <c r="V38" s="777" t="s">
        <v>17</v>
      </c>
      <c r="W38" s="778">
        <f t="shared" si="14"/>
        <v>105</v>
      </c>
      <c r="X38" s="779"/>
      <c r="Y38" s="3228"/>
      <c r="Z38" s="780" t="str">
        <f t="shared" si="15"/>
        <v>物业类型</v>
      </c>
      <c r="AA38" s="2956">
        <f t="shared" si="3"/>
        <v>0.95238095238095233</v>
      </c>
      <c r="AB38" s="2956">
        <f t="shared" si="4"/>
        <v>0.95238095238095233</v>
      </c>
      <c r="AC38" s="2956">
        <f t="shared" si="5"/>
        <v>0.95238095238095233</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8"/>
      <c r="Q39" s="2955">
        <f t="shared" si="11"/>
        <v>111</v>
      </c>
      <c r="R39" s="774" t="s">
        <v>17</v>
      </c>
      <c r="S39" s="775">
        <f t="shared" si="12"/>
        <v>100</v>
      </c>
      <c r="T39" s="774" t="s">
        <v>17</v>
      </c>
      <c r="U39" s="775">
        <f t="shared" si="13"/>
        <v>100</v>
      </c>
      <c r="V39" s="774" t="s">
        <v>17</v>
      </c>
      <c r="W39" s="775">
        <f t="shared" si="14"/>
        <v>100</v>
      </c>
      <c r="X39" s="2957"/>
      <c r="Y39" s="3228"/>
      <c r="Z39" s="2958">
        <f t="shared" si="15"/>
        <v>111</v>
      </c>
      <c r="AA39" s="2956">
        <f t="shared" si="3"/>
        <v>1</v>
      </c>
      <c r="AB39" s="2956">
        <f t="shared" si="4"/>
        <v>1</v>
      </c>
      <c r="AC39" s="2956">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9"/>
      <c r="Q40" s="2955">
        <f t="shared" si="11"/>
        <v>111</v>
      </c>
      <c r="R40" s="774" t="s">
        <v>17</v>
      </c>
      <c r="S40" s="775">
        <f t="shared" si="12"/>
        <v>100</v>
      </c>
      <c r="T40" s="774" t="s">
        <v>17</v>
      </c>
      <c r="U40" s="775">
        <f t="shared" si="13"/>
        <v>100</v>
      </c>
      <c r="V40" s="774" t="s">
        <v>17</v>
      </c>
      <c r="W40" s="775">
        <f t="shared" si="14"/>
        <v>100</v>
      </c>
      <c r="X40" s="2957"/>
      <c r="Y40" s="3229"/>
      <c r="Z40" s="2958">
        <f t="shared" si="15"/>
        <v>111</v>
      </c>
      <c r="AA40" s="2956">
        <f t="shared" si="3"/>
        <v>1</v>
      </c>
      <c r="AB40" s="2956">
        <f t="shared" si="4"/>
        <v>1</v>
      </c>
      <c r="AC40" s="2956">
        <f t="shared" si="5"/>
        <v>1</v>
      </c>
    </row>
    <row r="41" spans="1:29" ht="15">
      <c r="A41" s="479" t="s">
        <v>2575</v>
      </c>
      <c r="B41" s="480"/>
      <c r="C41" s="1407" t="s">
        <v>1</v>
      </c>
      <c r="D41" s="1408"/>
      <c r="E41" s="1409">
        <v>2</v>
      </c>
      <c r="F41" s="1410"/>
      <c r="G41" s="1411">
        <v>1.8</v>
      </c>
      <c r="H41" s="1412"/>
      <c r="I41" s="1409">
        <v>2</v>
      </c>
      <c r="J41" s="1412"/>
      <c r="K41" s="783"/>
      <c r="L41" s="1143"/>
      <c r="M41" s="1144"/>
      <c r="N41" s="1131"/>
      <c r="O41" s="1144"/>
      <c r="P41" s="3221" t="str">
        <f>A41</f>
        <v>成交单价（元/平方米）</v>
      </c>
      <c r="Q41" s="3221"/>
      <c r="R41" s="3222">
        <f>E41</f>
        <v>2</v>
      </c>
      <c r="S41" s="3222"/>
      <c r="T41" s="3222">
        <f>G41</f>
        <v>1.8</v>
      </c>
      <c r="U41" s="3222"/>
      <c r="V41" s="3222">
        <f>I41</f>
        <v>2</v>
      </c>
      <c r="W41" s="3222"/>
      <c r="X41" s="759"/>
      <c r="Y41" s="781"/>
      <c r="Z41" s="759"/>
      <c r="AA41" s="759"/>
      <c r="AB41" s="759"/>
      <c r="AC41" s="759"/>
    </row>
    <row r="42" spans="1:29" ht="15.75" thickBot="1">
      <c r="A42" s="486" t="s">
        <v>2576</v>
      </c>
      <c r="B42" s="487"/>
      <c r="C42" s="1413">
        <f>R43</f>
        <v>1.8</v>
      </c>
      <c r="D42" s="1414"/>
      <c r="E42" s="1415">
        <f>R42</f>
        <v>1.9</v>
      </c>
      <c r="F42" s="1415"/>
      <c r="G42" s="1413">
        <f>T42</f>
        <v>1.7</v>
      </c>
      <c r="H42" s="1414"/>
      <c r="I42" s="1415">
        <f>V42</f>
        <v>1.9</v>
      </c>
      <c r="J42" s="1414"/>
      <c r="K42" s="784"/>
      <c r="L42" s="1143"/>
      <c r="M42" s="1144"/>
      <c r="N42" s="1131"/>
      <c r="O42" s="1144"/>
      <c r="P42" s="3221" t="str">
        <f>A42</f>
        <v>比较价值（元/平方米）</v>
      </c>
      <c r="Q42" s="3221"/>
      <c r="R42" s="3222">
        <f>IF(F1="售价",ROUND(PRODUCT(R41,AA7:AA40),0),ROUND(PRODUCT(R41,AA7:AA40),1))</f>
        <v>1.9</v>
      </c>
      <c r="S42" s="3222"/>
      <c r="T42" s="3222">
        <f>IF(F1="售价",ROUND(PRODUCT(T41,AB7:AB40),0),ROUND(PRODUCT(T41,AB7:AB40),1))</f>
        <v>1.7</v>
      </c>
      <c r="U42" s="3222"/>
      <c r="V42" s="3222">
        <f>IF(F1="售价",ROUND(PRODUCT(V41,AC7:AC40),0),ROUND(PRODUCT(V41,AC7:AC40),1))</f>
        <v>1.9</v>
      </c>
      <c r="W42" s="3222"/>
      <c r="X42" s="759"/>
      <c r="Y42" s="759"/>
      <c r="Z42" s="759"/>
      <c r="AA42" s="759"/>
      <c r="AB42" s="759"/>
      <c r="AC42" s="759"/>
    </row>
    <row r="43" spans="1:29" ht="15.75" thickBot="1">
      <c r="A43" s="492" t="s">
        <v>2577</v>
      </c>
      <c r="B43" s="493"/>
      <c r="C43" s="1417">
        <f>R43</f>
        <v>1.8</v>
      </c>
      <c r="D43" s="1417"/>
      <c r="E43" s="1417"/>
      <c r="F43" s="1417"/>
      <c r="G43" s="1417"/>
      <c r="H43" s="1417"/>
      <c r="I43" s="1417"/>
      <c r="J43" s="1417"/>
      <c r="K43" s="785"/>
      <c r="L43" s="1143"/>
      <c r="M43" s="1144"/>
      <c r="N43" s="1144"/>
      <c r="O43" s="1144"/>
      <c r="P43" s="3218" t="str">
        <f>A43</f>
        <v>估价对象XX用房的比较价值（楼面单价，元/平方米）</v>
      </c>
      <c r="Q43" s="3219"/>
      <c r="R43" s="3220">
        <f>IF(F1="售价",ROUND(AVERAGE(R42:V42),0),ROUND(AVERAGE(R42:V42),1))</f>
        <v>1.8</v>
      </c>
      <c r="S43" s="3220"/>
      <c r="T43" s="3220"/>
      <c r="U43" s="3220"/>
      <c r="V43" s="3220"/>
      <c r="W43" s="3220"/>
      <c r="X43" s="759"/>
      <c r="Y43" s="759"/>
      <c r="Z43" s="759"/>
      <c r="AA43" s="759"/>
      <c r="AB43" s="759"/>
      <c r="AC43" s="759"/>
    </row>
    <row r="44" spans="1:29">
      <c r="A44" s="1144"/>
      <c r="B44" s="1144"/>
      <c r="C44" s="1144">
        <v>1</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2578</v>
      </c>
      <c r="D46" s="498"/>
      <c r="E46" s="499">
        <f>IF(E41&lt;E42,E42/E41-1,E41/E42-1)</f>
        <v>5.2631578947368363E-2</v>
      </c>
      <c r="F46" s="500" t="str">
        <f>IF(OR(E46&gt;=0.3,E46&lt;=-0.3),"超过30%","")</f>
        <v/>
      </c>
      <c r="G46" s="499">
        <f>IF(G41&lt;G42,G42/G41-1,G41/G42-1)</f>
        <v>5.8823529411764719E-2</v>
      </c>
      <c r="H46" s="500" t="str">
        <f>IF(OR(G46&gt;=0.3,G46&lt;=-0.3),"超过30%","")</f>
        <v/>
      </c>
      <c r="I46" s="499">
        <f>IF(I41&lt;I42,I42/I41-1,I41/I42-1)</f>
        <v>5.2631578947368363E-2</v>
      </c>
      <c r="J46" s="500" t="str">
        <f>IF(OR(I46&gt;=0.3,I46&lt;=-0.3),"超过30%","")</f>
        <v/>
      </c>
      <c r="K46" s="1105"/>
      <c r="L46" s="1106"/>
      <c r="M46" s="1144"/>
      <c r="N46" s="1144"/>
      <c r="O46" s="1144"/>
    </row>
    <row r="47" spans="1:29" ht="13.5" customHeight="1">
      <c r="A47" s="1144"/>
      <c r="B47" s="1144"/>
      <c r="C47" s="497" t="s">
        <v>2579</v>
      </c>
      <c r="D47" s="501"/>
      <c r="E47" s="499">
        <f>IF(E42&lt;G42,G42/E42-1,E42/G42-1)</f>
        <v>0.11764705882352944</v>
      </c>
      <c r="F47" s="500" t="str">
        <f>IF(OR(E47&gt;=0.2,E47&lt;=-0.2),"超过20%","")</f>
        <v/>
      </c>
      <c r="G47" s="499">
        <f>IF(G42&lt;I42,I42/G42-1,G42/I42-1)</f>
        <v>0.11764705882352944</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2580</v>
      </c>
      <c r="D48" s="501"/>
      <c r="E48" s="499">
        <f>IF(E41&lt;G41,G41/E41-1,E41/G41-1)</f>
        <v>0.11111111111111116</v>
      </c>
      <c r="F48" s="500" t="str">
        <f>IF(OR(E48&gt;=0.3,E48&lt;=-0.3),"超过30%","")</f>
        <v/>
      </c>
      <c r="G48" s="499">
        <f>IF(G41&lt;I41,I41/G41-1,G41/I41-1)</f>
        <v>0.11111111111111116</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2581</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2585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24</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v>96</v>
      </c>
      <c r="H92" s="536">
        <v>95</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t="str">
        <f>B38</f>
        <v>物业类型</v>
      </c>
      <c r="C108" s="2964" t="s">
        <v>3117</v>
      </c>
      <c r="D108" s="2964" t="s">
        <v>3118</v>
      </c>
      <c r="E108" s="554"/>
      <c r="F108" s="554"/>
      <c r="G108" s="554"/>
      <c r="H108" s="555"/>
      <c r="I108" s="555"/>
      <c r="J108" s="555"/>
      <c r="K108" s="555"/>
      <c r="L108" s="556"/>
      <c r="M108" s="557"/>
      <c r="N108" s="1154"/>
      <c r="O108" s="1154"/>
      <c r="P108" s="558"/>
      <c r="Q108" s="559"/>
    </row>
    <row r="109" spans="1:17" s="471" customFormat="1" ht="15.75" thickBot="1">
      <c r="A109" s="553"/>
      <c r="B109" s="535"/>
      <c r="C109" s="560">
        <v>100</v>
      </c>
      <c r="D109" s="536">
        <v>105</v>
      </c>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北京圣庄科技有限公司：</v>
      </c>
    </row>
    <row r="4" spans="1:1" ht="36">
      <c r="A4" s="1947" t="str">
        <f>"受贵公司委托，我公司对"&amp;项目基本情况!S1&amp;"进行了预评估。"</f>
        <v>受贵公司委托，我公司对北京市北京经济技术开发区经海三路109号院22号楼-1至5层101房地产市场价值进行了预评估。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估价对象为北京市北京经济技术开发区经海三路109号院22号楼-1至5层101房地产，为所有。根据《国有土地使用证》[]，估价对象（分摊）出让国有建设用地使用权面积为0平方米，建筑面积为2388.26平方米。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2020年2月28日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topLeftCell="A29" zoomScale="90" zoomScaleNormal="90" workbookViewId="0">
      <selection activeCell="E45" sqref="E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3097</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IF(C2="——",ROUND(C43*D3/10000,0),ROUND(C43*D3/10000,0)-D2)</f>
        <v>3543</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f>IF(C2="——",C43,ROUND(B2*10000/D3,0))</f>
        <v>14836</v>
      </c>
      <c r="C3" s="400" t="s">
        <v>2642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191" t="s">
        <v>2645</v>
      </c>
      <c r="S4" s="3192"/>
      <c r="T4" s="3191" t="s">
        <v>2646</v>
      </c>
      <c r="U4" s="3192"/>
      <c r="V4" s="3216" t="s">
        <v>2647</v>
      </c>
      <c r="W4" s="3216"/>
      <c r="X4" s="1813"/>
      <c r="Y4" s="3191" t="s">
        <v>2649</v>
      </c>
      <c r="Z4" s="3192"/>
      <c r="AA4" s="3186" t="s">
        <v>2645</v>
      </c>
      <c r="AB4" s="3187" t="s">
        <v>2646</v>
      </c>
      <c r="AC4" s="3186" t="s">
        <v>2647</v>
      </c>
    </row>
    <row r="5" spans="1:29"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1813"/>
      <c r="Y5" s="3193"/>
      <c r="Z5" s="3194"/>
      <c r="AA5" s="3187"/>
      <c r="AB5" s="3187"/>
      <c r="AC5" s="3187"/>
    </row>
    <row r="6" spans="1:29" ht="15.75" thickBot="1">
      <c r="A6" s="406"/>
      <c r="B6" s="407"/>
      <c r="C6" s="3199" t="s">
        <v>2544</v>
      </c>
      <c r="D6" s="3200"/>
      <c r="E6" s="3201" t="s">
        <v>2544</v>
      </c>
      <c r="F6" s="3202"/>
      <c r="G6" s="3199" t="s">
        <v>2544</v>
      </c>
      <c r="H6" s="3200"/>
      <c r="I6" s="3199" t="s">
        <v>2544</v>
      </c>
      <c r="J6" s="3200"/>
      <c r="K6" s="610" t="s">
        <v>2545</v>
      </c>
      <c r="L6" s="1130"/>
      <c r="M6" s="1131"/>
      <c r="N6" s="1131"/>
      <c r="O6" s="1131"/>
      <c r="P6" s="3212"/>
      <c r="Q6" s="3213"/>
      <c r="R6" s="3193"/>
      <c r="S6" s="3194"/>
      <c r="T6" s="3214"/>
      <c r="U6" s="3215"/>
      <c r="V6" s="3216"/>
      <c r="W6" s="3216"/>
      <c r="X6" s="1813"/>
      <c r="Y6" s="3214"/>
      <c r="Z6" s="3215"/>
      <c r="AA6" s="3188"/>
      <c r="AB6" s="3188"/>
      <c r="AC6" s="3188"/>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189" t="s">
        <v>2547</v>
      </c>
      <c r="Q7" s="3217"/>
      <c r="R7" s="770" t="s">
        <v>17</v>
      </c>
      <c r="S7" s="771">
        <f t="shared" ref="S7:S15" si="0">F7</f>
        <v>100</v>
      </c>
      <c r="T7" s="770" t="s">
        <v>17</v>
      </c>
      <c r="U7" s="771">
        <f t="shared" ref="U7:U15" si="1">H7</f>
        <v>100</v>
      </c>
      <c r="V7" s="770" t="s">
        <v>17</v>
      </c>
      <c r="W7" s="771">
        <f t="shared" ref="W7:W15" si="2">J7</f>
        <v>100</v>
      </c>
      <c r="X7" s="772"/>
      <c r="Y7" s="3189" t="s">
        <v>2547</v>
      </c>
      <c r="Z7" s="3190"/>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189" t="s">
        <v>2550</v>
      </c>
      <c r="Q8" s="3190"/>
      <c r="R8" s="770" t="s">
        <v>17</v>
      </c>
      <c r="S8" s="771">
        <f t="shared" si="0"/>
        <v>100</v>
      </c>
      <c r="T8" s="770" t="s">
        <v>17</v>
      </c>
      <c r="U8" s="771">
        <f t="shared" si="1"/>
        <v>100</v>
      </c>
      <c r="V8" s="770" t="s">
        <v>17</v>
      </c>
      <c r="W8" s="771">
        <f t="shared" si="2"/>
        <v>100</v>
      </c>
      <c r="X8" s="772"/>
      <c r="Y8" s="3189" t="s">
        <v>2550</v>
      </c>
      <c r="Z8" s="3190"/>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221" t="s">
        <v>2553</v>
      </c>
      <c r="Q9" s="1795"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75" thickBot="1">
      <c r="A10" s="421"/>
      <c r="B10" s="422"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221"/>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hidden="1">
      <c r="A11" s="428"/>
      <c r="B11" s="422"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21"/>
      <c r="Q11" s="1795" t="str">
        <f t="shared" si="6"/>
        <v>容积率</v>
      </c>
      <c r="R11" s="770" t="s">
        <v>17</v>
      </c>
      <c r="S11" s="771">
        <f t="shared" si="0"/>
        <v>100</v>
      </c>
      <c r="T11" s="770" t="s">
        <v>17</v>
      </c>
      <c r="U11" s="771">
        <f t="shared" si="1"/>
        <v>100</v>
      </c>
      <c r="V11" s="770" t="s">
        <v>17</v>
      </c>
      <c r="W11" s="771">
        <f t="shared" si="2"/>
        <v>100</v>
      </c>
      <c r="X11" s="772"/>
      <c r="Y11" s="3036"/>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hidden="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223" t="s">
        <v>2558</v>
      </c>
      <c r="Q15" s="1810" t="str">
        <f t="shared" si="6"/>
        <v>产业集聚程度</v>
      </c>
      <c r="R15" s="774" t="s">
        <v>17</v>
      </c>
      <c r="S15" s="775">
        <f t="shared" si="0"/>
        <v>100</v>
      </c>
      <c r="T15" s="774" t="s">
        <v>17</v>
      </c>
      <c r="U15" s="775">
        <f t="shared" si="1"/>
        <v>100</v>
      </c>
      <c r="V15" s="774" t="s">
        <v>17</v>
      </c>
      <c r="W15" s="775">
        <f t="shared" si="2"/>
        <v>100</v>
      </c>
      <c r="X15" s="1813"/>
      <c r="Y15" s="3223" t="s">
        <v>2558</v>
      </c>
      <c r="Z15" s="1814" t="str">
        <f t="shared" si="7"/>
        <v>产业集聚程度</v>
      </c>
      <c r="AA15" s="1811">
        <f t="shared" si="3"/>
        <v>1</v>
      </c>
      <c r="AB15" s="1811">
        <f t="shared" si="4"/>
        <v>1</v>
      </c>
      <c r="AC15" s="1811">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224"/>
      <c r="Q16" s="1810"/>
      <c r="R16" s="774"/>
      <c r="S16" s="775"/>
      <c r="T16" s="774"/>
      <c r="U16" s="775"/>
      <c r="V16" s="774"/>
      <c r="W16" s="775"/>
      <c r="X16" s="1813"/>
      <c r="Y16" s="3224"/>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224"/>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1811">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224"/>
      <c r="Q18" s="1810"/>
      <c r="R18" s="774"/>
      <c r="S18" s="775"/>
      <c r="T18" s="774"/>
      <c r="U18" s="775"/>
      <c r="V18" s="774"/>
      <c r="W18" s="775"/>
      <c r="X18" s="1813"/>
      <c r="Y18" s="3224"/>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224"/>
      <c r="Q19" s="1810" t="str">
        <f>B19</f>
        <v>公共配套设施</v>
      </c>
      <c r="R19" s="774" t="s">
        <v>17</v>
      </c>
      <c r="S19" s="775">
        <f>F19</f>
        <v>100</v>
      </c>
      <c r="T19" s="774" t="s">
        <v>17</v>
      </c>
      <c r="U19" s="775">
        <f>H19</f>
        <v>100</v>
      </c>
      <c r="V19" s="774" t="s">
        <v>17</v>
      </c>
      <c r="W19" s="775">
        <f>J19</f>
        <v>100</v>
      </c>
      <c r="X19" s="1813"/>
      <c r="Y19" s="3224"/>
      <c r="Z19" s="1814" t="str">
        <f>Q19</f>
        <v>公共配套设施</v>
      </c>
      <c r="AA19" s="1811">
        <f t="shared" si="3"/>
        <v>1</v>
      </c>
      <c r="AB19" s="1811">
        <f t="shared" si="4"/>
        <v>1</v>
      </c>
      <c r="AC19" s="1811">
        <f t="shared" si="5"/>
        <v>1</v>
      </c>
    </row>
    <row r="20" spans="1:29" ht="15">
      <c r="A20" s="428"/>
      <c r="B20" s="456"/>
      <c r="C20" s="447" t="s">
        <v>3094</v>
      </c>
      <c r="D20" s="448"/>
      <c r="E20" s="447" t="s">
        <v>3094</v>
      </c>
      <c r="F20" s="449"/>
      <c r="G20" s="447" t="s">
        <v>3094</v>
      </c>
      <c r="H20" s="448"/>
      <c r="I20" s="447" t="s">
        <v>3094</v>
      </c>
      <c r="J20" s="448"/>
      <c r="K20" s="615"/>
      <c r="L20" s="1140"/>
      <c r="M20" s="1131"/>
      <c r="N20" s="1131"/>
      <c r="O20" s="1139"/>
      <c r="P20" s="3224"/>
      <c r="Q20" s="1810"/>
      <c r="R20" s="774"/>
      <c r="S20" s="775"/>
      <c r="T20" s="774"/>
      <c r="U20" s="775"/>
      <c r="V20" s="774"/>
      <c r="W20" s="775"/>
      <c r="X20" s="1813"/>
      <c r="Y20" s="3224"/>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224"/>
      <c r="Q21" s="1810" t="str">
        <f>B21</f>
        <v>基础设施水平</v>
      </c>
      <c r="R21" s="774" t="s">
        <v>17</v>
      </c>
      <c r="S21" s="775">
        <f>F21</f>
        <v>100</v>
      </c>
      <c r="T21" s="774" t="s">
        <v>17</v>
      </c>
      <c r="U21" s="775">
        <f>H21</f>
        <v>100</v>
      </c>
      <c r="V21" s="774" t="s">
        <v>17</v>
      </c>
      <c r="W21" s="775">
        <f>J21</f>
        <v>100</v>
      </c>
      <c r="X21" s="1813"/>
      <c r="Y21" s="3224"/>
      <c r="Z21" s="1814" t="str">
        <f>Q21</f>
        <v>基础设施水平</v>
      </c>
      <c r="AA21" s="1811">
        <f t="shared" ref="AA21" si="8">D21/F21</f>
        <v>1</v>
      </c>
      <c r="AB21" s="1811">
        <f t="shared" ref="AB21" si="9">D21/H21</f>
        <v>1</v>
      </c>
      <c r="AC21" s="1811">
        <f t="shared" ref="AC21" si="10">D21/J21</f>
        <v>1</v>
      </c>
    </row>
    <row r="22" spans="1:29" ht="15">
      <c r="A22" s="428"/>
      <c r="B22" s="1384"/>
      <c r="C22" s="2607" t="s">
        <v>3086</v>
      </c>
      <c r="D22" s="448"/>
      <c r="E22" s="2607" t="s">
        <v>3086</v>
      </c>
      <c r="F22" s="449"/>
      <c r="G22" s="2607" t="s">
        <v>3086</v>
      </c>
      <c r="H22" s="448"/>
      <c r="I22" s="2607" t="s">
        <v>3086</v>
      </c>
      <c r="J22" s="448"/>
      <c r="K22" s="1383"/>
      <c r="L22" s="1140"/>
      <c r="M22" s="1131"/>
      <c r="N22" s="1131"/>
      <c r="O22" s="1139"/>
      <c r="P22" s="3224"/>
      <c r="Q22" s="1810"/>
      <c r="R22" s="774"/>
      <c r="S22" s="775"/>
      <c r="T22" s="774"/>
      <c r="U22" s="775"/>
      <c r="V22" s="774"/>
      <c r="W22" s="775"/>
      <c r="X22" s="1813"/>
      <c r="Y22" s="3224"/>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224"/>
      <c r="Q23" s="1810" t="str">
        <f>B23</f>
        <v>环境质量</v>
      </c>
      <c r="R23" s="774" t="s">
        <v>17</v>
      </c>
      <c r="S23" s="775">
        <f>F23</f>
        <v>100</v>
      </c>
      <c r="T23" s="774" t="s">
        <v>17</v>
      </c>
      <c r="U23" s="775">
        <f>H23</f>
        <v>100</v>
      </c>
      <c r="V23" s="774" t="s">
        <v>17</v>
      </c>
      <c r="W23" s="775">
        <f>J23</f>
        <v>100</v>
      </c>
      <c r="X23" s="1813"/>
      <c r="Y23" s="3224"/>
      <c r="Z23" s="1814" t="str">
        <f>Q23</f>
        <v>环境质量</v>
      </c>
      <c r="AA23" s="1811">
        <f t="shared" si="3"/>
        <v>1</v>
      </c>
      <c r="AB23" s="1811">
        <f t="shared" si="4"/>
        <v>1</v>
      </c>
      <c r="AC23" s="1811">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224"/>
      <c r="Q24" s="1810"/>
      <c r="R24" s="774"/>
      <c r="S24" s="775"/>
      <c r="T24" s="774"/>
      <c r="U24" s="775"/>
      <c r="V24" s="774"/>
      <c r="W24" s="775"/>
      <c r="X24" s="1813"/>
      <c r="Y24" s="3224"/>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4"/>
      <c r="Q25" s="1810">
        <f>B25</f>
        <v>111</v>
      </c>
      <c r="R25" s="774" t="s">
        <v>17</v>
      </c>
      <c r="S25" s="775">
        <f>F25</f>
        <v>100</v>
      </c>
      <c r="T25" s="774" t="s">
        <v>17</v>
      </c>
      <c r="U25" s="775">
        <f>H25</f>
        <v>100</v>
      </c>
      <c r="V25" s="774" t="s">
        <v>17</v>
      </c>
      <c r="W25" s="775">
        <f>J25</f>
        <v>100</v>
      </c>
      <c r="X25" s="1813"/>
      <c r="Y25" s="3224"/>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4"/>
      <c r="Q26" s="1810">
        <f t="shared" ref="Q26:Q40" si="11">B26</f>
        <v>111</v>
      </c>
      <c r="R26" s="774" t="s">
        <v>17</v>
      </c>
      <c r="S26" s="775">
        <f>F26</f>
        <v>100</v>
      </c>
      <c r="T26" s="774" t="s">
        <v>17</v>
      </c>
      <c r="U26" s="775">
        <f>H26</f>
        <v>100</v>
      </c>
      <c r="V26" s="774" t="s">
        <v>17</v>
      </c>
      <c r="W26" s="775">
        <f>J26</f>
        <v>100</v>
      </c>
      <c r="X26" s="1813"/>
      <c r="Y26" s="3224"/>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4"/>
      <c r="Q27" s="1795">
        <f t="shared" si="11"/>
        <v>111</v>
      </c>
      <c r="R27" s="770" t="s">
        <v>17</v>
      </c>
      <c r="S27" s="771">
        <f>F27</f>
        <v>100</v>
      </c>
      <c r="T27" s="770" t="s">
        <v>17</v>
      </c>
      <c r="U27" s="771">
        <f>H27</f>
        <v>100</v>
      </c>
      <c r="V27" s="770" t="s">
        <v>17</v>
      </c>
      <c r="W27" s="771">
        <f>J27</f>
        <v>100</v>
      </c>
      <c r="X27" s="772"/>
      <c r="Y27" s="3224"/>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4"/>
      <c r="Q28" s="1810">
        <f t="shared" si="11"/>
        <v>111</v>
      </c>
      <c r="R28" s="774" t="s">
        <v>17</v>
      </c>
      <c r="S28" s="775">
        <f t="shared" ref="S28:S40" si="12">F28</f>
        <v>100</v>
      </c>
      <c r="T28" s="774" t="s">
        <v>17</v>
      </c>
      <c r="U28" s="775">
        <f t="shared" ref="U28:U40" si="13">H28</f>
        <v>100</v>
      </c>
      <c r="V28" s="774" t="s">
        <v>17</v>
      </c>
      <c r="W28" s="775">
        <f t="shared" ref="W28:W40" si="14">J28</f>
        <v>100</v>
      </c>
      <c r="X28" s="1813"/>
      <c r="Y28" s="3224"/>
      <c r="Z28" s="1814">
        <f t="shared" ref="Z28:Z40" si="15">Q28</f>
        <v>111</v>
      </c>
      <c r="AA28" s="1811">
        <f t="shared" si="3"/>
        <v>1</v>
      </c>
      <c r="AB28" s="1811">
        <f t="shared" si="4"/>
        <v>1</v>
      </c>
      <c r="AC28" s="1811">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7" t="s">
        <v>2563</v>
      </c>
      <c r="Q29" s="1810" t="str">
        <f t="shared" si="11"/>
        <v>建筑类型</v>
      </c>
      <c r="R29" s="774" t="s">
        <v>17</v>
      </c>
      <c r="S29" s="775">
        <f t="shared" si="12"/>
        <v>100</v>
      </c>
      <c r="T29" s="774" t="s">
        <v>17</v>
      </c>
      <c r="U29" s="775">
        <f t="shared" si="13"/>
        <v>100</v>
      </c>
      <c r="V29" s="774" t="s">
        <v>17</v>
      </c>
      <c r="W29" s="775">
        <f t="shared" si="14"/>
        <v>100</v>
      </c>
      <c r="X29" s="1813"/>
      <c r="Y29" s="3228" t="s">
        <v>2563</v>
      </c>
      <c r="Z29" s="1814" t="str">
        <f t="shared" si="15"/>
        <v>建筑类型</v>
      </c>
      <c r="AA29" s="1811">
        <f t="shared" si="3"/>
        <v>1</v>
      </c>
      <c r="AB29" s="1811">
        <f t="shared" si="4"/>
        <v>1</v>
      </c>
      <c r="AC29" s="1811">
        <f t="shared" si="5"/>
        <v>1</v>
      </c>
    </row>
    <row r="30" spans="1:29" s="471" customFormat="1" ht="15">
      <c r="A30" s="468"/>
      <c r="B30" s="422" t="s">
        <v>2564</v>
      </c>
      <c r="C30" s="469">
        <f>'数据-汇总表'!F19</f>
        <v>2388.2600000000002</v>
      </c>
      <c r="D30" s="136">
        <v>100</v>
      </c>
      <c r="E30" s="430">
        <v>3333</v>
      </c>
      <c r="F30" s="425">
        <f>LOOKUP(E30,91:91,92:92)-LOOKUP(C30,91:91,92:92)+100</f>
        <v>99</v>
      </c>
      <c r="G30" s="429">
        <v>2388</v>
      </c>
      <c r="H30" s="136">
        <f>LOOKUP(G30,91:91,92:92)-LOOKUP(C30,91:91,92:92)+100</f>
        <v>100</v>
      </c>
      <c r="I30" s="429">
        <v>3380</v>
      </c>
      <c r="J30" s="136">
        <f>LOOKUP(I30,91:91,92:92)-LOOKUP(C30,91:91,92:92)+100</f>
        <v>99</v>
      </c>
      <c r="K30" s="613"/>
      <c r="L30" s="1138"/>
      <c r="M30" s="1141"/>
      <c r="N30" s="1141"/>
      <c r="O30" s="1142"/>
      <c r="P30" s="3228"/>
      <c r="Q30" s="776" t="str">
        <f t="shared" si="11"/>
        <v>项目建筑规模</v>
      </c>
      <c r="R30" s="777" t="s">
        <v>17</v>
      </c>
      <c r="S30" s="778">
        <f t="shared" si="12"/>
        <v>99</v>
      </c>
      <c r="T30" s="777" t="s">
        <v>17</v>
      </c>
      <c r="U30" s="778">
        <f t="shared" si="13"/>
        <v>100</v>
      </c>
      <c r="V30" s="777" t="s">
        <v>17</v>
      </c>
      <c r="W30" s="778">
        <f t="shared" si="14"/>
        <v>99</v>
      </c>
      <c r="X30" s="779"/>
      <c r="Y30" s="3228"/>
      <c r="Z30" s="780" t="str">
        <f t="shared" si="15"/>
        <v>项目建筑规模</v>
      </c>
      <c r="AA30" s="1811">
        <f t="shared" si="3"/>
        <v>1.0101010101010102</v>
      </c>
      <c r="AB30" s="1811">
        <f t="shared" si="4"/>
        <v>1</v>
      </c>
      <c r="AC30" s="1811">
        <f t="shared" si="5"/>
        <v>1.0101010101010102</v>
      </c>
    </row>
    <row r="31" spans="1:29" ht="15">
      <c r="A31" s="472"/>
      <c r="B31" s="422"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228"/>
      <c r="Q31" s="1810" t="str">
        <f t="shared" si="11"/>
        <v>建筑结构</v>
      </c>
      <c r="R31" s="774" t="s">
        <v>17</v>
      </c>
      <c r="S31" s="775">
        <f t="shared" si="12"/>
        <v>100</v>
      </c>
      <c r="T31" s="774" t="s">
        <v>17</v>
      </c>
      <c r="U31" s="775">
        <f t="shared" si="13"/>
        <v>100</v>
      </c>
      <c r="V31" s="774" t="s">
        <v>17</v>
      </c>
      <c r="W31" s="775">
        <f t="shared" si="14"/>
        <v>100</v>
      </c>
      <c r="X31" s="1813"/>
      <c r="Y31" s="3228"/>
      <c r="Z31" s="1814" t="str">
        <f t="shared" si="15"/>
        <v>建筑结构</v>
      </c>
      <c r="AA31" s="1811">
        <f t="shared" si="3"/>
        <v>1</v>
      </c>
      <c r="AB31" s="1811">
        <f t="shared" si="4"/>
        <v>1</v>
      </c>
      <c r="AC31" s="1811">
        <f t="shared" si="5"/>
        <v>1</v>
      </c>
    </row>
    <row r="32" spans="1:29" ht="15">
      <c r="A32" s="472"/>
      <c r="B32" s="422"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228"/>
      <c r="Q32" s="1810" t="str">
        <f t="shared" si="11"/>
        <v>公共部分装修</v>
      </c>
      <c r="R32" s="774" t="s">
        <v>17</v>
      </c>
      <c r="S32" s="775">
        <f t="shared" si="12"/>
        <v>100</v>
      </c>
      <c r="T32" s="774" t="s">
        <v>17</v>
      </c>
      <c r="U32" s="775">
        <f t="shared" si="13"/>
        <v>100</v>
      </c>
      <c r="V32" s="774" t="s">
        <v>17</v>
      </c>
      <c r="W32" s="775">
        <f t="shared" si="14"/>
        <v>100</v>
      </c>
      <c r="X32" s="1813"/>
      <c r="Y32" s="3228"/>
      <c r="Z32" s="1814" t="str">
        <f t="shared" si="15"/>
        <v>公共部分装修</v>
      </c>
      <c r="AA32" s="1811">
        <f t="shared" si="3"/>
        <v>1</v>
      </c>
      <c r="AB32" s="1811">
        <f t="shared" si="4"/>
        <v>1</v>
      </c>
      <c r="AC32" s="1811">
        <f t="shared" si="5"/>
        <v>1</v>
      </c>
    </row>
    <row r="33" spans="1:29" ht="15">
      <c r="A33" s="472"/>
      <c r="B33" s="422"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228"/>
      <c r="Q33" s="1810" t="str">
        <f t="shared" si="11"/>
        <v>成新度</v>
      </c>
      <c r="R33" s="774" t="s">
        <v>17</v>
      </c>
      <c r="S33" s="775">
        <f t="shared" si="12"/>
        <v>100</v>
      </c>
      <c r="T33" s="774" t="s">
        <v>17</v>
      </c>
      <c r="U33" s="775">
        <f t="shared" si="13"/>
        <v>100</v>
      </c>
      <c r="V33" s="774" t="s">
        <v>17</v>
      </c>
      <c r="W33" s="775">
        <f t="shared" si="14"/>
        <v>100</v>
      </c>
      <c r="X33" s="1813"/>
      <c r="Y33" s="3228"/>
      <c r="Z33" s="1814" t="str">
        <f t="shared" si="15"/>
        <v>成新度</v>
      </c>
      <c r="AA33" s="1811">
        <f t="shared" si="3"/>
        <v>1</v>
      </c>
      <c r="AB33" s="1811">
        <f t="shared" si="4"/>
        <v>1</v>
      </c>
      <c r="AC33" s="1811">
        <f t="shared" si="5"/>
        <v>1</v>
      </c>
    </row>
    <row r="34" spans="1:29" s="117" customFormat="1" ht="15">
      <c r="A34" s="473"/>
      <c r="B34" s="422"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228"/>
      <c r="Q34" s="1795"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228" t="s">
        <v>2563</v>
      </c>
      <c r="Q35" s="1810" t="str">
        <f t="shared" si="11"/>
        <v>市政基础设施</v>
      </c>
      <c r="R35" s="774" t="s">
        <v>17</v>
      </c>
      <c r="S35" s="775">
        <f t="shared" si="12"/>
        <v>100</v>
      </c>
      <c r="T35" s="774" t="s">
        <v>17</v>
      </c>
      <c r="U35" s="775">
        <f t="shared" si="13"/>
        <v>100</v>
      </c>
      <c r="V35" s="774" t="s">
        <v>17</v>
      </c>
      <c r="W35" s="775">
        <f t="shared" si="14"/>
        <v>100</v>
      </c>
      <c r="X35" s="1813"/>
      <c r="Y35" s="3228" t="s">
        <v>2563</v>
      </c>
      <c r="Z35" s="1814" t="str">
        <f t="shared" si="15"/>
        <v>市政基础设施</v>
      </c>
      <c r="AA35" s="1811">
        <f t="shared" si="3"/>
        <v>1</v>
      </c>
      <c r="AB35" s="1811">
        <f t="shared" si="4"/>
        <v>1</v>
      </c>
      <c r="AC35" s="1811">
        <f t="shared" si="5"/>
        <v>1</v>
      </c>
    </row>
    <row r="36" spans="1:29" ht="15">
      <c r="A36" s="472"/>
      <c r="B36" s="422"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228"/>
      <c r="Q36" s="1810" t="str">
        <f t="shared" si="11"/>
        <v>内部装修</v>
      </c>
      <c r="R36" s="774" t="s">
        <v>17</v>
      </c>
      <c r="S36" s="775">
        <f t="shared" si="12"/>
        <v>100</v>
      </c>
      <c r="T36" s="774" t="s">
        <v>17</v>
      </c>
      <c r="U36" s="775">
        <f t="shared" si="13"/>
        <v>100</v>
      </c>
      <c r="V36" s="774" t="s">
        <v>17</v>
      </c>
      <c r="W36" s="775">
        <f t="shared" si="14"/>
        <v>100</v>
      </c>
      <c r="X36" s="1813"/>
      <c r="Y36" s="3228"/>
      <c r="Z36" s="1814" t="str">
        <f t="shared" si="15"/>
        <v>内部装修</v>
      </c>
      <c r="AA36" s="1811">
        <f t="shared" si="3"/>
        <v>1</v>
      </c>
      <c r="AB36" s="1811">
        <f t="shared" si="4"/>
        <v>1</v>
      </c>
      <c r="AC36" s="1811">
        <f t="shared" si="5"/>
        <v>1</v>
      </c>
    </row>
    <row r="37" spans="1:29" ht="15">
      <c r="A37" s="472"/>
      <c r="B37" s="422"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228"/>
      <c r="Q37" s="1810" t="str">
        <f t="shared" si="11"/>
        <v>内部装修状况</v>
      </c>
      <c r="R37" s="774" t="s">
        <v>17</v>
      </c>
      <c r="S37" s="775">
        <f t="shared" si="12"/>
        <v>100</v>
      </c>
      <c r="T37" s="774" t="s">
        <v>17</v>
      </c>
      <c r="U37" s="775">
        <f t="shared" si="13"/>
        <v>100</v>
      </c>
      <c r="V37" s="774" t="s">
        <v>17</v>
      </c>
      <c r="W37" s="775">
        <f t="shared" si="14"/>
        <v>100</v>
      </c>
      <c r="X37" s="1813"/>
      <c r="Y37" s="3228"/>
      <c r="Z37" s="1814" t="str">
        <f t="shared" si="15"/>
        <v>内部装修状况</v>
      </c>
      <c r="AA37" s="1811">
        <f t="shared" si="3"/>
        <v>1</v>
      </c>
      <c r="AB37" s="1811">
        <f t="shared" si="4"/>
        <v>1</v>
      </c>
      <c r="AC37" s="1811">
        <f t="shared" si="5"/>
        <v>1</v>
      </c>
    </row>
    <row r="38" spans="1:29" s="471" customFormat="1" ht="15">
      <c r="A38" s="468"/>
      <c r="B38" s="2967" t="s">
        <v>3114</v>
      </c>
      <c r="C38" s="2968" t="s">
        <v>3115</v>
      </c>
      <c r="D38" s="435">
        <v>100</v>
      </c>
      <c r="E38" s="2968" t="s">
        <v>3115</v>
      </c>
      <c r="F38" s="461">
        <f>SUMIF(108:108,E38,109:109)-SUMIF(108:108,C38,109:109)+100</f>
        <v>100</v>
      </c>
      <c r="G38" s="2968" t="s">
        <v>3115</v>
      </c>
      <c r="H38" s="435">
        <f>SUMIF(108:108,G38,109:109)-SUMIF(108:108,C38,109:109)+100</f>
        <v>100</v>
      </c>
      <c r="I38" s="2968" t="s">
        <v>3115</v>
      </c>
      <c r="J38" s="435">
        <f>SUMIF(108:108,I38,109:1038)-SUMIF(108:108,C38,109:109)+100</f>
        <v>100</v>
      </c>
      <c r="K38" s="613"/>
      <c r="L38" s="1138"/>
      <c r="M38" s="1141"/>
      <c r="N38" s="1141"/>
      <c r="O38" s="1142"/>
      <c r="P38" s="3228"/>
      <c r="Q38" s="776" t="str">
        <f t="shared" si="11"/>
        <v>是否带地下</v>
      </c>
      <c r="R38" s="777" t="s">
        <v>17</v>
      </c>
      <c r="S38" s="778">
        <f t="shared" si="12"/>
        <v>100</v>
      </c>
      <c r="T38" s="777" t="s">
        <v>17</v>
      </c>
      <c r="U38" s="778">
        <f t="shared" si="13"/>
        <v>100</v>
      </c>
      <c r="V38" s="777" t="s">
        <v>17</v>
      </c>
      <c r="W38" s="778">
        <f t="shared" si="14"/>
        <v>100</v>
      </c>
      <c r="X38" s="779"/>
      <c r="Y38" s="3228"/>
      <c r="Z38" s="780" t="str">
        <f t="shared" si="15"/>
        <v>是否带地下</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8"/>
      <c r="Q39" s="1810">
        <f t="shared" si="11"/>
        <v>111</v>
      </c>
      <c r="R39" s="774" t="s">
        <v>17</v>
      </c>
      <c r="S39" s="775">
        <f t="shared" si="12"/>
        <v>100</v>
      </c>
      <c r="T39" s="774" t="s">
        <v>17</v>
      </c>
      <c r="U39" s="775">
        <f t="shared" si="13"/>
        <v>100</v>
      </c>
      <c r="V39" s="774" t="s">
        <v>17</v>
      </c>
      <c r="W39" s="775">
        <f t="shared" si="14"/>
        <v>100</v>
      </c>
      <c r="X39" s="1813"/>
      <c r="Y39" s="322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9"/>
      <c r="Q40" s="1810">
        <f t="shared" si="11"/>
        <v>111</v>
      </c>
      <c r="R40" s="774" t="s">
        <v>17</v>
      </c>
      <c r="S40" s="775">
        <f t="shared" si="12"/>
        <v>100</v>
      </c>
      <c r="T40" s="774" t="s">
        <v>17</v>
      </c>
      <c r="U40" s="775">
        <f t="shared" si="13"/>
        <v>100</v>
      </c>
      <c r="V40" s="774" t="s">
        <v>17</v>
      </c>
      <c r="W40" s="775">
        <f t="shared" si="14"/>
        <v>100</v>
      </c>
      <c r="X40" s="1813"/>
      <c r="Y40" s="3229"/>
      <c r="Z40" s="1814">
        <f t="shared" si="15"/>
        <v>111</v>
      </c>
      <c r="AA40" s="1811">
        <f t="shared" si="3"/>
        <v>1</v>
      </c>
      <c r="AB40" s="1811">
        <f t="shared" si="4"/>
        <v>1</v>
      </c>
      <c r="AC40" s="1811">
        <f t="shared" si="5"/>
        <v>1</v>
      </c>
    </row>
    <row r="41" spans="1:29" ht="15">
      <c r="A41" s="479" t="s">
        <v>2575</v>
      </c>
      <c r="B41" s="480"/>
      <c r="C41" s="1407" t="s">
        <v>1</v>
      </c>
      <c r="D41" s="1408"/>
      <c r="E41" s="1409">
        <f>ROUND(19000*C44,0)</f>
        <v>16150</v>
      </c>
      <c r="F41" s="1410"/>
      <c r="G41" s="1411">
        <f>ROUND(16000*C44,0)</f>
        <v>13600</v>
      </c>
      <c r="H41" s="1412"/>
      <c r="I41" s="1409">
        <f>ROUND(17000*C44,0)</f>
        <v>14450</v>
      </c>
      <c r="J41" s="1412"/>
      <c r="K41" s="783"/>
      <c r="L41" s="1143"/>
      <c r="M41" s="1144"/>
      <c r="N41" s="1131"/>
      <c r="O41" s="1144"/>
      <c r="P41" s="3221" t="str">
        <f>A41</f>
        <v>成交单价（元/平方米）</v>
      </c>
      <c r="Q41" s="3221"/>
      <c r="R41" s="3222">
        <f>E41</f>
        <v>16150</v>
      </c>
      <c r="S41" s="3222"/>
      <c r="T41" s="3222">
        <f>G41</f>
        <v>13600</v>
      </c>
      <c r="U41" s="3222"/>
      <c r="V41" s="3222">
        <f>I41</f>
        <v>14450</v>
      </c>
      <c r="W41" s="3222"/>
      <c r="X41" s="759"/>
      <c r="Y41" s="781"/>
      <c r="Z41" s="759"/>
      <c r="AA41" s="759"/>
      <c r="AB41" s="759"/>
      <c r="AC41" s="759"/>
    </row>
    <row r="42" spans="1:29" ht="15.75" thickBot="1">
      <c r="A42" s="486" t="s">
        <v>2667</v>
      </c>
      <c r="B42" s="487"/>
      <c r="C42" s="1413">
        <f>R43</f>
        <v>14836</v>
      </c>
      <c r="D42" s="1414"/>
      <c r="E42" s="1415">
        <f>R42</f>
        <v>16313</v>
      </c>
      <c r="F42" s="1415"/>
      <c r="G42" s="1413">
        <f>T42</f>
        <v>13600</v>
      </c>
      <c r="H42" s="1414"/>
      <c r="I42" s="1415">
        <f>V42</f>
        <v>14596</v>
      </c>
      <c r="J42" s="1414"/>
      <c r="K42" s="784"/>
      <c r="L42" s="1143"/>
      <c r="M42" s="1144"/>
      <c r="N42" s="1131"/>
      <c r="O42" s="1144"/>
      <c r="P42" s="3221" t="str">
        <f>A42</f>
        <v>比较价值（元/平方米）</v>
      </c>
      <c r="Q42" s="3221"/>
      <c r="R42" s="3222">
        <f>IF(F1="售价",ROUND(PRODUCT(R41,AA7:AA40),0),ROUND(PRODUCT(R41,AA7:AA40),1))</f>
        <v>16313</v>
      </c>
      <c r="S42" s="3222"/>
      <c r="T42" s="3222">
        <f>IF(F1="售价",ROUND(PRODUCT(T41,AB7:AB40),0),ROUND(PRODUCT(T41,AB7:AB40),1))</f>
        <v>13600</v>
      </c>
      <c r="U42" s="3222"/>
      <c r="V42" s="3222">
        <f>IF(F1="售价",ROUND(PRODUCT(V41,AC7:AC40),0),ROUND(PRODUCT(V41,AC7:AC40),1))</f>
        <v>14596</v>
      </c>
      <c r="W42" s="3222"/>
      <c r="X42" s="759"/>
      <c r="Y42" s="759"/>
      <c r="Z42" s="759"/>
      <c r="AA42" s="759"/>
      <c r="AB42" s="759"/>
      <c r="AC42" s="759"/>
    </row>
    <row r="43" spans="1:29" ht="15.75" thickBot="1">
      <c r="A43" s="492" t="s">
        <v>2668</v>
      </c>
      <c r="B43" s="493"/>
      <c r="C43" s="1417">
        <f>R43</f>
        <v>14836</v>
      </c>
      <c r="D43" s="1417"/>
      <c r="E43" s="1417"/>
      <c r="F43" s="1417"/>
      <c r="G43" s="1417"/>
      <c r="H43" s="1417"/>
      <c r="I43" s="1417"/>
      <c r="J43" s="1417"/>
      <c r="K43" s="785"/>
      <c r="L43" s="1143"/>
      <c r="M43" s="1144"/>
      <c r="N43" s="1144"/>
      <c r="O43" s="1144"/>
      <c r="P43" s="3218" t="str">
        <f>A43</f>
        <v>估价对象XX用房的比较价值（楼面单价，元/平方米）</v>
      </c>
      <c r="Q43" s="3219"/>
      <c r="R43" s="3220">
        <f>IF(F1="售价",ROUND(AVERAGE(R42:V42),0),ROUND(AVERAGE(R42:V42),1))</f>
        <v>14836</v>
      </c>
      <c r="S43" s="3220"/>
      <c r="T43" s="3220"/>
      <c r="U43" s="3220"/>
      <c r="V43" s="3220"/>
      <c r="W43" s="3220"/>
      <c r="X43" s="759"/>
      <c r="Y43" s="759"/>
      <c r="Z43" s="759"/>
      <c r="AA43" s="759"/>
      <c r="AB43" s="759"/>
      <c r="AC43" s="759"/>
    </row>
    <row r="44" spans="1:29">
      <c r="A44" s="1144"/>
      <c r="B44" s="1144"/>
      <c r="C44" s="1144">
        <v>0.85</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f>IF(E41&lt;E42,E42/E41-1,E41/E42-1)</f>
        <v>1.0092879256965892E-2</v>
      </c>
      <c r="F46" s="500" t="str">
        <f>IF(OR(E46&gt;=0.3,E46&lt;=-0.3),"超过30%","")</f>
        <v/>
      </c>
      <c r="G46" s="499">
        <f>IF(G41&lt;G42,G42/G41-1,G41/G42-1)</f>
        <v>0</v>
      </c>
      <c r="H46" s="500" t="str">
        <f>IF(OR(G46&gt;=0.3,G46&lt;=-0.3),"超过30%","")</f>
        <v/>
      </c>
      <c r="I46" s="499">
        <f>IF(I41&lt;I42,I42/I41-1,I41/I42-1)</f>
        <v>1.0103806228373813E-2</v>
      </c>
      <c r="J46" s="500" t="str">
        <f>IF(OR(I46&gt;=0.3,I46&lt;=-0.3),"超过30%","")</f>
        <v/>
      </c>
      <c r="K46" s="1105"/>
      <c r="L46" s="1106"/>
      <c r="M46" s="1144"/>
      <c r="N46" s="1144"/>
      <c r="O46" s="1144"/>
    </row>
    <row r="47" spans="1:29" ht="13.5" customHeight="1">
      <c r="A47" s="1144"/>
      <c r="B47" s="1144"/>
      <c r="C47" s="497" t="s">
        <v>2670</v>
      </c>
      <c r="D47" s="501"/>
      <c r="E47" s="499">
        <f>IF(E42&lt;G42,G42/E42-1,E42/G42-1)</f>
        <v>0.19948529411764704</v>
      </c>
      <c r="F47" s="500" t="str">
        <f>IF(OR(E47&gt;=0.2,E47&lt;=-0.2),"超过20%","")</f>
        <v/>
      </c>
      <c r="G47" s="499">
        <f>IF(G42&lt;I42,I42/G42-1,G42/I42-1)</f>
        <v>7.3235294117647065E-2</v>
      </c>
      <c r="H47" s="500" t="str">
        <f>IF(OR(G47&gt;=0.2,G47&lt;=-0.2),"超过20%","")</f>
        <v/>
      </c>
      <c r="I47" s="499">
        <f>IF(I42&lt;E42,E42/I42-1,I42/E42-1)</f>
        <v>0.11763496848451638</v>
      </c>
      <c r="J47" s="500" t="str">
        <f>IF(OR(I47&gt;=0.2,I47&lt;=-0.2),"超过20%","")</f>
        <v/>
      </c>
      <c r="K47" s="1105"/>
      <c r="L47" s="1106"/>
      <c r="M47" s="1144"/>
      <c r="N47" s="1144"/>
      <c r="O47" s="1144"/>
    </row>
    <row r="48" spans="1:29" s="502" customFormat="1" ht="13.5" customHeight="1">
      <c r="A48" s="1145"/>
      <c r="B48" s="1145"/>
      <c r="C48" s="497" t="s">
        <v>2671</v>
      </c>
      <c r="D48" s="501"/>
      <c r="E48" s="499">
        <f>IF(E41&lt;G41,G41/E41-1,E41/G41-1)</f>
        <v>0.1875</v>
      </c>
      <c r="F48" s="500" t="str">
        <f>IF(OR(E48&gt;=0.3,E48&lt;=-0.3),"超过30%","")</f>
        <v/>
      </c>
      <c r="G48" s="499">
        <f>IF(G41&lt;I41,I41/G41-1,G41/I41-1)</f>
        <v>6.25E-2</v>
      </c>
      <c r="H48" s="500" t="str">
        <f>IF(OR(G48&gt;=0.3,G48&lt;=-0.3),"超过30%","")</f>
        <v/>
      </c>
      <c r="I48" s="499">
        <f>IF(I41&lt;E41,E41/I41-1,I41/E41-1)</f>
        <v>0.11764705882352944</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v>96</v>
      </c>
      <c r="H92" s="536">
        <v>95</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t="str">
        <f>B38</f>
        <v>是否带地下</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3"/>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191" t="s">
        <v>2645</v>
      </c>
      <c r="S4" s="3192"/>
      <c r="T4" s="3191" t="s">
        <v>2646</v>
      </c>
      <c r="U4" s="3192"/>
      <c r="V4" s="3216" t="s">
        <v>2647</v>
      </c>
      <c r="W4" s="3216"/>
      <c r="X4" s="1813"/>
      <c r="Y4" s="3191" t="s">
        <v>2649</v>
      </c>
      <c r="Z4" s="3192"/>
      <c r="AA4" s="3186" t="s">
        <v>2645</v>
      </c>
      <c r="AB4" s="3187" t="s">
        <v>2646</v>
      </c>
      <c r="AC4" s="3186" t="s">
        <v>2647</v>
      </c>
    </row>
    <row r="5" spans="1:29"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1813"/>
      <c r="Y5" s="3193"/>
      <c r="Z5" s="3194"/>
      <c r="AA5" s="3187"/>
      <c r="AB5" s="3187"/>
      <c r="AC5" s="3187"/>
    </row>
    <row r="6" spans="1:29" ht="15.75" thickBot="1">
      <c r="A6" s="406"/>
      <c r="B6" s="407"/>
      <c r="C6" s="3199" t="s">
        <v>2544</v>
      </c>
      <c r="D6" s="3200"/>
      <c r="E6" s="3201" t="s">
        <v>2544</v>
      </c>
      <c r="F6" s="3202"/>
      <c r="G6" s="3199" t="s">
        <v>2544</v>
      </c>
      <c r="H6" s="3200"/>
      <c r="I6" s="3199" t="s">
        <v>2544</v>
      </c>
      <c r="J6" s="3200"/>
      <c r="K6" s="610" t="s">
        <v>2545</v>
      </c>
      <c r="L6" s="1130"/>
      <c r="M6" s="1131"/>
      <c r="N6" s="1131"/>
      <c r="O6" s="1131"/>
      <c r="P6" s="3212"/>
      <c r="Q6" s="3213"/>
      <c r="R6" s="3193"/>
      <c r="S6" s="3194"/>
      <c r="T6" s="3214"/>
      <c r="U6" s="3215"/>
      <c r="V6" s="3216"/>
      <c r="W6" s="3216"/>
      <c r="X6" s="1813"/>
      <c r="Y6" s="3214"/>
      <c r="Z6" s="3215"/>
      <c r="AA6" s="3188"/>
      <c r="AB6" s="3188"/>
      <c r="AC6" s="3188"/>
    </row>
    <row r="7" spans="1:29" s="117" customFormat="1" ht="15.75" thickBot="1">
      <c r="A7" s="408" t="s">
        <v>2546</v>
      </c>
      <c r="B7" s="409"/>
      <c r="C7" s="410">
        <f>'数据-取费表'!B2</f>
        <v>43889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9" t="s">
        <v>2547</v>
      </c>
      <c r="Q7" s="3217"/>
      <c r="R7" s="770" t="s">
        <v>17</v>
      </c>
      <c r="S7" s="771">
        <f t="shared" ref="S7:S14" si="0">F7</f>
        <v>0</v>
      </c>
      <c r="T7" s="770" t="s">
        <v>17</v>
      </c>
      <c r="U7" s="771">
        <f t="shared" ref="U7:U14" si="1">H7</f>
        <v>0</v>
      </c>
      <c r="V7" s="770" t="s">
        <v>17</v>
      </c>
      <c r="W7" s="771">
        <f t="shared" ref="W7:W14" si="2">J7</f>
        <v>0</v>
      </c>
      <c r="X7" s="772"/>
      <c r="Y7" s="3189" t="s">
        <v>2547</v>
      </c>
      <c r="Z7" s="319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9" t="s">
        <v>2550</v>
      </c>
      <c r="Q8" s="3190"/>
      <c r="R8" s="770" t="s">
        <v>17</v>
      </c>
      <c r="S8" s="771">
        <f t="shared" si="0"/>
        <v>0</v>
      </c>
      <c r="T8" s="770" t="s">
        <v>17</v>
      </c>
      <c r="U8" s="771">
        <f t="shared" si="1"/>
        <v>0</v>
      </c>
      <c r="V8" s="770" t="s">
        <v>17</v>
      </c>
      <c r="W8" s="771">
        <f t="shared" si="2"/>
        <v>0</v>
      </c>
      <c r="X8" s="772"/>
      <c r="Y8" s="3189" t="s">
        <v>2550</v>
      </c>
      <c r="Z8" s="319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1" t="s">
        <v>2553</v>
      </c>
      <c r="Q9" s="1795" t="str">
        <f t="shared" ref="Q9:Q14" si="6">B9</f>
        <v>用途</v>
      </c>
      <c r="R9" s="770" t="s">
        <v>17</v>
      </c>
      <c r="S9" s="771">
        <f t="shared" si="0"/>
        <v>100</v>
      </c>
      <c r="T9" s="770" t="s">
        <v>17</v>
      </c>
      <c r="U9" s="771">
        <f t="shared" si="1"/>
        <v>100</v>
      </c>
      <c r="V9" s="770" t="s">
        <v>17</v>
      </c>
      <c r="W9" s="771">
        <f t="shared" si="2"/>
        <v>100</v>
      </c>
      <c r="X9" s="772"/>
      <c r="Y9" s="303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1"/>
      <c r="Q11" s="1795">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2557</v>
      </c>
      <c r="B14" s="629"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3" t="s">
        <v>2558</v>
      </c>
      <c r="Q14" s="1810" t="str">
        <f t="shared" si="6"/>
        <v>交通便捷度</v>
      </c>
      <c r="R14" s="774" t="s">
        <v>17</v>
      </c>
      <c r="S14" s="775">
        <f t="shared" si="0"/>
        <v>100</v>
      </c>
      <c r="T14" s="774" t="s">
        <v>17</v>
      </c>
      <c r="U14" s="775">
        <f t="shared" si="1"/>
        <v>100</v>
      </c>
      <c r="V14" s="774" t="s">
        <v>17</v>
      </c>
      <c r="W14" s="775">
        <f t="shared" si="2"/>
        <v>100</v>
      </c>
      <c r="X14" s="1813"/>
      <c r="Y14" s="3223"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4"/>
      <c r="Q15" s="1810"/>
      <c r="R15" s="774"/>
      <c r="S15" s="775"/>
      <c r="T15" s="774"/>
      <c r="U15" s="775"/>
      <c r="V15" s="774"/>
      <c r="W15" s="775"/>
      <c r="X15" s="1813"/>
      <c r="Y15" s="3224"/>
      <c r="Z15" s="1814"/>
      <c r="AA15" s="1811">
        <v>1</v>
      </c>
      <c r="AB15" s="1811">
        <v>1</v>
      </c>
      <c r="AC15" s="1811">
        <v>1</v>
      </c>
    </row>
    <row r="16" spans="1:29" ht="42.75">
      <c r="A16" s="404"/>
      <c r="B16" s="631"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4"/>
      <c r="Q16" s="1810" t="str">
        <f>B16</f>
        <v>公共配套设施</v>
      </c>
      <c r="R16" s="774" t="s">
        <v>17</v>
      </c>
      <c r="S16" s="775">
        <f>F16</f>
        <v>100</v>
      </c>
      <c r="T16" s="774" t="s">
        <v>17</v>
      </c>
      <c r="U16" s="775">
        <f>H16</f>
        <v>100</v>
      </c>
      <c r="V16" s="774" t="s">
        <v>17</v>
      </c>
      <c r="W16" s="775">
        <f>J16</f>
        <v>100</v>
      </c>
      <c r="X16" s="1813"/>
      <c r="Y16" s="322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24"/>
      <c r="Q17" s="1810"/>
      <c r="R17" s="774"/>
      <c r="S17" s="775"/>
      <c r="T17" s="774"/>
      <c r="U17" s="775"/>
      <c r="V17" s="774"/>
      <c r="W17" s="775"/>
      <c r="X17" s="1813"/>
      <c r="Y17" s="3224"/>
      <c r="Z17" s="1814"/>
      <c r="AA17" s="1811">
        <v>1</v>
      </c>
      <c r="AB17" s="1811">
        <v>1</v>
      </c>
      <c r="AC17" s="1811">
        <v>1</v>
      </c>
    </row>
    <row r="18" spans="1:29" ht="28.5">
      <c r="A18" s="404"/>
      <c r="B18" s="633"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4"/>
      <c r="Q18" s="1810" t="str">
        <f>B18</f>
        <v>基础设施水平</v>
      </c>
      <c r="R18" s="774" t="s">
        <v>17</v>
      </c>
      <c r="S18" s="775">
        <f>F18</f>
        <v>100</v>
      </c>
      <c r="T18" s="774" t="s">
        <v>17</v>
      </c>
      <c r="U18" s="775">
        <f>H18</f>
        <v>100</v>
      </c>
      <c r="V18" s="774" t="s">
        <v>17</v>
      </c>
      <c r="W18" s="775">
        <f>J18</f>
        <v>100</v>
      </c>
      <c r="X18" s="1813"/>
      <c r="Y18" s="322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24"/>
      <c r="Q19" s="1810"/>
      <c r="R19" s="774"/>
      <c r="S19" s="775"/>
      <c r="T19" s="774"/>
      <c r="U19" s="775"/>
      <c r="V19" s="774"/>
      <c r="W19" s="775"/>
      <c r="X19" s="1813"/>
      <c r="Y19" s="3224"/>
      <c r="Z19" s="1814"/>
      <c r="AA19" s="1811">
        <v>1</v>
      </c>
      <c r="AB19" s="1811">
        <v>1</v>
      </c>
      <c r="AC19" s="1811">
        <v>1</v>
      </c>
    </row>
    <row r="20" spans="1:29" ht="57">
      <c r="A20" s="404"/>
      <c r="B20" s="631"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4"/>
      <c r="Q20" s="1810" t="str">
        <f>B20</f>
        <v>自然及人文环境</v>
      </c>
      <c r="R20" s="774" t="s">
        <v>17</v>
      </c>
      <c r="S20" s="775">
        <f>F20</f>
        <v>100</v>
      </c>
      <c r="T20" s="774" t="s">
        <v>17</v>
      </c>
      <c r="U20" s="775">
        <f>H20</f>
        <v>100</v>
      </c>
      <c r="V20" s="774" t="s">
        <v>17</v>
      </c>
      <c r="W20" s="775">
        <f>J20</f>
        <v>100</v>
      </c>
      <c r="X20" s="1813"/>
      <c r="Y20" s="322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4"/>
      <c r="Q21" s="1810"/>
      <c r="R21" s="774"/>
      <c r="S21" s="775"/>
      <c r="T21" s="774"/>
      <c r="U21" s="775"/>
      <c r="V21" s="774"/>
      <c r="W21" s="775"/>
      <c r="X21" s="1813"/>
      <c r="Y21" s="3224"/>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4"/>
      <c r="Q22" s="1810" t="str">
        <f>B22</f>
        <v>楼层</v>
      </c>
      <c r="R22" s="774" t="s">
        <v>17</v>
      </c>
      <c r="S22" s="775">
        <f>F22</f>
        <v>100</v>
      </c>
      <c r="T22" s="774" t="s">
        <v>17</v>
      </c>
      <c r="U22" s="775">
        <f>H22</f>
        <v>100</v>
      </c>
      <c r="V22" s="774" t="s">
        <v>17</v>
      </c>
      <c r="W22" s="775">
        <f>J22</f>
        <v>100</v>
      </c>
      <c r="X22" s="1813"/>
      <c r="Y22" s="322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4"/>
      <c r="Q23" s="1810">
        <f>B23</f>
        <v>111</v>
      </c>
      <c r="R23" s="774" t="s">
        <v>17</v>
      </c>
      <c r="S23" s="775">
        <f>F23</f>
        <v>100</v>
      </c>
      <c r="T23" s="774" t="s">
        <v>17</v>
      </c>
      <c r="U23" s="775">
        <f>H23</f>
        <v>100</v>
      </c>
      <c r="V23" s="774" t="s">
        <v>17</v>
      </c>
      <c r="W23" s="775">
        <f>J23</f>
        <v>100</v>
      </c>
      <c r="X23" s="1813"/>
      <c r="Y23" s="322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4"/>
      <c r="Q24" s="1810">
        <f t="shared" ref="Q24:Q36" si="11">B24</f>
        <v>111</v>
      </c>
      <c r="R24" s="774" t="s">
        <v>17</v>
      </c>
      <c r="S24" s="775">
        <f>F24</f>
        <v>100</v>
      </c>
      <c r="T24" s="774" t="s">
        <v>17</v>
      </c>
      <c r="U24" s="775">
        <f>H24</f>
        <v>100</v>
      </c>
      <c r="V24" s="774" t="s">
        <v>17</v>
      </c>
      <c r="W24" s="775">
        <f>J24</f>
        <v>100</v>
      </c>
      <c r="X24" s="1813"/>
      <c r="Y24" s="322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4"/>
      <c r="Q25" s="1795">
        <f t="shared" si="11"/>
        <v>111</v>
      </c>
      <c r="R25" s="770" t="s">
        <v>17</v>
      </c>
      <c r="S25" s="771">
        <f>F25</f>
        <v>100</v>
      </c>
      <c r="T25" s="770" t="s">
        <v>17</v>
      </c>
      <c r="U25" s="771">
        <f>H25</f>
        <v>100</v>
      </c>
      <c r="V25" s="770" t="s">
        <v>17</v>
      </c>
      <c r="W25" s="771">
        <f>J25</f>
        <v>100</v>
      </c>
      <c r="X25" s="772"/>
      <c r="Y25" s="3224"/>
      <c r="Z25" s="55">
        <f>Q25</f>
        <v>111</v>
      </c>
      <c r="AA25" s="1811">
        <f>D25/F25</f>
        <v>1</v>
      </c>
      <c r="AB25" s="1811">
        <f>D25/H25</f>
        <v>1</v>
      </c>
      <c r="AC25" s="1811">
        <f>D25/J25</f>
        <v>1</v>
      </c>
    </row>
    <row r="26" spans="1:29" ht="28.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7"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8"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8"/>
      <c r="Q28" s="1810" t="str">
        <f t="shared" si="11"/>
        <v>公共部分装修</v>
      </c>
      <c r="R28" s="774" t="s">
        <v>17</v>
      </c>
      <c r="S28" s="775">
        <f t="shared" si="12"/>
        <v>100</v>
      </c>
      <c r="T28" s="774" t="s">
        <v>17</v>
      </c>
      <c r="U28" s="775">
        <f t="shared" si="13"/>
        <v>100</v>
      </c>
      <c r="V28" s="774" t="s">
        <v>17</v>
      </c>
      <c r="W28" s="775">
        <f t="shared" si="14"/>
        <v>100</v>
      </c>
      <c r="X28" s="1813"/>
      <c r="Y28" s="3228"/>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8"/>
      <c r="Q29" s="1810" t="str">
        <f t="shared" si="11"/>
        <v>成新率</v>
      </c>
      <c r="R29" s="774" t="s">
        <v>17</v>
      </c>
      <c r="S29" s="775" t="e">
        <f t="shared" si="12"/>
        <v>#N/A</v>
      </c>
      <c r="T29" s="774" t="s">
        <v>17</v>
      </c>
      <c r="U29" s="775" t="e">
        <f t="shared" si="13"/>
        <v>#N/A</v>
      </c>
      <c r="V29" s="774" t="s">
        <v>17</v>
      </c>
      <c r="W29" s="775" t="e">
        <f t="shared" si="14"/>
        <v>#N/A</v>
      </c>
      <c r="X29" s="1813"/>
      <c r="Y29" s="3228"/>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8"/>
      <c r="Q30" s="1810" t="str">
        <f t="shared" si="11"/>
        <v>物业等级</v>
      </c>
      <c r="R30" s="774" t="s">
        <v>17</v>
      </c>
      <c r="S30" s="775">
        <f t="shared" si="12"/>
        <v>100</v>
      </c>
      <c r="T30" s="774" t="s">
        <v>17</v>
      </c>
      <c r="U30" s="775">
        <f t="shared" si="13"/>
        <v>100</v>
      </c>
      <c r="V30" s="774" t="s">
        <v>17</v>
      </c>
      <c r="W30" s="775">
        <f t="shared" si="14"/>
        <v>100</v>
      </c>
      <c r="X30" s="1813"/>
      <c r="Y30" s="3228"/>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8"/>
      <c r="Q31" s="1795"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8" t="s">
        <v>2563</v>
      </c>
      <c r="Q32" s="1810" t="str">
        <f t="shared" si="11"/>
        <v>车位类型</v>
      </c>
      <c r="R32" s="774" t="s">
        <v>17</v>
      </c>
      <c r="S32" s="775">
        <f t="shared" si="12"/>
        <v>100</v>
      </c>
      <c r="T32" s="774" t="s">
        <v>17</v>
      </c>
      <c r="U32" s="775">
        <f t="shared" si="13"/>
        <v>100</v>
      </c>
      <c r="V32" s="774" t="s">
        <v>17</v>
      </c>
      <c r="W32" s="775">
        <f t="shared" si="14"/>
        <v>100</v>
      </c>
      <c r="X32" s="1813"/>
      <c r="Y32" s="3228"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8"/>
      <c r="Q33" s="1810" t="str">
        <f t="shared" si="11"/>
        <v>是否直接入户</v>
      </c>
      <c r="R33" s="774" t="s">
        <v>17</v>
      </c>
      <c r="S33" s="775">
        <f t="shared" si="12"/>
        <v>100</v>
      </c>
      <c r="T33" s="774" t="s">
        <v>17</v>
      </c>
      <c r="U33" s="775">
        <f t="shared" si="13"/>
        <v>100</v>
      </c>
      <c r="V33" s="774" t="s">
        <v>17</v>
      </c>
      <c r="W33" s="775">
        <f t="shared" si="14"/>
        <v>100</v>
      </c>
      <c r="X33" s="1813"/>
      <c r="Y33" s="322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8"/>
      <c r="Q34" s="1810">
        <f t="shared" si="11"/>
        <v>111</v>
      </c>
      <c r="R34" s="774" t="s">
        <v>17</v>
      </c>
      <c r="S34" s="775">
        <f t="shared" si="12"/>
        <v>100</v>
      </c>
      <c r="T34" s="774" t="s">
        <v>17</v>
      </c>
      <c r="U34" s="775">
        <f t="shared" si="13"/>
        <v>100</v>
      </c>
      <c r="V34" s="774" t="s">
        <v>17</v>
      </c>
      <c r="W34" s="775">
        <f t="shared" si="14"/>
        <v>100</v>
      </c>
      <c r="X34" s="1813"/>
      <c r="Y34" s="322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8"/>
      <c r="Q36" s="1810">
        <f t="shared" si="11"/>
        <v>111</v>
      </c>
      <c r="R36" s="774" t="s">
        <v>17</v>
      </c>
      <c r="S36" s="775">
        <f t="shared" si="12"/>
        <v>100</v>
      </c>
      <c r="T36" s="774" t="s">
        <v>17</v>
      </c>
      <c r="U36" s="775">
        <f t="shared" si="13"/>
        <v>100</v>
      </c>
      <c r="V36" s="774" t="s">
        <v>17</v>
      </c>
      <c r="W36" s="775">
        <f t="shared" si="14"/>
        <v>100</v>
      </c>
      <c r="X36" s="1813"/>
      <c r="Y36" s="3228"/>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9"/>
      <c r="L37" s="1143"/>
      <c r="M37" s="1144"/>
      <c r="N37" s="1131"/>
      <c r="O37" s="1144"/>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191" t="s">
        <v>2645</v>
      </c>
      <c r="S4" s="3192"/>
      <c r="T4" s="3191" t="s">
        <v>2646</v>
      </c>
      <c r="U4" s="3192"/>
      <c r="V4" s="3216" t="s">
        <v>2647</v>
      </c>
      <c r="W4" s="3216"/>
      <c r="X4" s="1813"/>
      <c r="Y4" s="3191" t="s">
        <v>2649</v>
      </c>
      <c r="Z4" s="3192"/>
      <c r="AA4" s="3186" t="s">
        <v>2645</v>
      </c>
      <c r="AB4" s="3187" t="s">
        <v>2646</v>
      </c>
      <c r="AC4" s="3186" t="s">
        <v>2647</v>
      </c>
    </row>
    <row r="5" spans="1:29"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1813"/>
      <c r="Y5" s="3193"/>
      <c r="Z5" s="3194"/>
      <c r="AA5" s="3187"/>
      <c r="AB5" s="3187"/>
      <c r="AC5" s="3187"/>
    </row>
    <row r="6" spans="1:29" ht="15.75" thickBot="1">
      <c r="A6" s="406"/>
      <c r="B6" s="407"/>
      <c r="C6" s="3199" t="s">
        <v>2544</v>
      </c>
      <c r="D6" s="3200"/>
      <c r="E6" s="3201" t="s">
        <v>2544</v>
      </c>
      <c r="F6" s="3202"/>
      <c r="G6" s="3199" t="s">
        <v>2544</v>
      </c>
      <c r="H6" s="3200"/>
      <c r="I6" s="3199" t="s">
        <v>2544</v>
      </c>
      <c r="J6" s="3200"/>
      <c r="K6" s="610" t="s">
        <v>2545</v>
      </c>
      <c r="L6" s="1130"/>
      <c r="M6" s="1131"/>
      <c r="N6" s="1131"/>
      <c r="O6" s="1131"/>
      <c r="P6" s="3212"/>
      <c r="Q6" s="3213"/>
      <c r="R6" s="3193"/>
      <c r="S6" s="3194"/>
      <c r="T6" s="3214"/>
      <c r="U6" s="3215"/>
      <c r="V6" s="3216"/>
      <c r="W6" s="3216"/>
      <c r="X6" s="1813"/>
      <c r="Y6" s="3214"/>
      <c r="Z6" s="3215"/>
      <c r="AA6" s="3188"/>
      <c r="AB6" s="3188"/>
      <c r="AC6" s="3188"/>
    </row>
    <row r="7" spans="1:29" s="117" customFormat="1" ht="15.75" thickBot="1">
      <c r="A7" s="408" t="s">
        <v>2546</v>
      </c>
      <c r="B7" s="409"/>
      <c r="C7" s="410">
        <f>'数据-取费表'!B2</f>
        <v>43889</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9" t="s">
        <v>2547</v>
      </c>
      <c r="Q7" s="3217"/>
      <c r="R7" s="770" t="s">
        <v>17</v>
      </c>
      <c r="S7" s="771">
        <f t="shared" ref="S7:S14" si="0">F7</f>
        <v>0</v>
      </c>
      <c r="T7" s="770" t="s">
        <v>17</v>
      </c>
      <c r="U7" s="771">
        <f t="shared" ref="U7:U14" si="1">H7</f>
        <v>0</v>
      </c>
      <c r="V7" s="770" t="s">
        <v>17</v>
      </c>
      <c r="W7" s="771">
        <f t="shared" ref="W7:W14" si="2">J7</f>
        <v>0</v>
      </c>
      <c r="X7" s="772"/>
      <c r="Y7" s="3189" t="s">
        <v>2547</v>
      </c>
      <c r="Z7" s="319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9" t="s">
        <v>2550</v>
      </c>
      <c r="Q8" s="3190"/>
      <c r="R8" s="770" t="s">
        <v>17</v>
      </c>
      <c r="S8" s="771">
        <f t="shared" si="0"/>
        <v>0</v>
      </c>
      <c r="T8" s="770" t="s">
        <v>17</v>
      </c>
      <c r="U8" s="771">
        <f t="shared" si="1"/>
        <v>0</v>
      </c>
      <c r="V8" s="770" t="s">
        <v>17</v>
      </c>
      <c r="W8" s="771">
        <f t="shared" si="2"/>
        <v>0</v>
      </c>
      <c r="X8" s="772"/>
      <c r="Y8" s="3189" t="s">
        <v>2550</v>
      </c>
      <c r="Z8" s="319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1" t="s">
        <v>2553</v>
      </c>
      <c r="Q9" s="1795" t="str">
        <f t="shared" ref="Q9:Q14" si="6">B9</f>
        <v>用途</v>
      </c>
      <c r="R9" s="770" t="s">
        <v>17</v>
      </c>
      <c r="S9" s="771">
        <f t="shared" si="0"/>
        <v>100</v>
      </c>
      <c r="T9" s="770" t="s">
        <v>17</v>
      </c>
      <c r="U9" s="771">
        <f t="shared" si="1"/>
        <v>100</v>
      </c>
      <c r="V9" s="770" t="s">
        <v>17</v>
      </c>
      <c r="W9" s="771">
        <f t="shared" si="2"/>
        <v>100</v>
      </c>
      <c r="X9" s="772"/>
      <c r="Y9" s="303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1"/>
      <c r="Q10" s="1795"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1"/>
      <c r="Q11" s="1795">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2557</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3" t="s">
        <v>2558</v>
      </c>
      <c r="Q14" s="1810" t="str">
        <f t="shared" si="6"/>
        <v>交通便捷度</v>
      </c>
      <c r="R14" s="774" t="s">
        <v>17</v>
      </c>
      <c r="S14" s="775">
        <f t="shared" si="0"/>
        <v>100</v>
      </c>
      <c r="T14" s="774" t="s">
        <v>17</v>
      </c>
      <c r="U14" s="775">
        <f t="shared" si="1"/>
        <v>100</v>
      </c>
      <c r="V14" s="774" t="s">
        <v>17</v>
      </c>
      <c r="W14" s="775">
        <f t="shared" si="2"/>
        <v>100</v>
      </c>
      <c r="X14" s="1813"/>
      <c r="Y14" s="3223"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4"/>
      <c r="Q15" s="1810"/>
      <c r="R15" s="774"/>
      <c r="S15" s="775"/>
      <c r="T15" s="774"/>
      <c r="U15" s="775"/>
      <c r="V15" s="774"/>
      <c r="W15" s="775"/>
      <c r="X15" s="1813"/>
      <c r="Y15" s="3224"/>
      <c r="Z15" s="1814"/>
      <c r="AA15" s="1811">
        <v>1</v>
      </c>
      <c r="AB15" s="1811">
        <v>1</v>
      </c>
      <c r="AC15" s="1811">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4"/>
      <c r="Q16" s="1810" t="str">
        <f>B16</f>
        <v>公共配套设施</v>
      </c>
      <c r="R16" s="774" t="s">
        <v>17</v>
      </c>
      <c r="S16" s="775">
        <f>F16</f>
        <v>100</v>
      </c>
      <c r="T16" s="774" t="s">
        <v>17</v>
      </c>
      <c r="U16" s="775">
        <f>H16</f>
        <v>100</v>
      </c>
      <c r="V16" s="774" t="s">
        <v>17</v>
      </c>
      <c r="W16" s="775">
        <f>J16</f>
        <v>100</v>
      </c>
      <c r="X16" s="1813"/>
      <c r="Y16" s="322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24"/>
      <c r="Q17" s="1810"/>
      <c r="R17" s="774"/>
      <c r="S17" s="775"/>
      <c r="T17" s="774"/>
      <c r="U17" s="775"/>
      <c r="V17" s="774"/>
      <c r="W17" s="775"/>
      <c r="X17" s="1813"/>
      <c r="Y17" s="3224"/>
      <c r="Z17" s="1814"/>
      <c r="AA17" s="1811">
        <v>1</v>
      </c>
      <c r="AB17" s="1811">
        <v>1</v>
      </c>
      <c r="AC17" s="1811">
        <v>1</v>
      </c>
    </row>
    <row r="18" spans="1:29" ht="28.5">
      <c r="A18" s="428"/>
      <c r="B18" s="1384"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4"/>
      <c r="Q18" s="1810" t="str">
        <f>B18</f>
        <v>基础设施水平</v>
      </c>
      <c r="R18" s="774" t="s">
        <v>17</v>
      </c>
      <c r="S18" s="775">
        <f>F18</f>
        <v>100</v>
      </c>
      <c r="T18" s="774" t="s">
        <v>17</v>
      </c>
      <c r="U18" s="775">
        <f>H18</f>
        <v>100</v>
      </c>
      <c r="V18" s="774" t="s">
        <v>17</v>
      </c>
      <c r="W18" s="775">
        <f>J18</f>
        <v>100</v>
      </c>
      <c r="X18" s="1813"/>
      <c r="Y18" s="3224"/>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24"/>
      <c r="Q19" s="1810"/>
      <c r="R19" s="774"/>
      <c r="S19" s="775"/>
      <c r="T19" s="774"/>
      <c r="U19" s="775"/>
      <c r="V19" s="774"/>
      <c r="W19" s="775"/>
      <c r="X19" s="1813"/>
      <c r="Y19" s="3224"/>
      <c r="Z19" s="1814"/>
      <c r="AA19" s="1811">
        <v>1</v>
      </c>
      <c r="AB19" s="1811">
        <v>1</v>
      </c>
      <c r="AC19" s="1811">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4"/>
      <c r="Q20" s="1810" t="str">
        <f>B20</f>
        <v>自然及人文环境</v>
      </c>
      <c r="R20" s="774" t="s">
        <v>17</v>
      </c>
      <c r="S20" s="775">
        <f>F20</f>
        <v>100</v>
      </c>
      <c r="T20" s="774" t="s">
        <v>17</v>
      </c>
      <c r="U20" s="775">
        <f>H20</f>
        <v>100</v>
      </c>
      <c r="V20" s="774" t="s">
        <v>17</v>
      </c>
      <c r="W20" s="775">
        <f>J20</f>
        <v>100</v>
      </c>
      <c r="X20" s="1813"/>
      <c r="Y20" s="322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4"/>
      <c r="Q21" s="1810"/>
      <c r="R21" s="774"/>
      <c r="S21" s="775"/>
      <c r="T21" s="774"/>
      <c r="U21" s="775"/>
      <c r="V21" s="774"/>
      <c r="W21" s="775"/>
      <c r="X21" s="1813"/>
      <c r="Y21" s="3224"/>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4"/>
      <c r="Q22" s="1810" t="str">
        <f>B22</f>
        <v>楼层</v>
      </c>
      <c r="R22" s="774" t="s">
        <v>17</v>
      </c>
      <c r="S22" s="775">
        <f>F22</f>
        <v>100</v>
      </c>
      <c r="T22" s="774" t="s">
        <v>17</v>
      </c>
      <c r="U22" s="775">
        <f>H22</f>
        <v>100</v>
      </c>
      <c r="V22" s="774" t="s">
        <v>17</v>
      </c>
      <c r="W22" s="775">
        <f>J22</f>
        <v>100</v>
      </c>
      <c r="X22" s="1813"/>
      <c r="Y22" s="322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4"/>
      <c r="Q23" s="1810">
        <f>B23</f>
        <v>111</v>
      </c>
      <c r="R23" s="774" t="s">
        <v>17</v>
      </c>
      <c r="S23" s="775">
        <f>F23</f>
        <v>100</v>
      </c>
      <c r="T23" s="774" t="s">
        <v>17</v>
      </c>
      <c r="U23" s="775">
        <f>H23</f>
        <v>100</v>
      </c>
      <c r="V23" s="774" t="s">
        <v>17</v>
      </c>
      <c r="W23" s="775">
        <f>J23</f>
        <v>100</v>
      </c>
      <c r="X23" s="1813"/>
      <c r="Y23" s="322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4"/>
      <c r="Q24" s="1810">
        <f t="shared" ref="Q24:Q34" si="11">B24</f>
        <v>111</v>
      </c>
      <c r="R24" s="774" t="s">
        <v>17</v>
      </c>
      <c r="S24" s="775">
        <f>F24</f>
        <v>100</v>
      </c>
      <c r="T24" s="774" t="s">
        <v>17</v>
      </c>
      <c r="U24" s="775">
        <f>H24</f>
        <v>100</v>
      </c>
      <c r="V24" s="774" t="s">
        <v>17</v>
      </c>
      <c r="W24" s="775">
        <f>J24</f>
        <v>100</v>
      </c>
      <c r="X24" s="1813"/>
      <c r="Y24" s="322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4"/>
      <c r="Q25" s="1795">
        <f t="shared" si="11"/>
        <v>111</v>
      </c>
      <c r="R25" s="770" t="s">
        <v>17</v>
      </c>
      <c r="S25" s="771">
        <f>F25</f>
        <v>100</v>
      </c>
      <c r="T25" s="770" t="s">
        <v>17</v>
      </c>
      <c r="U25" s="771">
        <f>H25</f>
        <v>100</v>
      </c>
      <c r="V25" s="770" t="s">
        <v>17</v>
      </c>
      <c r="W25" s="771">
        <f>J25</f>
        <v>100</v>
      </c>
      <c r="X25" s="772"/>
      <c r="Y25" s="3224"/>
      <c r="Z25" s="55">
        <f>Q25</f>
        <v>111</v>
      </c>
      <c r="AA25" s="1811">
        <f>D25/F25</f>
        <v>1</v>
      </c>
      <c r="AB25" s="1811">
        <f>D25/H25</f>
        <v>1</v>
      </c>
      <c r="AC25" s="1811">
        <f>D25/J25</f>
        <v>1</v>
      </c>
    </row>
    <row r="26" spans="1:29" ht="28.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7"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8"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8"/>
      <c r="Q28" s="1810" t="str">
        <f t="shared" si="11"/>
        <v>物业等级</v>
      </c>
      <c r="R28" s="774" t="s">
        <v>17</v>
      </c>
      <c r="S28" s="775">
        <f t="shared" si="12"/>
        <v>100</v>
      </c>
      <c r="T28" s="774" t="s">
        <v>17</v>
      </c>
      <c r="U28" s="775">
        <f t="shared" si="13"/>
        <v>100</v>
      </c>
      <c r="V28" s="774" t="s">
        <v>17</v>
      </c>
      <c r="W28" s="775">
        <f t="shared" si="14"/>
        <v>100</v>
      </c>
      <c r="X28" s="1813"/>
      <c r="Y28" s="3228"/>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8"/>
      <c r="Q29" s="1810" t="str">
        <f t="shared" si="11"/>
        <v>有无电梯</v>
      </c>
      <c r="R29" s="774" t="s">
        <v>17</v>
      </c>
      <c r="S29" s="775">
        <f t="shared" si="12"/>
        <v>100</v>
      </c>
      <c r="T29" s="774" t="s">
        <v>17</v>
      </c>
      <c r="U29" s="775">
        <f t="shared" si="13"/>
        <v>100</v>
      </c>
      <c r="V29" s="774" t="s">
        <v>17</v>
      </c>
      <c r="W29" s="775">
        <f t="shared" si="14"/>
        <v>100</v>
      </c>
      <c r="X29" s="1813"/>
      <c r="Y29" s="3228"/>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8"/>
      <c r="Q30" s="1810" t="str">
        <f t="shared" si="11"/>
        <v>建筑面积</v>
      </c>
      <c r="R30" s="774" t="s">
        <v>17</v>
      </c>
      <c r="S30" s="775" t="e">
        <f t="shared" si="12"/>
        <v>#N/A</v>
      </c>
      <c r="T30" s="774" t="s">
        <v>17</v>
      </c>
      <c r="U30" s="775" t="e">
        <f t="shared" si="13"/>
        <v>#N/A</v>
      </c>
      <c r="V30" s="774" t="s">
        <v>17</v>
      </c>
      <c r="W30" s="775" t="e">
        <f t="shared" si="14"/>
        <v>#N/A</v>
      </c>
      <c r="X30" s="1813"/>
      <c r="Y30" s="3228"/>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8"/>
      <c r="Q31" s="1795"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8" t="s">
        <v>2563</v>
      </c>
      <c r="Q32" s="1810">
        <f t="shared" si="11"/>
        <v>111</v>
      </c>
      <c r="R32" s="774" t="s">
        <v>17</v>
      </c>
      <c r="S32" s="775">
        <f t="shared" si="12"/>
        <v>100</v>
      </c>
      <c r="T32" s="774" t="s">
        <v>17</v>
      </c>
      <c r="U32" s="775">
        <f t="shared" si="13"/>
        <v>100</v>
      </c>
      <c r="V32" s="774" t="s">
        <v>17</v>
      </c>
      <c r="W32" s="775">
        <f t="shared" si="14"/>
        <v>100</v>
      </c>
      <c r="X32" s="1813"/>
      <c r="Y32" s="3228" t="s">
        <v>2563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8"/>
      <c r="Q33" s="1810">
        <f t="shared" si="11"/>
        <v>111</v>
      </c>
      <c r="R33" s="774" t="s">
        <v>17</v>
      </c>
      <c r="S33" s="775">
        <f t="shared" si="12"/>
        <v>100</v>
      </c>
      <c r="T33" s="774" t="s">
        <v>17</v>
      </c>
      <c r="U33" s="775">
        <f t="shared" si="13"/>
        <v>100</v>
      </c>
      <c r="V33" s="774" t="s">
        <v>17</v>
      </c>
      <c r="W33" s="775">
        <f t="shared" si="14"/>
        <v>100</v>
      </c>
      <c r="X33" s="1813"/>
      <c r="Y33" s="322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8"/>
      <c r="Q34" s="1810">
        <f t="shared" si="11"/>
        <v>111</v>
      </c>
      <c r="R34" s="774" t="s">
        <v>17</v>
      </c>
      <c r="S34" s="775">
        <f t="shared" si="12"/>
        <v>100</v>
      </c>
      <c r="T34" s="774" t="s">
        <v>17</v>
      </c>
      <c r="U34" s="775">
        <f t="shared" si="13"/>
        <v>100</v>
      </c>
      <c r="V34" s="774" t="s">
        <v>17</v>
      </c>
      <c r="W34" s="775">
        <f t="shared" si="14"/>
        <v>100</v>
      </c>
      <c r="X34" s="1813"/>
      <c r="Y34" s="3228"/>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191" t="s">
        <v>2645</v>
      </c>
      <c r="S4" s="3192"/>
      <c r="T4" s="3191" t="s">
        <v>2646</v>
      </c>
      <c r="U4" s="3192"/>
      <c r="V4" s="3216" t="s">
        <v>2647</v>
      </c>
      <c r="W4" s="3216"/>
      <c r="X4" s="1813"/>
      <c r="Y4" s="3191" t="s">
        <v>2649</v>
      </c>
      <c r="Z4" s="3192"/>
      <c r="AA4" s="3186" t="s">
        <v>2645</v>
      </c>
      <c r="AB4" s="3187" t="s">
        <v>2646</v>
      </c>
      <c r="AC4" s="3186" t="s">
        <v>2647</v>
      </c>
    </row>
    <row r="5" spans="1:30"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1813"/>
      <c r="Y5" s="3193"/>
      <c r="Z5" s="3194"/>
      <c r="AA5" s="3187"/>
      <c r="AB5" s="3187"/>
      <c r="AC5" s="3187"/>
    </row>
    <row r="6" spans="1:30" ht="15.75" thickBot="1">
      <c r="A6" s="406"/>
      <c r="B6" s="407"/>
      <c r="C6" s="3199" t="s">
        <v>2544</v>
      </c>
      <c r="D6" s="3200"/>
      <c r="E6" s="3201" t="s">
        <v>2544</v>
      </c>
      <c r="F6" s="3202"/>
      <c r="G6" s="3199" t="s">
        <v>2544</v>
      </c>
      <c r="H6" s="3200"/>
      <c r="I6" s="3199" t="s">
        <v>2544</v>
      </c>
      <c r="J6" s="3200"/>
      <c r="K6" s="610" t="s">
        <v>2545</v>
      </c>
      <c r="L6" s="1130"/>
      <c r="M6" s="1131"/>
      <c r="N6" s="1131"/>
      <c r="O6" s="1131"/>
      <c r="P6" s="3212"/>
      <c r="Q6" s="3213"/>
      <c r="R6" s="3193"/>
      <c r="S6" s="3194"/>
      <c r="T6" s="3214"/>
      <c r="U6" s="3215"/>
      <c r="V6" s="3216"/>
      <c r="W6" s="3216"/>
      <c r="X6" s="1813"/>
      <c r="Y6" s="3214"/>
      <c r="Z6" s="3215"/>
      <c r="AA6" s="3188"/>
      <c r="AB6" s="3188"/>
      <c r="AC6" s="3188"/>
    </row>
    <row r="7" spans="1:30" s="117" customFormat="1" ht="15.75" thickBot="1">
      <c r="A7" s="408" t="s">
        <v>2546</v>
      </c>
      <c r="B7" s="409"/>
      <c r="C7" s="410">
        <f>'数据-取费表'!B2</f>
        <v>43889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89"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9" t="s">
        <v>2550</v>
      </c>
      <c r="Q8" s="3190"/>
      <c r="R8" s="770" t="s">
        <v>17</v>
      </c>
      <c r="S8" s="771">
        <f t="shared" si="0"/>
        <v>0</v>
      </c>
      <c r="T8" s="770" t="s">
        <v>17</v>
      </c>
      <c r="U8" s="771">
        <f t="shared" si="1"/>
        <v>0</v>
      </c>
      <c r="V8" s="770" t="s">
        <v>17</v>
      </c>
      <c r="W8" s="771">
        <f t="shared" si="2"/>
        <v>0</v>
      </c>
      <c r="X8" s="772"/>
      <c r="Y8" s="3189" t="s">
        <v>2550</v>
      </c>
      <c r="Z8" s="3190"/>
      <c r="AA8" s="773" t="e">
        <f t="shared" ref="AA8:AA45" si="3">D8/F8</f>
        <v>#DIV/0!</v>
      </c>
      <c r="AB8" s="773" t="e">
        <f t="shared" ref="AB8:AB45" si="4">D8/H8</f>
        <v>#DIV/0!</v>
      </c>
      <c r="AC8" s="773" t="e">
        <f t="shared" ref="AC8:AC45" si="5">D8/J8</f>
        <v>#DIV/0!</v>
      </c>
    </row>
    <row r="9" spans="1:30" s="117" customFormat="1">
      <c r="A9" s="415" t="s">
        <v>2551</v>
      </c>
      <c r="B9" s="71" t="s">
        <v>2552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21" t="s">
        <v>2553</v>
      </c>
      <c r="Q9" s="1795"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221"/>
      <c r="Q10" s="1795" t="str">
        <f t="shared" si="6"/>
        <v>土地使用年限（年）</v>
      </c>
      <c r="R10" s="770" t="s">
        <v>17</v>
      </c>
      <c r="S10" s="771">
        <f t="shared" si="0"/>
        <v>105</v>
      </c>
      <c r="T10" s="770" t="s">
        <v>17</v>
      </c>
      <c r="U10" s="771">
        <f t="shared" si="1"/>
        <v>105</v>
      </c>
      <c r="V10" s="770" t="s">
        <v>17</v>
      </c>
      <c r="W10" s="771">
        <f t="shared" si="2"/>
        <v>105</v>
      </c>
      <c r="X10" s="772"/>
      <c r="Y10" s="3036"/>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1"/>
      <c r="Q12" s="1795"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2557</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3" t="s">
        <v>2558</v>
      </c>
      <c r="Q15" s="1810" t="str">
        <f t="shared" si="6"/>
        <v>居住社区成熟度</v>
      </c>
      <c r="R15" s="774" t="s">
        <v>17</v>
      </c>
      <c r="S15" s="775">
        <f t="shared" si="0"/>
        <v>100</v>
      </c>
      <c r="T15" s="774" t="s">
        <v>17</v>
      </c>
      <c r="U15" s="775">
        <f t="shared" si="1"/>
        <v>100</v>
      </c>
      <c r="V15" s="774" t="s">
        <v>17</v>
      </c>
      <c r="W15" s="775">
        <f t="shared" si="2"/>
        <v>100</v>
      </c>
      <c r="X15" s="1813"/>
      <c r="Y15" s="3223" t="s">
        <v>2558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24"/>
      <c r="Q16" s="1810"/>
      <c r="R16" s="774"/>
      <c r="S16" s="775"/>
      <c r="T16" s="774"/>
      <c r="U16" s="775"/>
      <c r="V16" s="774"/>
      <c r="W16" s="775"/>
      <c r="X16" s="1813"/>
      <c r="Y16" s="3224"/>
      <c r="Z16" s="1814"/>
      <c r="AA16" s="1811">
        <v>1</v>
      </c>
      <c r="AB16" s="1811">
        <v>1</v>
      </c>
      <c r="AC16" s="1811">
        <v>1</v>
      </c>
    </row>
    <row r="17" spans="1:29" ht="71.25">
      <c r="A17" s="428"/>
      <c r="B17" s="451" t="s">
        <v>2651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4"/>
      <c r="Q17" s="1810" t="str">
        <f>B17</f>
        <v>商业繁华度</v>
      </c>
      <c r="R17" s="774" t="s">
        <v>17</v>
      </c>
      <c r="S17" s="775">
        <f>F17</f>
        <v>100</v>
      </c>
      <c r="T17" s="774" t="s">
        <v>17</v>
      </c>
      <c r="U17" s="775">
        <f>H17</f>
        <v>100</v>
      </c>
      <c r="V17" s="774" t="s">
        <v>17</v>
      </c>
      <c r="W17" s="775">
        <f>J17</f>
        <v>100</v>
      </c>
      <c r="X17" s="1813"/>
      <c r="Y17" s="322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24"/>
      <c r="Q18" s="1810"/>
      <c r="R18" s="774"/>
      <c r="S18" s="775"/>
      <c r="T18" s="774"/>
      <c r="U18" s="775"/>
      <c r="V18" s="774"/>
      <c r="W18" s="775"/>
      <c r="X18" s="1813"/>
      <c r="Y18" s="3224"/>
      <c r="Z18" s="1814"/>
      <c r="AA18" s="1811">
        <v>1</v>
      </c>
      <c r="AB18" s="1811">
        <v>1</v>
      </c>
      <c r="AC18" s="1811">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4"/>
      <c r="Q19" s="1810" t="str">
        <f>B19</f>
        <v>办公集聚程度</v>
      </c>
      <c r="R19" s="774" t="s">
        <v>17</v>
      </c>
      <c r="S19" s="775">
        <f>F19</f>
        <v>100</v>
      </c>
      <c r="T19" s="774" t="s">
        <v>17</v>
      </c>
      <c r="U19" s="775">
        <f>H19</f>
        <v>100</v>
      </c>
      <c r="V19" s="774" t="s">
        <v>17</v>
      </c>
      <c r="W19" s="775">
        <f>J19</f>
        <v>100</v>
      </c>
      <c r="X19" s="1813"/>
      <c r="Y19" s="322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24"/>
      <c r="Q20" s="1810"/>
      <c r="R20" s="774"/>
      <c r="S20" s="775"/>
      <c r="T20" s="774"/>
      <c r="U20" s="775"/>
      <c r="V20" s="774"/>
      <c r="W20" s="775"/>
      <c r="X20" s="1813"/>
      <c r="Y20" s="3224"/>
      <c r="Z20" s="1814"/>
      <c r="AA20" s="1811">
        <v>1</v>
      </c>
      <c r="AB20" s="1811">
        <v>1</v>
      </c>
      <c r="AC20" s="1811">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4"/>
      <c r="Q21" s="1810" t="str">
        <f>B21</f>
        <v>交通便捷度</v>
      </c>
      <c r="R21" s="774" t="s">
        <v>17</v>
      </c>
      <c r="S21" s="775">
        <f>F21</f>
        <v>100</v>
      </c>
      <c r="T21" s="774" t="s">
        <v>17</v>
      </c>
      <c r="U21" s="775">
        <f>H21</f>
        <v>100</v>
      </c>
      <c r="V21" s="774" t="s">
        <v>17</v>
      </c>
      <c r="W21" s="775">
        <f>J21</f>
        <v>100</v>
      </c>
      <c r="X21" s="1813"/>
      <c r="Y21" s="3224"/>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24"/>
      <c r="Q22" s="1810"/>
      <c r="R22" s="774"/>
      <c r="S22" s="775"/>
      <c r="T22" s="774"/>
      <c r="U22" s="775"/>
      <c r="V22" s="774"/>
      <c r="W22" s="775"/>
      <c r="X22" s="1813"/>
      <c r="Y22" s="3224"/>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4"/>
      <c r="Q23" s="1810" t="str">
        <f t="shared" ref="Q23:Q37" si="8">B23</f>
        <v>区域土地利用方向</v>
      </c>
      <c r="R23" s="774" t="s">
        <v>17</v>
      </c>
      <c r="S23" s="775">
        <f>F23</f>
        <v>100</v>
      </c>
      <c r="T23" s="774" t="s">
        <v>17</v>
      </c>
      <c r="U23" s="775">
        <f>H23</f>
        <v>100</v>
      </c>
      <c r="V23" s="774" t="s">
        <v>17</v>
      </c>
      <c r="W23" s="775">
        <f>J23</f>
        <v>100</v>
      </c>
      <c r="X23" s="1813"/>
      <c r="Y23" s="322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24"/>
      <c r="Q24" s="1810"/>
      <c r="R24" s="774"/>
      <c r="S24" s="775"/>
      <c r="T24" s="774"/>
      <c r="U24" s="775"/>
      <c r="V24" s="774"/>
      <c r="W24" s="775"/>
      <c r="X24" s="1813"/>
      <c r="Y24" s="3224"/>
      <c r="Z24" s="1814"/>
      <c r="AA24" s="1811"/>
      <c r="AB24" s="1811"/>
      <c r="AC24" s="1811"/>
    </row>
    <row r="25" spans="1:29" ht="57">
      <c r="A25" s="404"/>
      <c r="B25" s="1384"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4"/>
      <c r="Q25" s="1810" t="str">
        <f t="shared" si="8"/>
        <v>自然及人文环境状况</v>
      </c>
      <c r="R25" s="774" t="s">
        <v>17</v>
      </c>
      <c r="S25" s="775">
        <f>F25</f>
        <v>100</v>
      </c>
      <c r="T25" s="774" t="s">
        <v>17</v>
      </c>
      <c r="U25" s="775">
        <f>H25</f>
        <v>100</v>
      </c>
      <c r="V25" s="774" t="s">
        <v>17</v>
      </c>
      <c r="W25" s="775">
        <f>J25</f>
        <v>100</v>
      </c>
      <c r="X25" s="1813"/>
      <c r="Y25" s="322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24"/>
      <c r="Q26" s="1810"/>
      <c r="R26" s="774"/>
      <c r="S26" s="775"/>
      <c r="T26" s="774"/>
      <c r="U26" s="775"/>
      <c r="V26" s="774"/>
      <c r="W26" s="775"/>
      <c r="X26" s="1813"/>
      <c r="Y26" s="3224"/>
      <c r="Z26" s="1814"/>
      <c r="AA26" s="1811">
        <v>1</v>
      </c>
      <c r="AB26" s="1811">
        <v>1</v>
      </c>
      <c r="AC26" s="1811">
        <v>1</v>
      </c>
    </row>
    <row r="27" spans="1:29" s="117" customFormat="1" ht="42.75">
      <c r="A27" s="649"/>
      <c r="B27" s="1384" t="s">
        <v>2652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4"/>
      <c r="Q27" s="1795" t="str">
        <f t="shared" si="8"/>
        <v>公共配套设施</v>
      </c>
      <c r="R27" s="770" t="s">
        <v>17</v>
      </c>
      <c r="S27" s="771">
        <f>F27</f>
        <v>100</v>
      </c>
      <c r="T27" s="770" t="s">
        <v>17</v>
      </c>
      <c r="U27" s="771">
        <f>H27</f>
        <v>100</v>
      </c>
      <c r="V27" s="770" t="s">
        <v>17</v>
      </c>
      <c r="W27" s="771">
        <f>J27</f>
        <v>100</v>
      </c>
      <c r="X27" s="772"/>
      <c r="Y27" s="322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24"/>
      <c r="Q28" s="1795"/>
      <c r="R28" s="770"/>
      <c r="S28" s="771"/>
      <c r="T28" s="770"/>
      <c r="U28" s="771"/>
      <c r="V28" s="770"/>
      <c r="W28" s="771"/>
      <c r="X28" s="772"/>
      <c r="Y28" s="3224"/>
      <c r="Z28" s="55"/>
      <c r="AA28" s="1811">
        <v>1</v>
      </c>
      <c r="AB28" s="1811">
        <v>1</v>
      </c>
      <c r="AC28" s="1811">
        <v>1</v>
      </c>
    </row>
    <row r="29" spans="1:29" s="117" customFormat="1" ht="28.5">
      <c r="A29" s="649"/>
      <c r="B29" s="1384" t="s">
        <v>2653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4"/>
      <c r="Q29" s="1795"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24"/>
      <c r="Q30" s="1795"/>
      <c r="R30" s="770"/>
      <c r="S30" s="771"/>
      <c r="T30" s="770"/>
      <c r="U30" s="771"/>
      <c r="V30" s="770"/>
      <c r="W30" s="771"/>
      <c r="X30" s="772"/>
      <c r="Y30" s="3224"/>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4"/>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4"/>
      <c r="Q32" s="1810" t="str">
        <f t="shared" si="8"/>
        <v>毗邻道路的类型与等级</v>
      </c>
      <c r="R32" s="774" t="s">
        <v>17</v>
      </c>
      <c r="S32" s="775">
        <f t="shared" si="10"/>
        <v>100</v>
      </c>
      <c r="T32" s="774" t="s">
        <v>17</v>
      </c>
      <c r="U32" s="775">
        <f t="shared" si="11"/>
        <v>100</v>
      </c>
      <c r="V32" s="774" t="s">
        <v>17</v>
      </c>
      <c r="W32" s="775">
        <f t="shared" si="12"/>
        <v>100</v>
      </c>
      <c r="X32" s="1813"/>
      <c r="Y32" s="322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24"/>
      <c r="Q33" s="1810"/>
      <c r="R33" s="774"/>
      <c r="S33" s="775"/>
      <c r="T33" s="774"/>
      <c r="U33" s="775"/>
      <c r="V33" s="774"/>
      <c r="W33" s="775"/>
      <c r="X33" s="1813"/>
      <c r="Y33" s="3224"/>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4"/>
      <c r="Q34" s="1810" t="str">
        <f t="shared" si="8"/>
        <v>土地级别</v>
      </c>
      <c r="R34" s="774" t="s">
        <v>17</v>
      </c>
      <c r="S34" s="775">
        <f t="shared" si="10"/>
        <v>100</v>
      </c>
      <c r="T34" s="774" t="s">
        <v>17</v>
      </c>
      <c r="U34" s="775">
        <f t="shared" si="11"/>
        <v>100</v>
      </c>
      <c r="V34" s="774" t="s">
        <v>17</v>
      </c>
      <c r="W34" s="775">
        <f t="shared" si="12"/>
        <v>100</v>
      </c>
      <c r="X34" s="1813"/>
      <c r="Y34" s="322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4"/>
      <c r="Q35" s="1810">
        <f t="shared" si="8"/>
        <v>111</v>
      </c>
      <c r="R35" s="774" t="s">
        <v>17</v>
      </c>
      <c r="S35" s="775">
        <f t="shared" si="10"/>
        <v>100</v>
      </c>
      <c r="T35" s="774" t="s">
        <v>17</v>
      </c>
      <c r="U35" s="775">
        <f t="shared" si="11"/>
        <v>100</v>
      </c>
      <c r="V35" s="774" t="s">
        <v>17</v>
      </c>
      <c r="W35" s="775">
        <f t="shared" si="12"/>
        <v>100</v>
      </c>
      <c r="X35" s="1813"/>
      <c r="Y35" s="322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7" t="s">
        <v>2563</v>
      </c>
      <c r="Q36" s="1810">
        <f t="shared" si="8"/>
        <v>111</v>
      </c>
      <c r="R36" s="774" t="s">
        <v>17</v>
      </c>
      <c r="S36" s="775">
        <f t="shared" si="10"/>
        <v>100</v>
      </c>
      <c r="T36" s="774" t="s">
        <v>17</v>
      </c>
      <c r="U36" s="775">
        <f t="shared" si="11"/>
        <v>100</v>
      </c>
      <c r="V36" s="774" t="s">
        <v>17</v>
      </c>
      <c r="W36" s="775">
        <f t="shared" si="12"/>
        <v>100</v>
      </c>
      <c r="X36" s="1813"/>
      <c r="Y36" s="3228"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8"/>
      <c r="Q37" s="1810">
        <f t="shared" si="8"/>
        <v>111</v>
      </c>
      <c r="R37" s="777" t="s">
        <v>17</v>
      </c>
      <c r="S37" s="778">
        <f t="shared" si="10"/>
        <v>100</v>
      </c>
      <c r="T37" s="777" t="s">
        <v>17</v>
      </c>
      <c r="U37" s="778">
        <f t="shared" si="11"/>
        <v>100</v>
      </c>
      <c r="V37" s="777" t="s">
        <v>17</v>
      </c>
      <c r="W37" s="778">
        <f t="shared" si="12"/>
        <v>100</v>
      </c>
      <c r="X37" s="779"/>
      <c r="Y37" s="3228"/>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8"/>
      <c r="Q38" s="1810" t="str">
        <f>B38</f>
        <v>宗地面积</v>
      </c>
      <c r="R38" s="774" t="s">
        <v>17</v>
      </c>
      <c r="S38" s="775" t="e">
        <f t="shared" si="10"/>
        <v>#N/A</v>
      </c>
      <c r="T38" s="774" t="s">
        <v>17</v>
      </c>
      <c r="U38" s="775" t="e">
        <f t="shared" si="11"/>
        <v>#N/A</v>
      </c>
      <c r="V38" s="774" t="s">
        <v>17</v>
      </c>
      <c r="W38" s="775" t="e">
        <f t="shared" si="12"/>
        <v>#N/A</v>
      </c>
      <c r="X38" s="1813"/>
      <c r="Y38" s="3228"/>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28"/>
      <c r="Q39" s="1810" t="str">
        <f t="shared" ref="Q39:Q45" si="14">B39</f>
        <v>宗地形状</v>
      </c>
      <c r="R39" s="774" t="s">
        <v>17</v>
      </c>
      <c r="S39" s="775">
        <f t="shared" si="10"/>
        <v>100</v>
      </c>
      <c r="T39" s="774" t="s">
        <v>17</v>
      </c>
      <c r="U39" s="775">
        <f t="shared" si="11"/>
        <v>100</v>
      </c>
      <c r="V39" s="774" t="s">
        <v>17</v>
      </c>
      <c r="W39" s="775">
        <f t="shared" si="12"/>
        <v>100</v>
      </c>
      <c r="X39" s="1813"/>
      <c r="Y39" s="3228"/>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28"/>
      <c r="Q40" s="1810" t="str">
        <f t="shared" si="14"/>
        <v>临街宽度及深度</v>
      </c>
      <c r="R40" s="774" t="s">
        <v>17</v>
      </c>
      <c r="S40" s="775">
        <f t="shared" si="10"/>
        <v>100</v>
      </c>
      <c r="T40" s="774" t="s">
        <v>17</v>
      </c>
      <c r="U40" s="775">
        <f t="shared" si="11"/>
        <v>100</v>
      </c>
      <c r="V40" s="774" t="s">
        <v>17</v>
      </c>
      <c r="W40" s="775">
        <f t="shared" si="12"/>
        <v>100</v>
      </c>
      <c r="X40" s="1813"/>
      <c r="Y40" s="3228"/>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28"/>
      <c r="Q41" s="1810"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28" t="s">
        <v>2563</v>
      </c>
      <c r="Q42" s="1810" t="str">
        <f t="shared" si="14"/>
        <v>工程地质条件</v>
      </c>
      <c r="R42" s="774" t="s">
        <v>17</v>
      </c>
      <c r="S42" s="775">
        <f t="shared" si="10"/>
        <v>100</v>
      </c>
      <c r="T42" s="774" t="s">
        <v>17</v>
      </c>
      <c r="U42" s="775">
        <f t="shared" si="11"/>
        <v>100</v>
      </c>
      <c r="V42" s="774" t="s">
        <v>17</v>
      </c>
      <c r="W42" s="775">
        <f t="shared" si="12"/>
        <v>100</v>
      </c>
      <c r="X42" s="1813"/>
      <c r="Y42" s="3228"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8"/>
      <c r="Q43" s="1810">
        <f t="shared" si="14"/>
        <v>111</v>
      </c>
      <c r="R43" s="774" t="s">
        <v>17</v>
      </c>
      <c r="S43" s="775">
        <f t="shared" si="10"/>
        <v>100</v>
      </c>
      <c r="T43" s="774" t="s">
        <v>17</v>
      </c>
      <c r="U43" s="775">
        <f t="shared" si="11"/>
        <v>100</v>
      </c>
      <c r="V43" s="774" t="s">
        <v>17</v>
      </c>
      <c r="W43" s="775">
        <f t="shared" si="12"/>
        <v>100</v>
      </c>
      <c r="X43" s="1813"/>
      <c r="Y43" s="322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8"/>
      <c r="Q44" s="1810">
        <f t="shared" si="14"/>
        <v>111</v>
      </c>
      <c r="R44" s="774" t="s">
        <v>17</v>
      </c>
      <c r="S44" s="775">
        <f t="shared" si="10"/>
        <v>100</v>
      </c>
      <c r="T44" s="774" t="s">
        <v>17</v>
      </c>
      <c r="U44" s="775">
        <f t="shared" si="11"/>
        <v>100</v>
      </c>
      <c r="V44" s="774" t="s">
        <v>17</v>
      </c>
      <c r="W44" s="775">
        <f t="shared" si="12"/>
        <v>100</v>
      </c>
      <c r="X44" s="1813"/>
      <c r="Y44" s="3228"/>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8"/>
      <c r="Q45" s="1810">
        <f t="shared" si="14"/>
        <v>111</v>
      </c>
      <c r="R45" s="777" t="s">
        <v>17</v>
      </c>
      <c r="S45" s="778">
        <f t="shared" si="10"/>
        <v>100</v>
      </c>
      <c r="T45" s="777" t="s">
        <v>17</v>
      </c>
      <c r="U45" s="778">
        <f t="shared" si="11"/>
        <v>100</v>
      </c>
      <c r="V45" s="777" t="s">
        <v>17</v>
      </c>
      <c r="W45" s="778">
        <f t="shared" si="12"/>
        <v>100</v>
      </c>
      <c r="X45" s="779"/>
      <c r="Y45" s="3228"/>
      <c r="Z45" s="780">
        <f t="shared" si="13"/>
        <v>111</v>
      </c>
      <c r="AA45" s="1811">
        <f t="shared" si="3"/>
        <v>1</v>
      </c>
      <c r="AB45" s="1811">
        <f t="shared" si="4"/>
        <v>1</v>
      </c>
      <c r="AC45" s="1811">
        <f t="shared" si="5"/>
        <v>1</v>
      </c>
    </row>
    <row r="46" spans="1:29" ht="15">
      <c r="A46" s="479" t="s">
        <v>2718</v>
      </c>
      <c r="B46" s="2703" t="s">
        <v>2754</v>
      </c>
      <c r="C46" s="682" t="s">
        <v>1</v>
      </c>
      <c r="D46" s="481"/>
      <c r="E46" s="482"/>
      <c r="F46" s="483"/>
      <c r="G46" s="484"/>
      <c r="H46" s="485"/>
      <c r="I46" s="482"/>
      <c r="J46" s="485"/>
      <c r="K46" s="783"/>
      <c r="L46" s="1143"/>
      <c r="M46" s="1144"/>
      <c r="N46" s="1131"/>
      <c r="O46" s="1144"/>
      <c r="P46" s="3221" t="str">
        <f>A46</f>
        <v>成交单价</v>
      </c>
      <c r="Q46" s="3221"/>
      <c r="R46" s="3216">
        <f>E46</f>
        <v>0</v>
      </c>
      <c r="S46" s="3216"/>
      <c r="T46" s="3216">
        <f>G46</f>
        <v>0</v>
      </c>
      <c r="U46" s="3216"/>
      <c r="V46" s="3216">
        <f>I46</f>
        <v>0</v>
      </c>
      <c r="W46" s="321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21" t="str">
        <f>A47</f>
        <v>比较价值（元/平方米）</v>
      </c>
      <c r="Q47" s="3221"/>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18" t="str">
        <f>A48</f>
        <v>估价对象XX用房的比较价值（楼面单价，元/平方米）</v>
      </c>
      <c r="Q48" s="3219"/>
      <c r="R48" s="3249" t="e">
        <f>ROUND(AVERAGE(R47:V47),0)</f>
        <v>#DIV/0!</v>
      </c>
      <c r="S48" s="3249"/>
      <c r="T48" s="3249"/>
      <c r="U48" s="3249"/>
      <c r="V48" s="3249"/>
      <c r="W48" s="324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4" t="s">
        <v>2758</v>
      </c>
      <c r="D55" s="2705" t="s">
        <v>2759</v>
      </c>
      <c r="E55" s="686" t="s">
        <v>2760</v>
      </c>
      <c r="F55" s="1107" t="s">
        <v>2761</v>
      </c>
      <c r="G55" s="3204" t="s">
        <v>2762</v>
      </c>
      <c r="H55" s="3250"/>
      <c r="I55" s="144" t="s">
        <v>2763</v>
      </c>
      <c r="J55" s="2706">
        <f>项目基本情况!F35</f>
        <v>0</v>
      </c>
      <c r="K55" s="2707" t="s">
        <v>2764</v>
      </c>
      <c r="L55" s="1106"/>
      <c r="M55" s="1144"/>
      <c r="N55" s="1144"/>
      <c r="O55" s="1144"/>
    </row>
    <row r="56" spans="1:15" s="692" customFormat="1">
      <c r="A56" s="688" t="s">
        <v>2765</v>
      </c>
      <c r="B56" s="689" t="e">
        <f>C48</f>
        <v>#DIV/0!</v>
      </c>
      <c r="C56" s="690">
        <v>1</v>
      </c>
      <c r="D56" s="1163">
        <v>1</v>
      </c>
      <c r="E56" s="690">
        <f>'数据-汇总表'!E8+'数据-汇总表'!E9</f>
        <v>2388.2600000000002</v>
      </c>
      <c r="F56" s="1103" t="e">
        <f t="shared" ref="F56:F65" si="15">ROUND(B56*E56/10000,0)</f>
        <v>#DIV/0!</v>
      </c>
      <c r="G56" s="3203"/>
      <c r="H56" s="3221"/>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5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5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5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5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8"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9"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2388.2600000000002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0"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1"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4" t="s">
        <v>2644</v>
      </c>
      <c r="D4" s="3205"/>
      <c r="E4" s="3206" t="s">
        <v>2645</v>
      </c>
      <c r="F4" s="3207"/>
      <c r="G4" s="3204" t="s">
        <v>2646</v>
      </c>
      <c r="H4" s="3205"/>
      <c r="I4" s="3204" t="s">
        <v>2647</v>
      </c>
      <c r="J4" s="3205"/>
      <c r="K4" s="610" t="s">
        <v>2648</v>
      </c>
      <c r="L4" s="1130"/>
      <c r="M4" s="1131"/>
      <c r="N4" s="1131"/>
      <c r="O4" s="1131"/>
      <c r="P4" s="3208" t="s">
        <v>2649</v>
      </c>
      <c r="Q4" s="3209"/>
      <c r="R4" s="3191" t="s">
        <v>2645</v>
      </c>
      <c r="S4" s="3192"/>
      <c r="T4" s="3191" t="s">
        <v>2646</v>
      </c>
      <c r="U4" s="3192"/>
      <c r="V4" s="3216" t="s">
        <v>2647</v>
      </c>
      <c r="W4" s="3216"/>
      <c r="X4" s="1813"/>
      <c r="Y4" s="3191" t="s">
        <v>2649</v>
      </c>
      <c r="Z4" s="3192"/>
      <c r="AA4" s="3186" t="s">
        <v>2645</v>
      </c>
      <c r="AB4" s="3187" t="s">
        <v>2646</v>
      </c>
      <c r="AC4" s="3186" t="s">
        <v>2647</v>
      </c>
    </row>
    <row r="5" spans="1:29" ht="15">
      <c r="A5" s="404"/>
      <c r="B5" s="405"/>
      <c r="C5" s="3197" t="s">
        <v>2540</v>
      </c>
      <c r="D5" s="3198"/>
      <c r="E5" s="3195" t="s">
        <v>2541</v>
      </c>
      <c r="F5" s="3196"/>
      <c r="G5" s="3197" t="s">
        <v>2542</v>
      </c>
      <c r="H5" s="3198"/>
      <c r="I5" s="3197" t="s">
        <v>2543</v>
      </c>
      <c r="J5" s="3198"/>
      <c r="K5" s="610"/>
      <c r="L5" s="1130"/>
      <c r="M5" s="1131"/>
      <c r="N5" s="1131"/>
      <c r="O5" s="1131"/>
      <c r="P5" s="3210"/>
      <c r="Q5" s="3211"/>
      <c r="R5" s="3193"/>
      <c r="S5" s="3194"/>
      <c r="T5" s="3193"/>
      <c r="U5" s="3194"/>
      <c r="V5" s="3216"/>
      <c r="W5" s="3216"/>
      <c r="X5" s="1813"/>
      <c r="Y5" s="3193"/>
      <c r="Z5" s="3194"/>
      <c r="AA5" s="3187"/>
      <c r="AB5" s="3187"/>
      <c r="AC5" s="3187"/>
    </row>
    <row r="6" spans="1:29" ht="15.75" thickBot="1">
      <c r="A6" s="406"/>
      <c r="B6" s="407"/>
      <c r="C6" s="3252" t="s">
        <v>2795</v>
      </c>
      <c r="D6" s="3253"/>
      <c r="E6" s="3254" t="s">
        <v>2795</v>
      </c>
      <c r="F6" s="3255"/>
      <c r="G6" s="3252" t="s">
        <v>2795</v>
      </c>
      <c r="H6" s="3253"/>
      <c r="I6" s="3252" t="s">
        <v>2795</v>
      </c>
      <c r="J6" s="3253"/>
      <c r="K6" s="610" t="s">
        <v>2545</v>
      </c>
      <c r="L6" s="1130"/>
      <c r="M6" s="1131"/>
      <c r="N6" s="1131"/>
      <c r="O6" s="1131"/>
      <c r="P6" s="3212"/>
      <c r="Q6" s="3213"/>
      <c r="R6" s="3193"/>
      <c r="S6" s="3194"/>
      <c r="T6" s="3214"/>
      <c r="U6" s="3215"/>
      <c r="V6" s="3216"/>
      <c r="W6" s="3216"/>
      <c r="X6" s="1813"/>
      <c r="Y6" s="3214"/>
      <c r="Z6" s="3215"/>
      <c r="AA6" s="3188"/>
      <c r="AB6" s="3188"/>
      <c r="AC6" s="3188"/>
    </row>
    <row r="7" spans="1:29" s="117" customFormat="1" ht="15.75" thickBot="1">
      <c r="A7" s="408" t="s">
        <v>2546</v>
      </c>
      <c r="B7" s="409"/>
      <c r="C7" s="410">
        <f>'数据-取费表'!B2</f>
        <v>43889</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9" t="s">
        <v>2547</v>
      </c>
      <c r="Q7" s="3217"/>
      <c r="R7" s="770" t="s">
        <v>17</v>
      </c>
      <c r="S7" s="771">
        <f t="shared" ref="S7:S15" si="0">F7</f>
        <v>0</v>
      </c>
      <c r="T7" s="770" t="s">
        <v>17</v>
      </c>
      <c r="U7" s="771">
        <f t="shared" ref="U7:U15" si="1">H7</f>
        <v>0</v>
      </c>
      <c r="V7" s="770" t="s">
        <v>17</v>
      </c>
      <c r="W7" s="771">
        <f t="shared" ref="W7:W15" si="2">J7</f>
        <v>0</v>
      </c>
      <c r="X7" s="772"/>
      <c r="Y7" s="3189" t="s">
        <v>2547</v>
      </c>
      <c r="Z7" s="319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9" t="s">
        <v>2550</v>
      </c>
      <c r="Q8" s="3190"/>
      <c r="R8" s="770" t="s">
        <v>17</v>
      </c>
      <c r="S8" s="771">
        <f t="shared" si="0"/>
        <v>0</v>
      </c>
      <c r="T8" s="770" t="s">
        <v>17</v>
      </c>
      <c r="U8" s="771">
        <f t="shared" si="1"/>
        <v>0</v>
      </c>
      <c r="V8" s="770" t="s">
        <v>17</v>
      </c>
      <c r="W8" s="771">
        <f t="shared" si="2"/>
        <v>0</v>
      </c>
      <c r="X8" s="772"/>
      <c r="Y8" s="3189" t="s">
        <v>2550</v>
      </c>
      <c r="Z8" s="3190"/>
      <c r="AA8" s="773" t="e">
        <f t="shared" ref="AA8:AA40" si="3">D8/F8</f>
        <v>#DIV/0!</v>
      </c>
      <c r="AB8" s="773" t="e">
        <f t="shared" ref="AB8:AB40" si="4">D8/H8</f>
        <v>#DIV/0!</v>
      </c>
      <c r="AC8" s="773"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21" t="s">
        <v>2553</v>
      </c>
      <c r="Q9" s="1795" t="str">
        <f t="shared" ref="Q9:Q15" si="6">B9</f>
        <v>用途</v>
      </c>
      <c r="R9" s="770" t="s">
        <v>17</v>
      </c>
      <c r="S9" s="771">
        <f t="shared" si="0"/>
        <v>100</v>
      </c>
      <c r="T9" s="770" t="s">
        <v>17</v>
      </c>
      <c r="U9" s="771">
        <f t="shared" si="1"/>
        <v>100</v>
      </c>
      <c r="V9" s="770" t="s">
        <v>17</v>
      </c>
      <c r="W9" s="771">
        <f t="shared" si="2"/>
        <v>100</v>
      </c>
      <c r="X9" s="772"/>
      <c r="Y9" s="303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221"/>
      <c r="Q10" s="1795" t="str">
        <f t="shared" si="6"/>
        <v>土地使用年限（年）</v>
      </c>
      <c r="R10" s="770" t="s">
        <v>17</v>
      </c>
      <c r="S10" s="771">
        <f t="shared" si="0"/>
        <v>105</v>
      </c>
      <c r="T10" s="770" t="s">
        <v>17</v>
      </c>
      <c r="U10" s="771">
        <f t="shared" si="1"/>
        <v>105</v>
      </c>
      <c r="V10" s="770" t="s">
        <v>17</v>
      </c>
      <c r="W10" s="771">
        <f t="shared" si="2"/>
        <v>105</v>
      </c>
      <c r="X10" s="772"/>
      <c r="Y10" s="3036"/>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2557</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3" t="s">
        <v>2558</v>
      </c>
      <c r="Q15" s="1810" t="str">
        <f t="shared" si="6"/>
        <v>产业集聚程度</v>
      </c>
      <c r="R15" s="774" t="s">
        <v>17</v>
      </c>
      <c r="S15" s="775">
        <f t="shared" si="0"/>
        <v>100</v>
      </c>
      <c r="T15" s="774" t="s">
        <v>17</v>
      </c>
      <c r="U15" s="775">
        <f t="shared" si="1"/>
        <v>100</v>
      </c>
      <c r="V15" s="774" t="s">
        <v>17</v>
      </c>
      <c r="W15" s="775">
        <f t="shared" si="2"/>
        <v>100</v>
      </c>
      <c r="X15" s="1813"/>
      <c r="Y15" s="3223" t="s">
        <v>2558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24"/>
      <c r="Q16" s="1810"/>
      <c r="R16" s="774"/>
      <c r="S16" s="775"/>
      <c r="T16" s="774"/>
      <c r="U16" s="775"/>
      <c r="V16" s="774"/>
      <c r="W16" s="775"/>
      <c r="X16" s="1813"/>
      <c r="Y16" s="3224"/>
      <c r="Z16" s="1814"/>
      <c r="AA16" s="1811">
        <v>1</v>
      </c>
      <c r="AB16" s="1811">
        <v>1</v>
      </c>
      <c r="AC16" s="1811">
        <v>1</v>
      </c>
    </row>
    <row r="17" spans="1:29" ht="85.5">
      <c r="A17" s="428"/>
      <c r="B17" s="631"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4"/>
      <c r="Q17" s="1810" t="str">
        <f>B17</f>
        <v>交通便捷度</v>
      </c>
      <c r="R17" s="774" t="s">
        <v>17</v>
      </c>
      <c r="S17" s="775">
        <f>F17</f>
        <v>100</v>
      </c>
      <c r="T17" s="774" t="s">
        <v>17</v>
      </c>
      <c r="U17" s="775">
        <f>H17</f>
        <v>100</v>
      </c>
      <c r="V17" s="774" t="s">
        <v>17</v>
      </c>
      <c r="W17" s="775">
        <f>J17</f>
        <v>100</v>
      </c>
      <c r="X17" s="1813"/>
      <c r="Y17" s="322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24"/>
      <c r="Q18" s="1810"/>
      <c r="R18" s="774"/>
      <c r="S18" s="775"/>
      <c r="T18" s="774"/>
      <c r="U18" s="775"/>
      <c r="V18" s="774"/>
      <c r="W18" s="775"/>
      <c r="X18" s="1813"/>
      <c r="Y18" s="3224"/>
      <c r="Z18" s="1814"/>
      <c r="AA18" s="1811">
        <v>1</v>
      </c>
      <c r="AB18" s="1811">
        <v>1</v>
      </c>
      <c r="AC18" s="1811">
        <v>1</v>
      </c>
    </row>
    <row r="19" spans="1:29" ht="15">
      <c r="A19" s="428"/>
      <c r="B19" s="631"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4"/>
      <c r="Q19" s="1810" t="str">
        <f t="shared" ref="Q19:Q33" si="8">B19</f>
        <v>区域土地利用方向</v>
      </c>
      <c r="R19" s="774" t="s">
        <v>17</v>
      </c>
      <c r="S19" s="775">
        <f>F19</f>
        <v>100</v>
      </c>
      <c r="T19" s="774" t="s">
        <v>17</v>
      </c>
      <c r="U19" s="775">
        <f>H19</f>
        <v>100</v>
      </c>
      <c r="V19" s="774" t="s">
        <v>17</v>
      </c>
      <c r="W19" s="775">
        <f>J19</f>
        <v>100</v>
      </c>
      <c r="X19" s="1813"/>
      <c r="Y19" s="322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24"/>
      <c r="Q20" s="1810"/>
      <c r="R20" s="774"/>
      <c r="S20" s="775"/>
      <c r="T20" s="774"/>
      <c r="U20" s="775"/>
      <c r="V20" s="774"/>
      <c r="W20" s="775"/>
      <c r="X20" s="1813"/>
      <c r="Y20" s="3224"/>
      <c r="Z20" s="1814"/>
      <c r="AA20" s="1811"/>
      <c r="AB20" s="1811"/>
      <c r="AC20" s="1811"/>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4"/>
      <c r="Q21" s="1810" t="str">
        <f t="shared" si="8"/>
        <v>环境状况</v>
      </c>
      <c r="R21" s="774" t="s">
        <v>17</v>
      </c>
      <c r="S21" s="775">
        <f>F21</f>
        <v>100</v>
      </c>
      <c r="T21" s="774" t="s">
        <v>17</v>
      </c>
      <c r="U21" s="775">
        <f>H21</f>
        <v>100</v>
      </c>
      <c r="V21" s="774" t="s">
        <v>17</v>
      </c>
      <c r="W21" s="775">
        <f>J21</f>
        <v>100</v>
      </c>
      <c r="X21" s="1813"/>
      <c r="Y21" s="322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24"/>
      <c r="Q22" s="1810"/>
      <c r="R22" s="774"/>
      <c r="S22" s="775"/>
      <c r="T22" s="774"/>
      <c r="U22" s="775"/>
      <c r="V22" s="774"/>
      <c r="W22" s="775"/>
      <c r="X22" s="1813"/>
      <c r="Y22" s="3224"/>
      <c r="Z22" s="1814"/>
      <c r="AA22" s="1811">
        <v>1</v>
      </c>
      <c r="AB22" s="1811">
        <v>1</v>
      </c>
      <c r="AC22" s="1811">
        <v>1</v>
      </c>
    </row>
    <row r="23" spans="1:29" s="117" customFormat="1" ht="42.75">
      <c r="A23" s="649"/>
      <c r="B23" s="633" t="s">
        <v>2652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4"/>
      <c r="Q23" s="1795" t="str">
        <f t="shared" si="8"/>
        <v>公共配套设施</v>
      </c>
      <c r="R23" s="770" t="s">
        <v>17</v>
      </c>
      <c r="S23" s="771">
        <f>F23</f>
        <v>100</v>
      </c>
      <c r="T23" s="770" t="s">
        <v>17</v>
      </c>
      <c r="U23" s="771">
        <f>H23</f>
        <v>100</v>
      </c>
      <c r="V23" s="770" t="s">
        <v>17</v>
      </c>
      <c r="W23" s="771">
        <f>J23</f>
        <v>100</v>
      </c>
      <c r="X23" s="772"/>
      <c r="Y23" s="322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24"/>
      <c r="Q24" s="1795"/>
      <c r="R24" s="770"/>
      <c r="S24" s="771"/>
      <c r="T24" s="770"/>
      <c r="U24" s="771"/>
      <c r="V24" s="770"/>
      <c r="W24" s="771"/>
      <c r="X24" s="772"/>
      <c r="Y24" s="3224"/>
      <c r="Z24" s="55"/>
      <c r="AA24" s="773">
        <v>1</v>
      </c>
      <c r="AB24" s="773">
        <v>1</v>
      </c>
      <c r="AC24" s="773">
        <v>1</v>
      </c>
    </row>
    <row r="25" spans="1:29" s="117" customFormat="1" ht="28.5">
      <c r="A25" s="649"/>
      <c r="B25" s="633" t="s">
        <v>2653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4"/>
      <c r="Q25" s="1795"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24"/>
      <c r="Q26" s="1795"/>
      <c r="R26" s="770"/>
      <c r="S26" s="771"/>
      <c r="T26" s="770"/>
      <c r="U26" s="771"/>
      <c r="V26" s="770"/>
      <c r="W26" s="771"/>
      <c r="X26" s="772"/>
      <c r="Y26" s="322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4"/>
      <c r="Z27" s="1814" t="str">
        <f t="shared" ref="Z27:Z40" si="13">Q27</f>
        <v>临街状况</v>
      </c>
      <c r="AA27" s="1811">
        <f t="shared" si="3"/>
        <v>1</v>
      </c>
      <c r="AB27" s="1811">
        <f t="shared" si="4"/>
        <v>1</v>
      </c>
      <c r="AC27" s="1811">
        <f t="shared" si="5"/>
        <v>1</v>
      </c>
    </row>
    <row r="28" spans="1:29" ht="27">
      <c r="A28" s="428"/>
      <c r="B28" s="633"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4"/>
      <c r="Q28" s="1810" t="str">
        <f t="shared" si="8"/>
        <v>毗邻道路的类型与等级</v>
      </c>
      <c r="R28" s="774" t="s">
        <v>17</v>
      </c>
      <c r="S28" s="775">
        <f t="shared" si="10"/>
        <v>100</v>
      </c>
      <c r="T28" s="774" t="s">
        <v>17</v>
      </c>
      <c r="U28" s="775">
        <f t="shared" si="11"/>
        <v>100</v>
      </c>
      <c r="V28" s="774" t="s">
        <v>17</v>
      </c>
      <c r="W28" s="775">
        <f t="shared" si="12"/>
        <v>100</v>
      </c>
      <c r="X28" s="1813"/>
      <c r="Y28" s="322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24"/>
      <c r="Q29" s="1810"/>
      <c r="R29" s="774"/>
      <c r="S29" s="775"/>
      <c r="T29" s="774"/>
      <c r="U29" s="775"/>
      <c r="V29" s="774"/>
      <c r="W29" s="775"/>
      <c r="X29" s="1813"/>
      <c r="Y29" s="3224"/>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4"/>
      <c r="Q30" s="1810" t="str">
        <f t="shared" si="8"/>
        <v>土地级别</v>
      </c>
      <c r="R30" s="774" t="s">
        <v>17</v>
      </c>
      <c r="S30" s="775">
        <f t="shared" si="10"/>
        <v>100</v>
      </c>
      <c r="T30" s="774" t="s">
        <v>17</v>
      </c>
      <c r="U30" s="775">
        <f t="shared" si="11"/>
        <v>100</v>
      </c>
      <c r="V30" s="774" t="s">
        <v>17</v>
      </c>
      <c r="W30" s="775">
        <f t="shared" si="12"/>
        <v>100</v>
      </c>
      <c r="X30" s="1813"/>
      <c r="Y30" s="322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4"/>
      <c r="Q31" s="1810">
        <f t="shared" si="8"/>
        <v>111</v>
      </c>
      <c r="R31" s="774" t="s">
        <v>17</v>
      </c>
      <c r="S31" s="775">
        <f t="shared" si="10"/>
        <v>100</v>
      </c>
      <c r="T31" s="774" t="s">
        <v>17</v>
      </c>
      <c r="U31" s="775">
        <f t="shared" si="11"/>
        <v>100</v>
      </c>
      <c r="V31" s="774" t="s">
        <v>17</v>
      </c>
      <c r="W31" s="775">
        <f t="shared" si="12"/>
        <v>100</v>
      </c>
      <c r="X31" s="1813"/>
      <c r="Y31" s="322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7" t="s">
        <v>2563</v>
      </c>
      <c r="Q32" s="1810">
        <f t="shared" si="8"/>
        <v>111</v>
      </c>
      <c r="R32" s="774" t="s">
        <v>17</v>
      </c>
      <c r="S32" s="775">
        <f t="shared" si="10"/>
        <v>100</v>
      </c>
      <c r="T32" s="774" t="s">
        <v>17</v>
      </c>
      <c r="U32" s="775">
        <f t="shared" si="11"/>
        <v>100</v>
      </c>
      <c r="V32" s="774" t="s">
        <v>17</v>
      </c>
      <c r="W32" s="775">
        <f t="shared" si="12"/>
        <v>100</v>
      </c>
      <c r="X32" s="1813"/>
      <c r="Y32" s="3228" t="s">
        <v>2563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8"/>
      <c r="Q33" s="1810">
        <f t="shared" si="8"/>
        <v>111</v>
      </c>
      <c r="R33" s="777" t="s">
        <v>17</v>
      </c>
      <c r="S33" s="778">
        <f t="shared" si="10"/>
        <v>100</v>
      </c>
      <c r="T33" s="777" t="s">
        <v>17</v>
      </c>
      <c r="U33" s="778">
        <f t="shared" si="11"/>
        <v>100</v>
      </c>
      <c r="V33" s="777" t="s">
        <v>17</v>
      </c>
      <c r="W33" s="778">
        <f t="shared" si="12"/>
        <v>100</v>
      </c>
      <c r="X33" s="779"/>
      <c r="Y33" s="3228"/>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8"/>
      <c r="Q34" s="1810" t="str">
        <f>B34</f>
        <v>宗地面积</v>
      </c>
      <c r="R34" s="774" t="s">
        <v>17</v>
      </c>
      <c r="S34" s="775" t="e">
        <f t="shared" si="10"/>
        <v>#N/A</v>
      </c>
      <c r="T34" s="774" t="s">
        <v>17</v>
      </c>
      <c r="U34" s="775" t="e">
        <f t="shared" si="11"/>
        <v>#N/A</v>
      </c>
      <c r="V34" s="774" t="s">
        <v>17</v>
      </c>
      <c r="W34" s="775" t="e">
        <f t="shared" si="12"/>
        <v>#N/A</v>
      </c>
      <c r="X34" s="1813"/>
      <c r="Y34" s="3228"/>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8"/>
      <c r="Q35" s="1810" t="str">
        <f t="shared" ref="Q35:Q40" si="14">B35</f>
        <v>宗地形状</v>
      </c>
      <c r="R35" s="774" t="s">
        <v>17</v>
      </c>
      <c r="S35" s="775">
        <f t="shared" si="10"/>
        <v>100</v>
      </c>
      <c r="T35" s="774" t="s">
        <v>17</v>
      </c>
      <c r="U35" s="775">
        <f t="shared" si="11"/>
        <v>100</v>
      </c>
      <c r="V35" s="774" t="s">
        <v>17</v>
      </c>
      <c r="W35" s="775">
        <f t="shared" si="12"/>
        <v>100</v>
      </c>
      <c r="X35" s="1813"/>
      <c r="Y35" s="3228"/>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8"/>
      <c r="Q36" s="1810"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8" t="s">
        <v>2563</v>
      </c>
      <c r="Q37" s="1810" t="str">
        <f t="shared" si="14"/>
        <v>工程地质条件</v>
      </c>
      <c r="R37" s="774" t="s">
        <v>17</v>
      </c>
      <c r="S37" s="775">
        <f t="shared" si="10"/>
        <v>100</v>
      </c>
      <c r="T37" s="774" t="s">
        <v>17</v>
      </c>
      <c r="U37" s="775">
        <f t="shared" si="11"/>
        <v>100</v>
      </c>
      <c r="V37" s="774" t="s">
        <v>17</v>
      </c>
      <c r="W37" s="775">
        <f t="shared" si="12"/>
        <v>100</v>
      </c>
      <c r="X37" s="1813"/>
      <c r="Y37" s="3228"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8"/>
      <c r="Q38" s="1810">
        <f t="shared" si="14"/>
        <v>111</v>
      </c>
      <c r="R38" s="774" t="s">
        <v>17</v>
      </c>
      <c r="S38" s="775">
        <f t="shared" si="10"/>
        <v>100</v>
      </c>
      <c r="T38" s="774" t="s">
        <v>17</v>
      </c>
      <c r="U38" s="775">
        <f t="shared" si="11"/>
        <v>100</v>
      </c>
      <c r="V38" s="774" t="s">
        <v>17</v>
      </c>
      <c r="W38" s="775">
        <f t="shared" si="12"/>
        <v>100</v>
      </c>
      <c r="X38" s="1813"/>
      <c r="Y38" s="322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8"/>
      <c r="Q39" s="1810">
        <f t="shared" si="14"/>
        <v>111</v>
      </c>
      <c r="R39" s="774" t="s">
        <v>17</v>
      </c>
      <c r="S39" s="775">
        <f t="shared" si="10"/>
        <v>100</v>
      </c>
      <c r="T39" s="774" t="s">
        <v>17</v>
      </c>
      <c r="U39" s="775">
        <f t="shared" si="11"/>
        <v>100</v>
      </c>
      <c r="V39" s="774" t="s">
        <v>17</v>
      </c>
      <c r="W39" s="775">
        <f t="shared" si="12"/>
        <v>100</v>
      </c>
      <c r="X39" s="1813"/>
      <c r="Y39" s="3228"/>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8"/>
      <c r="Q40" s="1810">
        <f t="shared" si="14"/>
        <v>111</v>
      </c>
      <c r="R40" s="777" t="s">
        <v>17</v>
      </c>
      <c r="S40" s="778">
        <f t="shared" si="10"/>
        <v>100</v>
      </c>
      <c r="T40" s="777" t="s">
        <v>17</v>
      </c>
      <c r="U40" s="778">
        <f t="shared" si="11"/>
        <v>100</v>
      </c>
      <c r="V40" s="777" t="s">
        <v>17</v>
      </c>
      <c r="W40" s="778">
        <f t="shared" si="12"/>
        <v>100</v>
      </c>
      <c r="X40" s="779"/>
      <c r="Y40" s="3228"/>
      <c r="Z40" s="780">
        <f t="shared" si="13"/>
        <v>111</v>
      </c>
      <c r="AA40" s="1811">
        <f t="shared" si="3"/>
        <v>1</v>
      </c>
      <c r="AB40" s="1811">
        <f t="shared" si="4"/>
        <v>1</v>
      </c>
      <c r="AC40" s="1811">
        <f t="shared" si="5"/>
        <v>1</v>
      </c>
    </row>
    <row r="41" spans="1:29" ht="15">
      <c r="A41" s="479" t="s">
        <v>2718</v>
      </c>
      <c r="B41" s="2703" t="s">
        <v>2798</v>
      </c>
      <c r="C41" s="682" t="s">
        <v>1</v>
      </c>
      <c r="D41" s="481"/>
      <c r="E41" s="482"/>
      <c r="F41" s="483"/>
      <c r="G41" s="484"/>
      <c r="H41" s="485"/>
      <c r="I41" s="482"/>
      <c r="J41" s="485"/>
      <c r="K41" s="783"/>
      <c r="L41" s="1143"/>
      <c r="M41" s="1131"/>
      <c r="N41" s="1131"/>
      <c r="O41" s="1144"/>
      <c r="P41" s="3221" t="str">
        <f>A41</f>
        <v>成交单价</v>
      </c>
      <c r="Q41" s="3221"/>
      <c r="R41" s="3216">
        <f>E41</f>
        <v>0</v>
      </c>
      <c r="S41" s="3216"/>
      <c r="T41" s="3216">
        <f>G41</f>
        <v>0</v>
      </c>
      <c r="U41" s="3216"/>
      <c r="V41" s="3216">
        <f>I41</f>
        <v>0</v>
      </c>
      <c r="W41" s="321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1" t="str">
        <f>A42</f>
        <v>比较价值（元/平方米）</v>
      </c>
      <c r="Q42" s="3221"/>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8" t="str">
        <f>A43</f>
        <v>估价对象XX用房的比较价值（楼面单价，元/平方米）</v>
      </c>
      <c r="Q43" s="3219"/>
      <c r="R43" s="3249" t="e">
        <f>ROUND(AVERAGE(R42:V42),0)</f>
        <v>#DIV/0!</v>
      </c>
      <c r="S43" s="3249"/>
      <c r="T43" s="3249"/>
      <c r="U43" s="3249"/>
      <c r="V43" s="3249"/>
      <c r="W43" s="324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4" t="s">
        <v>2758</v>
      </c>
      <c r="D50" s="2705" t="s">
        <v>2759</v>
      </c>
      <c r="E50" s="686" t="s">
        <v>2760</v>
      </c>
      <c r="F50" s="687" t="s">
        <v>2761</v>
      </c>
      <c r="G50" s="3204" t="s">
        <v>2762</v>
      </c>
      <c r="H50" s="3250"/>
      <c r="I50" s="1814" t="s">
        <v>2799</v>
      </c>
      <c r="J50" s="1814">
        <f>项目基本情况!F35</f>
        <v>0</v>
      </c>
      <c r="K50" s="2707" t="s">
        <v>2764</v>
      </c>
      <c r="L50" s="1106"/>
      <c r="M50" s="1144"/>
      <c r="N50" s="1144"/>
      <c r="O50" s="1144"/>
    </row>
    <row r="51" spans="1:17" s="692" customFormat="1">
      <c r="A51" s="688" t="s">
        <v>2765</v>
      </c>
      <c r="B51" s="689" t="e">
        <f>C43</f>
        <v>#DIV/0!</v>
      </c>
      <c r="C51" s="690">
        <v>1</v>
      </c>
      <c r="D51" s="1163">
        <v>1</v>
      </c>
      <c r="E51" s="690">
        <f>'数据-汇总表'!E8+'数据-汇总表'!E9</f>
        <v>2388.2600000000002</v>
      </c>
      <c r="F51" s="691" t="e">
        <f t="shared" ref="F51:F60" si="15">ROUND(B51*E51/10000,0)</f>
        <v>#DIV/0!</v>
      </c>
      <c r="G51" s="3203"/>
      <c r="H51" s="322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5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5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5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5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8"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8"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9"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0"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5"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topLeftCell="A13" zoomScale="80" zoomScaleNormal="80" zoomScaleSheetLayoutView="96" workbookViewId="0">
      <selection activeCell="H19" sqref="H1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2388.2600000000002</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196</v>
      </c>
      <c r="C2" s="2720" t="s">
        <v>2811</v>
      </c>
      <c r="D2" s="2721" t="s">
        <v>2812</v>
      </c>
      <c r="E2" s="2722" t="s">
        <v>6</v>
      </c>
      <c r="F2" s="2721" t="s">
        <v>2813</v>
      </c>
      <c r="G2" s="2723" t="str">
        <f>IF(E2="商业",项目基本情况!B37,IF(E2="办公",项目基本情况!C37,IF(E2="住宅",项目基本情况!D37,项目基本情况!E37)))</f>
        <v>十级</v>
      </c>
      <c r="H2" s="2721" t="s">
        <v>2814</v>
      </c>
      <c r="I2" s="2723" t="str">
        <f>IF(E2="商业",项目基本情况!B38,IF(E2="办公",项目基本情况!C38,IF(E2="住宅",项目基本情况!D38,项目基本情况!E38)))</f>
        <v>Ⅹ-兴1</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1595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821</v>
      </c>
      <c r="C3" s="2720" t="s">
        <v>2817</v>
      </c>
      <c r="D3" s="2721" t="s">
        <v>2818</v>
      </c>
      <c r="E3" s="2726" t="s">
        <v>3105</v>
      </c>
      <c r="F3" s="2727" t="s">
        <v>3106</v>
      </c>
      <c r="G3" s="916">
        <f>IF(F3="宗地容积率",'数据-汇总表'!I4,IF(F3="估价对象容积率",'数据-汇总表'!I6,'数据-汇总表'!I7))</f>
        <v>1</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2"/>
      <c r="B4" s="3273"/>
      <c r="C4" s="3273"/>
      <c r="D4" s="3274"/>
      <c r="E4" s="3274"/>
      <c r="F4" s="3274"/>
      <c r="G4" s="3274"/>
      <c r="H4" s="3274"/>
      <c r="I4" s="3274"/>
      <c r="J4" s="3275"/>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827</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630</v>
      </c>
      <c r="D5" s="1787">
        <f>ROUND(C6+C16,0)</f>
        <v>630</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618</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630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465</v>
      </c>
      <c r="U6" s="1603"/>
      <c r="V6" s="1602">
        <f t="shared" ca="1" si="1"/>
        <v>0</v>
      </c>
      <c r="W6" s="1606"/>
      <c r="X6" s="1606"/>
      <c r="Y6" s="1606"/>
      <c r="Z6" s="1606"/>
      <c r="AA6" s="1606"/>
      <c r="AB6" s="1606"/>
      <c r="AC6" s="2734"/>
      <c r="AD6" s="2735"/>
      <c r="AE6" s="2735"/>
      <c r="AF6" s="2735"/>
      <c r="AG6" s="2735"/>
      <c r="AH6" s="2735"/>
      <c r="AI6" s="2735"/>
      <c r="AJ6" s="2736"/>
    </row>
    <row r="7" spans="1:36" ht="24">
      <c r="A7" s="3256" t="str">
        <f>IF(E2="商业",IF(C8="不临58条商业街","",2),"")</f>
        <v/>
      </c>
      <c r="B7" s="2744" t="s">
        <v>2829</v>
      </c>
      <c r="C7" s="919"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372</v>
      </c>
      <c r="U7" s="1603"/>
      <c r="V7" s="1602">
        <f t="shared" ca="1" si="1"/>
        <v>0</v>
      </c>
      <c r="W7" s="1816" t="s">
        <v>2832</v>
      </c>
      <c r="X7" s="1604" t="str">
        <f>G2</f>
        <v>十级</v>
      </c>
      <c r="Y7" s="1604" t="s">
        <v>2833</v>
      </c>
      <c r="Z7" s="1605">
        <f>G3</f>
        <v>1</v>
      </c>
      <c r="AA7" s="1606"/>
      <c r="AB7" s="1606"/>
      <c r="AC7" s="1607"/>
      <c r="AD7" s="1608"/>
      <c r="AE7" s="1608"/>
      <c r="AF7" s="1608"/>
      <c r="AG7" s="1608"/>
      <c r="AH7" s="1608"/>
      <c r="AI7" s="1608"/>
      <c r="AJ7" s="1609"/>
    </row>
    <row r="8" spans="1:36" ht="15">
      <c r="A8" s="3276"/>
      <c r="B8" s="198" t="s">
        <v>2834</v>
      </c>
      <c r="C8" s="2749"/>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9" t="s">
        <v>2837</v>
      </c>
      <c r="X8" s="327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76"/>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6"/>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630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7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6"/>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1" t="s">
        <v>2861</v>
      </c>
      <c r="X11" s="1614" t="s">
        <v>2862</v>
      </c>
      <c r="Y11" s="1615">
        <f>$G$3</f>
        <v>1</v>
      </c>
      <c r="Z11" s="1615">
        <f t="shared" ref="Z11:AJ11" si="3">$G$3</f>
        <v>1</v>
      </c>
      <c r="AA11" s="1615">
        <f t="shared" si="3"/>
        <v>1</v>
      </c>
      <c r="AB11" s="1615">
        <f t="shared" si="3"/>
        <v>1</v>
      </c>
      <c r="AC11" s="1615">
        <f t="shared" si="3"/>
        <v>1</v>
      </c>
      <c r="AD11" s="1615">
        <f t="shared" si="3"/>
        <v>1</v>
      </c>
      <c r="AE11" s="1615">
        <f t="shared" si="3"/>
        <v>1</v>
      </c>
      <c r="AF11" s="1615">
        <f t="shared" si="3"/>
        <v>1</v>
      </c>
      <c r="AG11" s="1615">
        <f t="shared" si="3"/>
        <v>1</v>
      </c>
      <c r="AH11" s="1615">
        <f t="shared" si="3"/>
        <v>1</v>
      </c>
      <c r="AI11" s="1615">
        <f t="shared" si="3"/>
        <v>1</v>
      </c>
      <c r="AJ11" s="1615">
        <f t="shared" si="3"/>
        <v>1</v>
      </c>
    </row>
    <row r="12" spans="1:36" ht="25.5" thickBot="1">
      <c r="A12" s="3256"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7"/>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271"/>
      <c r="X13" s="1616"/>
      <c r="Y13" s="1613">
        <f>(-0.163*(Y12^2)-0.59*Y12+7617)*(10^(-4))/Y11</f>
        <v>0.76170000000000004</v>
      </c>
      <c r="Z13" s="1613">
        <f t="shared" ref="Z13:AJ13" si="5">(-0.163*(Z12^2)-0.59*Z12+7617)*(10^(-4))/Z11</f>
        <v>0.76170000000000004</v>
      </c>
      <c r="AA13" s="1613">
        <f t="shared" si="5"/>
        <v>0.76170000000000004</v>
      </c>
      <c r="AB13" s="1613">
        <f t="shared" si="5"/>
        <v>0.76170000000000004</v>
      </c>
      <c r="AC13" s="1613">
        <f t="shared" si="5"/>
        <v>0.76170000000000004</v>
      </c>
      <c r="AD13" s="1613">
        <f t="shared" si="5"/>
        <v>0.76170000000000004</v>
      </c>
      <c r="AE13" s="1613">
        <f t="shared" si="5"/>
        <v>0.76170000000000004</v>
      </c>
      <c r="AF13" s="1613">
        <f t="shared" si="5"/>
        <v>0.76170000000000004</v>
      </c>
      <c r="AG13" s="1613">
        <f t="shared" si="5"/>
        <v>0.76170000000000004</v>
      </c>
      <c r="AH13" s="1613">
        <f t="shared" si="5"/>
        <v>0.76170000000000004</v>
      </c>
      <c r="AI13" s="1613">
        <f t="shared" si="5"/>
        <v>0.76170000000000004</v>
      </c>
      <c r="AJ13" s="1613">
        <f t="shared" si="5"/>
        <v>0.76170000000000004</v>
      </c>
    </row>
    <row r="14" spans="1:36" ht="15">
      <c r="A14" s="3277"/>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8"/>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6" t="s">
        <v>2880</v>
      </c>
      <c r="B16" s="2744" t="s">
        <v>2881</v>
      </c>
      <c r="C16" s="2931">
        <f>ROUND(IF(F17="与级别开发程度一致",0,(G17-E17)/C17),0)</f>
        <v>0</v>
      </c>
      <c r="D16" s="3267" t="s">
        <v>2885</v>
      </c>
      <c r="E16" s="3268"/>
      <c r="F16" s="3267" t="s">
        <v>2882</v>
      </c>
      <c r="G16" s="3268"/>
      <c r="H16" s="2778"/>
      <c r="I16" s="2778"/>
      <c r="J16" s="2935"/>
      <c r="K16" s="2778"/>
      <c r="L16" s="2778"/>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7"/>
      <c r="B17" s="2942" t="s">
        <v>2884</v>
      </c>
      <c r="C17" s="2943">
        <f>SUMPRODUCT((修正!A2:A5=E2)*(修正!B1:M1=G2)*(修正!B2:M5))</f>
        <v>1</v>
      </c>
      <c r="D17" s="229" t="str">
        <f>IF(OR(G2="八级",G2="九级",G2="十级",G2="十一级",G2="十二级"),"五通一平","七通一平")</f>
        <v>五通一平</v>
      </c>
      <c r="E17" s="2932">
        <f>SUMPRODUCT((修正!B1:M1=G2)*(修正!B15:M15))</f>
        <v>155</v>
      </c>
      <c r="F17" s="2933" t="s">
        <v>3108</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2887</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2888</v>
      </c>
      <c r="C19" s="924">
        <f>ROUND(IF(H19="按公示增长率计算",SUMPRODUCT((地价!A3:A29=YEAR(G19)&amp;"-"&amp;ROUNDUP(MONTH(G19)/3,0))*(地价!X2:AB2=E2)*(地价!X3:AB29)),IF(H19="地价指数",M20/M19,(1+I19)^O19)),4)</f>
        <v>1.3695999999999999</v>
      </c>
      <c r="D19" s="2788" t="s">
        <v>2889</v>
      </c>
      <c r="E19" s="925">
        <v>41640</v>
      </c>
      <c r="F19" s="2788" t="s">
        <v>2890</v>
      </c>
      <c r="G19" s="926">
        <f>'数据-取费表'!B2</f>
        <v>43889</v>
      </c>
      <c r="H19" s="2789" t="s">
        <v>3109</v>
      </c>
      <c r="I19" s="927" t="str">
        <f>IF(H19="季度增幅（自定义）",SUMIF(N21:N24,E2,O21:O24),"")</f>
        <v/>
      </c>
      <c r="J19" s="2786"/>
      <c r="K19" s="1377"/>
      <c r="L19" s="2790" t="s">
        <v>2891</v>
      </c>
      <c r="M19" s="1734">
        <f>ROUND(SUMIF(地价!B2:F2,E2,地价!B29:F29),0)</f>
        <v>230</v>
      </c>
      <c r="N19" s="2791"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0.95169999999999999</v>
      </c>
      <c r="D20" s="2797" t="s">
        <v>2894</v>
      </c>
      <c r="E20" s="1768">
        <f ca="1">存贷款利率!D4/100</f>
        <v>4.3499999999999997E-2</v>
      </c>
      <c r="F20" s="2797" t="s">
        <v>2886</v>
      </c>
      <c r="G20" s="934">
        <f ca="1">SUMIF(M26:P26,E2,M28:P28)</f>
        <v>4.8000000000000001E-2</v>
      </c>
      <c r="H20" s="2797" t="s">
        <v>2895</v>
      </c>
      <c r="I20" s="935">
        <f>SUMIF('数据-取费表'!C6:C15,E2,'数据-取费表'!F6:F15)/COUNTIF('数据-取费表'!C6:C15,E2)</f>
        <v>42</v>
      </c>
      <c r="J20" s="936">
        <f>IF(E2="住宅",70,IF(E2="商业",40,50))</f>
        <v>50</v>
      </c>
      <c r="K20" s="1377"/>
      <c r="L20" s="2798" t="s">
        <v>2896</v>
      </c>
      <c r="M20" s="1735">
        <f>ROUND(SUMPRODUCT((地价!A4:A29=YEAR(G19)&amp;"-"&amp;ROUNDUP(MONTH(G19)/3,0))*(地价!B2:F2=E2)*(地价!B4:F29)),0)</f>
        <v>315</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3107</v>
      </c>
      <c r="C21" s="937">
        <f>IF(B21="容积率修正",IF(G3&lt;=10,D22,J22),C23)</f>
        <v>1</v>
      </c>
      <c r="D21" s="2804"/>
      <c r="E21" s="2804"/>
      <c r="F21" s="2804"/>
      <c r="G21" s="2804"/>
      <c r="H21" s="2804"/>
      <c r="I21" s="2804"/>
      <c r="J21" s="2805"/>
      <c r="K21" s="1377"/>
      <c r="N21" s="2806"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1</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v>
      </c>
      <c r="D24" s="2785"/>
      <c r="E24" s="2814"/>
      <c r="F24" s="2814"/>
      <c r="G24" s="2814"/>
      <c r="H24" s="2814"/>
      <c r="I24" s="2814"/>
      <c r="J24" s="2815"/>
      <c r="K24" s="1377"/>
      <c r="N24" s="2816"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2912</v>
      </c>
      <c r="C26" s="206">
        <f ca="1">E29+SUM(E33:E39)</f>
        <v>196</v>
      </c>
      <c r="D26" s="2821"/>
      <c r="E26" s="2772"/>
      <c r="F26" s="2822"/>
      <c r="G26" s="2772"/>
      <c r="H26" s="2772"/>
      <c r="I26" s="2772"/>
      <c r="J26" s="2823"/>
      <c r="K26" s="1370"/>
      <c r="L26" s="2776" t="s">
        <v>2812</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821</v>
      </c>
      <c r="D29" s="2836">
        <f>'数据-汇总表'!F19</f>
        <v>2388.2600000000002</v>
      </c>
      <c r="E29" s="942">
        <f ca="1">ROUND(C29*D29/10000,0)</f>
        <v>196</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123</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4" t="s">
        <v>2926</v>
      </c>
      <c r="B33" s="2852" t="s">
        <v>2927</v>
      </c>
      <c r="C33" s="206">
        <f ca="1">ROUND(D5*C19*C20*C24*F33,0)</f>
        <v>493</v>
      </c>
      <c r="D33" s="2836"/>
      <c r="E33" s="200">
        <f ca="1">ROUND(C33*D33/10000,0)</f>
        <v>0</v>
      </c>
      <c r="F33" s="200">
        <f>SUMIF(修正!A45:A56,G2,修正!B45:B56)</f>
        <v>0.6</v>
      </c>
      <c r="G33" s="200">
        <f t="shared" ref="G33" ca="1" si="6">ROUND(IF(E2="工业",C33*$M$39,C33*$M$38),0)</f>
        <v>74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5"/>
      <c r="B34" s="2764" t="s">
        <v>2928</v>
      </c>
      <c r="C34" s="206">
        <f ca="1">ROUND(D5*C19*C20*C24*F34,0)</f>
        <v>246</v>
      </c>
      <c r="D34" s="2836"/>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5"/>
      <c r="B35" s="2764" t="s">
        <v>2929</v>
      </c>
      <c r="C35" s="206">
        <f ca="1">ROUND(D5*C19*C20*C24*F35,0)</f>
        <v>164</v>
      </c>
      <c r="D35" s="2836"/>
      <c r="E35" s="200">
        <f t="shared" ca="1" si="7"/>
        <v>0</v>
      </c>
      <c r="F35" s="200">
        <f>SUMIF(修正!A45:A56,G2,修正!D45:D56)</f>
        <v>0.2</v>
      </c>
      <c r="G35" s="200">
        <f ca="1">ROUND(IF(E2="工业",C35*$M$39,C35*$M$38),0)</f>
        <v>25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66"/>
      <c r="B36" s="2764" t="s">
        <v>2930</v>
      </c>
      <c r="C36" s="206">
        <f ca="1">ROUND(D5*C19*C20*C24*F36,0)</f>
        <v>164</v>
      </c>
      <c r="D36" s="2836"/>
      <c r="E36" s="200">
        <f t="shared" ca="1" si="7"/>
        <v>0</v>
      </c>
      <c r="F36" s="200">
        <f>SUMIF(修正!A45:A56,G2,修正!E45:E56)</f>
        <v>0.2</v>
      </c>
      <c r="G36" s="200">
        <f ca="1">ROUND(IF(E2="工业",C36*$M$39,C36*$M$38),0)</f>
        <v>25</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164</v>
      </c>
      <c r="D37" s="2836"/>
      <c r="E37" s="200">
        <f t="shared" ca="1" si="7"/>
        <v>0</v>
      </c>
      <c r="F37" s="206">
        <f>SUMIF(修正!A45:A56,G2,修正!F45:F56)</f>
        <v>0.2</v>
      </c>
      <c r="G37" s="200">
        <f ca="1">ROUND(IF(E2="工业",C37*$M$39,C37*$M$38),0)</f>
        <v>25</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f ca="1">ROUND(POWER(1+E41,H41-G41)*(POWER(1+E41,G41)-1)/(POWER(1+E41,H41)-1),4)</f>
        <v>0</v>
      </c>
      <c r="D41" s="200" t="s">
        <v>2886</v>
      </c>
      <c r="E41" s="2928">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2947</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2954</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2955</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2956</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9" t="s">
        <v>2959</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2947</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2954</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2955</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2956</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2947</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2954</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2955</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2956</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2595</v>
      </c>
      <c r="K80" s="603" t="s">
        <v>2596</v>
      </c>
      <c r="L80" s="603" t="s">
        <v>2597</v>
      </c>
      <c r="M80" s="603" t="s">
        <v>2598</v>
      </c>
      <c r="N80" s="603" t="s">
        <v>2599</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f>IF(E2="工业",SUMIF(L1:L12,G2,N1:N12),"——")</f>
        <v>0.15</v>
      </c>
      <c r="G81" s="1284"/>
      <c r="H81" s="1288">
        <f t="shared" ref="H81:H88" si="26">IFERROR(ROUNDDOWN($F$81*I81/2,4),"——")</f>
        <v>1.95E-2</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f t="shared" si="26"/>
        <v>2.47E-2</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f t="shared" si="26"/>
        <v>3.7000000000000002E-3</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f t="shared" si="26"/>
        <v>3.0000000000000001E-3</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f t="shared" si="26"/>
        <v>4.4999999999999997E-3</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f t="shared" si="26"/>
        <v>1.12E-2</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f t="shared" si="26"/>
        <v>3.7000000000000002E-3</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f t="shared" si="26"/>
        <v>4.4999999999999997E-3</v>
      </c>
      <c r="I88" s="824">
        <v>0.06</v>
      </c>
      <c r="J88" s="1285">
        <f t="shared" si="27"/>
        <v>0</v>
      </c>
      <c r="K88" s="1285">
        <f t="shared" si="28"/>
        <v>0</v>
      </c>
      <c r="L88" s="1285">
        <v>0</v>
      </c>
      <c r="M88" s="1285">
        <f t="shared" si="29"/>
        <v>0</v>
      </c>
      <c r="N88" s="1285">
        <f t="shared" si="29"/>
        <v>0</v>
      </c>
      <c r="Z88" s="2719"/>
      <c r="AA88" s="2787"/>
      <c r="AG88" s="1372"/>
      <c r="AK88" s="2787"/>
    </row>
    <row r="90" spans="1:37">
      <c r="A90" s="3258" t="s">
        <v>2968</v>
      </c>
      <c r="B90" s="3258"/>
      <c r="C90" s="3258"/>
      <c r="D90" s="3258"/>
      <c r="E90" s="3258"/>
      <c r="F90" s="3258"/>
      <c r="G90" s="3258"/>
      <c r="H90" s="3258"/>
      <c r="I90" s="3258"/>
      <c r="J90" s="3258"/>
      <c r="K90" s="2883"/>
      <c r="L90" s="2883"/>
      <c r="M90" s="2883"/>
      <c r="N90" s="2883"/>
    </row>
    <row r="91" spans="1:37">
      <c r="A91" s="3260" t="s">
        <v>2969</v>
      </c>
      <c r="B91" s="3260" t="s">
        <v>2970</v>
      </c>
      <c r="C91" s="2837" t="s">
        <v>2971</v>
      </c>
      <c r="D91" s="2838"/>
      <c r="E91" s="2838"/>
      <c r="F91" s="2838"/>
      <c r="G91" s="2838"/>
      <c r="H91" s="2838"/>
      <c r="I91" s="2838"/>
      <c r="J91" s="2884"/>
      <c r="K91" s="2885"/>
      <c r="L91" s="2885"/>
      <c r="M91" s="2885"/>
      <c r="N91" s="2885"/>
    </row>
    <row r="92" spans="1:37">
      <c r="A92" s="3260"/>
      <c r="B92" s="3260"/>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1"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2"/>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1" t="s">
        <v>2973</v>
      </c>
      <c r="B101" s="2890" t="s">
        <v>2974</v>
      </c>
      <c r="C101" s="2891">
        <f>$G$3</f>
        <v>1</v>
      </c>
      <c r="D101" s="2891">
        <f t="shared" ref="D101:N101" si="31">$G$3</f>
        <v>1</v>
      </c>
      <c r="E101" s="2891">
        <f t="shared" si="31"/>
        <v>1</v>
      </c>
      <c r="F101" s="2891">
        <f t="shared" si="31"/>
        <v>1</v>
      </c>
      <c r="G101" s="2891">
        <f t="shared" si="31"/>
        <v>1</v>
      </c>
      <c r="H101" s="2891">
        <f t="shared" si="31"/>
        <v>1</v>
      </c>
      <c r="I101" s="2891">
        <f t="shared" si="31"/>
        <v>1</v>
      </c>
      <c r="J101" s="2891">
        <f t="shared" si="31"/>
        <v>1</v>
      </c>
      <c r="K101" s="2891">
        <f t="shared" si="31"/>
        <v>1</v>
      </c>
      <c r="L101" s="2891">
        <f t="shared" si="31"/>
        <v>1</v>
      </c>
      <c r="M101" s="2891">
        <f t="shared" si="31"/>
        <v>1</v>
      </c>
      <c r="N101" s="2891">
        <f t="shared" si="31"/>
        <v>1</v>
      </c>
    </row>
    <row r="102" spans="1:14">
      <c r="A102" s="3262"/>
      <c r="B102" s="2886">
        <v>1</v>
      </c>
      <c r="C102" s="2887">
        <f>1.9362/C101</f>
        <v>1.9361999999999999</v>
      </c>
      <c r="D102" s="2887">
        <f>1.9362/D101</f>
        <v>1.9361999999999999</v>
      </c>
      <c r="E102" s="2887">
        <f>1.8629/E101</f>
        <v>1.8629</v>
      </c>
      <c r="F102" s="2887">
        <f>1.8629/F101</f>
        <v>1.8629</v>
      </c>
      <c r="G102" s="2887">
        <f>1.8629/G101</f>
        <v>1.8629</v>
      </c>
      <c r="H102" s="2887">
        <f>1.8629/H101</f>
        <v>1.8629</v>
      </c>
      <c r="I102" s="2887">
        <f>1.8629/I101</f>
        <v>1.8629</v>
      </c>
      <c r="J102" s="2887">
        <f>1.942/J101</f>
        <v>1.9419999999999999</v>
      </c>
      <c r="K102" s="2887">
        <f>1.942/K101</f>
        <v>1.9419999999999999</v>
      </c>
      <c r="L102" s="2887">
        <f>1.942/L101</f>
        <v>1.9419999999999999</v>
      </c>
      <c r="M102" s="2887">
        <f>1.942/M101</f>
        <v>1.9419999999999999</v>
      </c>
      <c r="N102" s="2887">
        <f>1.942/N101</f>
        <v>1.9419999999999999</v>
      </c>
    </row>
    <row r="103" spans="1:14">
      <c r="A103" s="3262"/>
      <c r="B103" s="2886">
        <v>2</v>
      </c>
      <c r="C103" s="2887">
        <f>1.4198/C101</f>
        <v>1.4198</v>
      </c>
      <c r="D103" s="2887">
        <f>1.4198/D101</f>
        <v>1.4198</v>
      </c>
      <c r="E103" s="2887">
        <f>1.3372/E101</f>
        <v>1.3371999999999999</v>
      </c>
      <c r="F103" s="2887">
        <f>1.3372/F101</f>
        <v>1.3371999999999999</v>
      </c>
      <c r="G103" s="2887">
        <f>1.3372/G101</f>
        <v>1.3371999999999999</v>
      </c>
      <c r="H103" s="2887">
        <f>1.3372/H101</f>
        <v>1.3371999999999999</v>
      </c>
      <c r="I103" s="2887">
        <f>1.3372/I101</f>
        <v>1.3371999999999999</v>
      </c>
      <c r="J103" s="2887">
        <f>1.2799/J101</f>
        <v>1.2799</v>
      </c>
      <c r="K103" s="2887">
        <f>1.2799/K101</f>
        <v>1.2799</v>
      </c>
      <c r="L103" s="2887">
        <f>1.2799/L101</f>
        <v>1.2799</v>
      </c>
      <c r="M103" s="2887">
        <f>1.2799/M101</f>
        <v>1.2799</v>
      </c>
      <c r="N103" s="2887">
        <f>1.2799/N101</f>
        <v>1.2799</v>
      </c>
    </row>
    <row r="104" spans="1:14">
      <c r="A104" s="3262"/>
      <c r="B104" s="2886">
        <v>3</v>
      </c>
      <c r="C104" s="2887">
        <f>1.1594/C101</f>
        <v>1.1594</v>
      </c>
      <c r="D104" s="2887">
        <f>1.1594/D101</f>
        <v>1.1594</v>
      </c>
      <c r="E104" s="2887">
        <f>1.0788/E101</f>
        <v>1.0788</v>
      </c>
      <c r="F104" s="2887">
        <f>1.0788/F101</f>
        <v>1.0788</v>
      </c>
      <c r="G104" s="2887">
        <f>1.0788/G101</f>
        <v>1.0788</v>
      </c>
      <c r="H104" s="2887">
        <f>1.0788/H101</f>
        <v>1.0788</v>
      </c>
      <c r="I104" s="2887">
        <f>1.0788/I101</f>
        <v>1.0788</v>
      </c>
      <c r="J104" s="2887">
        <f>1.0072/J101</f>
        <v>1.0072000000000001</v>
      </c>
      <c r="K104" s="2887">
        <f>1.0072/K101</f>
        <v>1.0072000000000001</v>
      </c>
      <c r="L104" s="2887">
        <f>1.0072/L101</f>
        <v>1.0072000000000001</v>
      </c>
      <c r="M104" s="2887">
        <f>1.0072/M101</f>
        <v>1.0072000000000001</v>
      </c>
      <c r="N104" s="2887">
        <f>1.0072/N101</f>
        <v>1.0072000000000001</v>
      </c>
    </row>
    <row r="105" spans="1:14">
      <c r="A105" s="3262"/>
      <c r="B105" s="2886">
        <v>4</v>
      </c>
      <c r="C105" s="2887">
        <f>0.9622/C101</f>
        <v>0.96220000000000006</v>
      </c>
      <c r="D105" s="2887">
        <f>0.9622/D101</f>
        <v>0.96220000000000006</v>
      </c>
      <c r="E105" s="2887">
        <f>0.8656/E101</f>
        <v>0.86560000000000004</v>
      </c>
      <c r="F105" s="2887">
        <f>0.8656/F101</f>
        <v>0.86560000000000004</v>
      </c>
      <c r="G105" s="2887">
        <f>0.8656/G101</f>
        <v>0.86560000000000004</v>
      </c>
      <c r="H105" s="2887">
        <f>0.8656/H101</f>
        <v>0.86560000000000004</v>
      </c>
      <c r="I105" s="2887">
        <f>0.8656/I101</f>
        <v>0.86560000000000004</v>
      </c>
      <c r="J105" s="2887">
        <f>0.7525/J101</f>
        <v>0.75249999999999995</v>
      </c>
      <c r="K105" s="2887">
        <f>0.7525/K101</f>
        <v>0.75249999999999995</v>
      </c>
      <c r="L105" s="2887">
        <f>0.7525/L101</f>
        <v>0.75249999999999995</v>
      </c>
      <c r="M105" s="2887">
        <f>0.7525/M101</f>
        <v>0.75249999999999995</v>
      </c>
      <c r="N105" s="2887">
        <f>0.7525/N101</f>
        <v>0.75249999999999995</v>
      </c>
    </row>
    <row r="106" spans="1:14">
      <c r="A106" s="3262"/>
      <c r="B106" s="2886">
        <v>5</v>
      </c>
      <c r="C106" s="2887">
        <f>0.8417/C101</f>
        <v>0.8417</v>
      </c>
      <c r="D106" s="2887">
        <f>0.8417/D101</f>
        <v>0.8417</v>
      </c>
      <c r="E106" s="2887">
        <f>0.7371/E101</f>
        <v>0.73709999999999998</v>
      </c>
      <c r="F106" s="2887">
        <f>0.7371/F101</f>
        <v>0.73709999999999998</v>
      </c>
      <c r="G106" s="2887">
        <f>0.7371/G101</f>
        <v>0.73709999999999998</v>
      </c>
      <c r="H106" s="2887">
        <f>0.7371/H101</f>
        <v>0.73709999999999998</v>
      </c>
      <c r="I106" s="2887">
        <f>0.7371/I101</f>
        <v>0.73709999999999998</v>
      </c>
      <c r="J106" s="2887">
        <f>0.5659/J101</f>
        <v>0.56589999999999996</v>
      </c>
      <c r="K106" s="2887">
        <f>0.5659/K101</f>
        <v>0.56589999999999996</v>
      </c>
      <c r="L106" s="2887">
        <f>0.5659/L101</f>
        <v>0.56589999999999996</v>
      </c>
      <c r="M106" s="2887">
        <f>0.5659/M101</f>
        <v>0.56589999999999996</v>
      </c>
      <c r="N106" s="2887">
        <f>0.5659/N101</f>
        <v>0.56589999999999996</v>
      </c>
    </row>
    <row r="107" spans="1:14">
      <c r="A107" s="3262"/>
      <c r="B107" s="2886">
        <v>6</v>
      </c>
      <c r="C107" s="2887">
        <f>0.7608/C101</f>
        <v>0.76080000000000003</v>
      </c>
      <c r="D107" s="2887">
        <f>0.7608/D101</f>
        <v>0.76080000000000003</v>
      </c>
      <c r="E107" s="2887">
        <f>0.6482/E101</f>
        <v>0.6482</v>
      </c>
      <c r="F107" s="2887">
        <f>0.6482/F101</f>
        <v>0.6482</v>
      </c>
      <c r="G107" s="2887">
        <f>0.6482/G101</f>
        <v>0.6482</v>
      </c>
      <c r="H107" s="2887">
        <f>0.6482/H101</f>
        <v>0.6482</v>
      </c>
      <c r="I107" s="2887">
        <f>0.6482/I101</f>
        <v>0.6482</v>
      </c>
      <c r="J107" s="2887">
        <f>0.4525/J101</f>
        <v>0.45250000000000001</v>
      </c>
      <c r="K107" s="2887">
        <f>0.4525/K101</f>
        <v>0.45250000000000001</v>
      </c>
      <c r="L107" s="2887">
        <f>0.4525/L101</f>
        <v>0.45250000000000001</v>
      </c>
      <c r="M107" s="2887">
        <f>0.4525/M101</f>
        <v>0.45250000000000001</v>
      </c>
      <c r="N107" s="2887">
        <f>0.4525/N101</f>
        <v>0.45250000000000001</v>
      </c>
    </row>
    <row r="108" spans="1:14">
      <c r="A108" s="3262"/>
      <c r="B108" s="3090"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3"/>
      <c r="B109" s="3091"/>
      <c r="C109" s="2889">
        <f>(-0.163*(C108^2)-0.59*C108+7617)*(10^(-4))/C101</f>
        <v>0.76170000000000004</v>
      </c>
      <c r="D109" s="2889">
        <f>(-0.163*(D108^2)-0.59*D108+7617)*(10^(-4))/D101</f>
        <v>0.76170000000000004</v>
      </c>
      <c r="E109" s="2889">
        <f>(-0.161*(E108^2)-7.509*E108+6533)*(10^(-4))/E101</f>
        <v>0.65329999999999999</v>
      </c>
      <c r="F109" s="2889">
        <f>(-0.161*(F108^2)-7.509*F108+6533)*(10^(-4))/F101</f>
        <v>0.65329999999999999</v>
      </c>
      <c r="G109" s="2889">
        <f>(-0.161*(G108^2)-7.509*G108+6533)*(10^(-4))/G101</f>
        <v>0.65329999999999999</v>
      </c>
      <c r="H109" s="2889">
        <f>(-0.161*(H108^2)-7.509*H108+6533)*(10^(-4))/H101</f>
        <v>0.65329999999999999</v>
      </c>
      <c r="I109" s="2889">
        <f>(-0.161*(I108^2)-7.509*I108+6533)*(10^(-4))/I101</f>
        <v>0.65329999999999999</v>
      </c>
      <c r="J109" s="2889">
        <f>(-0.214*(J108^2)-21.991*J108+4665)*(10^(-4))/J101</f>
        <v>0.46650000000000003</v>
      </c>
      <c r="K109" s="2889">
        <f>(-0.214*(K108^2)-21.991*K108+4665)*(10^(-4))/K101</f>
        <v>0.46650000000000003</v>
      </c>
      <c r="L109" s="2889">
        <f>(-0.214*(L108^2)-21.991*L108+4665)*(10^(-4))/L101</f>
        <v>0.46650000000000003</v>
      </c>
      <c r="M109" s="2889">
        <f>(-0.214*(M108^2)-21.991*M108+4665)*(10^(-4))/M101</f>
        <v>0.46650000000000003</v>
      </c>
      <c r="N109" s="2889">
        <f>(-0.214*(N108^2)-21.991*N108+4665)*(10^(-4))/N101</f>
        <v>0.46650000000000003</v>
      </c>
    </row>
    <row r="110" spans="1:14">
      <c r="A110" s="3259" t="s">
        <v>2976</v>
      </c>
      <c r="B110" s="3259"/>
      <c r="C110" s="3259"/>
      <c r="D110" s="3259"/>
      <c r="E110" s="3259"/>
      <c r="F110" s="3259"/>
      <c r="G110" s="3259"/>
      <c r="H110" s="3259"/>
      <c r="I110" s="3259"/>
      <c r="J110" s="3259"/>
      <c r="K110" s="2892"/>
      <c r="L110" s="2892"/>
      <c r="M110" s="2892"/>
      <c r="N110" s="2892"/>
    </row>
    <row r="112" spans="1:14" ht="13.5" thickBot="1"/>
    <row r="113" spans="1:13" ht="25.5" thickBot="1">
      <c r="A113" s="903" t="s">
        <v>2977</v>
      </c>
      <c r="B113" s="1287">
        <f>G3</f>
        <v>1</v>
      </c>
      <c r="C113" s="904" t="s">
        <v>2978</v>
      </c>
      <c r="D113" s="905">
        <f>SUMPRODUCT((A115:A118=F113)*(B114:M114=H113)*B115:M118)</f>
        <v>0.55310000000000004</v>
      </c>
      <c r="E113" s="2723" t="s">
        <v>2812</v>
      </c>
      <c r="F113" s="2894" t="str">
        <f>E2</f>
        <v>工业</v>
      </c>
      <c r="G113" s="2723" t="s">
        <v>2813</v>
      </c>
      <c r="H113" s="2894" t="str">
        <f>G2</f>
        <v>十级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2877</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2878</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2879</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196</v>
      </c>
      <c r="C2" s="2901" t="s">
        <v>2992</v>
      </c>
      <c r="D2" s="2901" t="s">
        <v>2993</v>
      </c>
      <c r="E2" s="2902">
        <f ca="1">SUMIF(E6:E13,"&lt;&gt;#ref!",E6:E13)</f>
        <v>2388.2600000000002</v>
      </c>
    </row>
    <row r="3" spans="1:5" ht="15.75">
      <c r="A3" s="2901" t="s">
        <v>2994</v>
      </c>
      <c r="B3" s="2902">
        <f ca="1">ROUND(B2*10000/E2,0)</f>
        <v>821</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196</v>
      </c>
      <c r="C6" s="2901" t="s">
        <v>2992</v>
      </c>
      <c r="D6" s="2903"/>
      <c r="E6" s="2574">
        <f ca="1">SUMIF(INDIRECT("'"&amp;A6&amp;"'"&amp;"!C:C"),"建筑面积",INDIRECT("'"&amp;A6&amp;"'"&amp;"!D:D"))</f>
        <v>2388.2600000000002</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5" t="s">
        <v>1145</v>
      </c>
      <c r="C1" s="3285"/>
      <c r="D1" s="3285"/>
      <c r="E1" s="3285"/>
      <c r="F1" s="3285"/>
      <c r="G1" s="3281" t="s">
        <v>1146</v>
      </c>
      <c r="H1" s="3281"/>
      <c r="I1" s="3281"/>
      <c r="J1" s="3281"/>
      <c r="K1" s="3281"/>
      <c r="L1" s="3281"/>
      <c r="N1" s="3281" t="s">
        <v>1147</v>
      </c>
      <c r="O1" s="3281"/>
      <c r="P1" s="3281"/>
      <c r="Q1" s="3281"/>
      <c r="R1" s="1446"/>
      <c r="S1" s="3281" t="s">
        <v>1148</v>
      </c>
      <c r="T1" s="3281"/>
      <c r="U1" s="3281"/>
      <c r="V1" s="3281"/>
      <c r="X1" s="3280" t="s">
        <v>1149</v>
      </c>
      <c r="Y1" s="3281"/>
      <c r="Z1" s="3281"/>
      <c r="AA1" s="3281"/>
      <c r="AB1" s="3281"/>
      <c r="AD1" s="3280" t="s">
        <v>1150</v>
      </c>
      <c r="AE1" s="3281"/>
      <c r="AF1" s="3281"/>
      <c r="AG1" s="3281"/>
      <c r="AH1" s="328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3034</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2020</v>
      </c>
      <c r="H5" s="1730">
        <v>1</v>
      </c>
      <c r="I5" s="2913">
        <v>0</v>
      </c>
      <c r="J5" s="2913">
        <v>0</v>
      </c>
      <c r="K5" s="2913">
        <v>0</v>
      </c>
      <c r="L5" s="2913">
        <v>0</v>
      </c>
      <c r="N5" s="1467">
        <f t="shared" ref="N5" si="7">I5/100</f>
        <v>0</v>
      </c>
      <c r="O5" s="1467">
        <f t="shared" ref="O5" si="8">J5/100</f>
        <v>0</v>
      </c>
      <c r="P5" s="1467">
        <f t="shared" ref="P5" si="9">K5/100</f>
        <v>0</v>
      </c>
      <c r="Q5" s="1467">
        <f t="shared" ref="Q5" si="10">L5/100</f>
        <v>0</v>
      </c>
      <c r="R5" s="1732"/>
      <c r="S5" s="1733"/>
      <c r="T5" s="1732"/>
      <c r="U5" s="1732"/>
      <c r="V5" s="1732"/>
      <c r="W5" s="2916"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283">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3"/>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3"/>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0"/>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286">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3"/>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3"/>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0"/>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6">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3"/>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3"/>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4"/>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82">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3"/>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3"/>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4"/>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82">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3"/>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3"/>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4"/>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7">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8"/>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8"/>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9"/>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82">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3"/>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3"/>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84"/>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82">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3">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3">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4">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82">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3">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3">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4">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82">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3">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3">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4">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82">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3">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3">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4">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82">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3">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3">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4">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82">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3">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3">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4">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82">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3">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3">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4">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82">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3">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3">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4">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82">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3">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3">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84">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82">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3">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3">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84">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估价结果一览表（市场价值不需“结果表-1”）</v>
      </c>
      <c r="B3" s="2976"/>
      <c r="C3" s="2976"/>
      <c r="D3" s="2976"/>
      <c r="E3" s="2976"/>
    </row>
    <row r="4" spans="1:5" ht="19.5" thickBot="1">
      <c r="A4" s="1960"/>
      <c r="B4" s="2974" t="s">
        <v>1624</v>
      </c>
      <c r="C4" s="2974"/>
      <c r="D4" s="2974"/>
      <c r="E4" s="1960"/>
    </row>
    <row r="5" spans="1:5" ht="16.5" thickTop="1">
      <c r="A5" s="1958"/>
      <c r="B5" s="2972" t="s">
        <v>1616</v>
      </c>
      <c r="C5" s="1961" t="s">
        <v>1617</v>
      </c>
      <c r="D5" s="1040">
        <f ca="1">结果表!H101</f>
        <v>2856</v>
      </c>
      <c r="E5" s="1958"/>
    </row>
    <row r="6" spans="1:5" ht="15.75">
      <c r="A6" s="1958"/>
      <c r="B6" s="2972"/>
      <c r="C6" s="1961" t="s">
        <v>1618</v>
      </c>
      <c r="D6" s="1040" t="str">
        <f ca="1">NUMBERSTRING(INT(D5*10000),2)&amp;"元整"</f>
        <v>贰仟捌佰伍拾陆万元整</v>
      </c>
      <c r="E6" s="1958"/>
    </row>
    <row r="7" spans="1:5" ht="15.75">
      <c r="A7" s="1958"/>
      <c r="B7" s="2977"/>
      <c r="C7" s="1962" t="s">
        <v>1619</v>
      </c>
      <c r="D7" s="1041">
        <f ca="1">结果表!H102</f>
        <v>11958</v>
      </c>
      <c r="E7" s="1958"/>
    </row>
    <row r="8" spans="1:5" ht="15.75">
      <c r="A8" s="1958"/>
      <c r="B8" s="2978" t="str">
        <f>结果表!E103</f>
        <v>2.估价师知悉的法定优先受偿款</v>
      </c>
      <c r="C8" s="1963" t="s">
        <v>1620</v>
      </c>
      <c r="D8" s="1041">
        <f>结果表!H103</f>
        <v>0</v>
      </c>
      <c r="E8" s="1958"/>
    </row>
    <row r="9" spans="1:5" ht="15.75">
      <c r="A9" s="1958"/>
      <c r="B9" s="2980"/>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1" t="str">
        <f>结果表!E107</f>
        <v>3.房地产抵押价值</v>
      </c>
      <c r="C13" s="1966" t="s">
        <v>1617</v>
      </c>
      <c r="D13" s="1043">
        <f ca="1">结果表!H107</f>
        <v>2856</v>
      </c>
      <c r="E13" s="1958"/>
    </row>
    <row r="14" spans="1:5" ht="15.75">
      <c r="A14" s="1958"/>
      <c r="B14" s="2972"/>
      <c r="C14" s="1961" t="s">
        <v>1618</v>
      </c>
      <c r="D14" s="1040" t="str">
        <f ca="1">NUMBERSTRING(INT(D13*10000),2)&amp;"元整"</f>
        <v>贰仟捌佰伍拾陆万元整</v>
      </c>
      <c r="E14" s="1958"/>
    </row>
    <row r="15" spans="1:5" ht="15">
      <c r="A15" s="1958"/>
      <c r="B15" s="2977"/>
      <c r="C15" s="1962" t="s">
        <v>1628</v>
      </c>
      <c r="D15" s="1052">
        <f ca="1">结果表!H108</f>
        <v>11958</v>
      </c>
      <c r="E15" s="1958"/>
    </row>
    <row r="16" spans="1:5" ht="15">
      <c r="A16" s="1958"/>
      <c r="B16" s="2978" t="str">
        <f>结果表!E109</f>
        <v>——</v>
      </c>
      <c r="C16" s="1966" t="s">
        <v>1629</v>
      </c>
      <c r="D16" s="1967" t="str">
        <f>结果表!H109</f>
        <v>——</v>
      </c>
      <c r="E16" s="1958"/>
    </row>
    <row r="17" spans="1:5" ht="15.75">
      <c r="A17" s="1958"/>
      <c r="B17" s="2979"/>
      <c r="C17" s="1961" t="s">
        <v>1630</v>
      </c>
      <c r="D17" s="1040" t="e">
        <f>NUMBERSTRING(INT(D16*10000),2)&amp;"元整"</f>
        <v>#VALUE!</v>
      </c>
      <c r="E17" s="1958"/>
    </row>
    <row r="18" spans="1:5" ht="15">
      <c r="A18" s="1958"/>
      <c r="B18" s="2980"/>
      <c r="C18" s="1962" t="s">
        <v>1619</v>
      </c>
      <c r="D18" s="1052" t="str">
        <f>结果表!H110</f>
        <v>——</v>
      </c>
      <c r="E18" s="1958"/>
    </row>
    <row r="19" spans="1:5" ht="15.75">
      <c r="A19" s="1958"/>
      <c r="B19" s="2971" t="str">
        <f>结果表!E111</f>
        <v>——</v>
      </c>
      <c r="C19" s="1966" t="s">
        <v>1617</v>
      </c>
      <c r="D19" s="1041" t="str">
        <f>结果表!H111</f>
        <v>——</v>
      </c>
      <c r="E19" s="1958"/>
    </row>
    <row r="20" spans="1:5" ht="15.75">
      <c r="A20" s="1958"/>
      <c r="B20" s="2972"/>
      <c r="C20" s="1961" t="s">
        <v>1630</v>
      </c>
      <c r="D20" s="1040" t="e">
        <f>NUMBERSTRING(INT(D19*10000),2)&amp;"元整"</f>
        <v>#VALUE!</v>
      </c>
      <c r="E20" s="1958"/>
    </row>
    <row r="21" spans="1:5" ht="15.75" thickBot="1">
      <c r="A21" s="1958"/>
      <c r="B21" s="2973"/>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2" t="s">
        <v>3002</v>
      </c>
      <c r="D1" s="3293"/>
      <c r="E1" s="3293"/>
      <c r="F1" s="3293"/>
      <c r="G1" s="3293"/>
      <c r="H1" s="3293"/>
      <c r="I1" s="3293"/>
      <c r="J1" s="3293"/>
      <c r="K1" s="3293"/>
      <c r="L1" s="3293"/>
      <c r="M1" s="3293"/>
      <c r="N1" s="3293"/>
      <c r="O1" s="3293"/>
      <c r="P1" s="3293"/>
      <c r="Q1" s="3293"/>
      <c r="R1" s="3293"/>
      <c r="S1" s="3294"/>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71" t="s">
        <v>33</v>
      </c>
      <c r="D22" s="3072"/>
      <c r="E22" s="3072"/>
      <c r="F22" s="3072"/>
      <c r="G22" s="3072"/>
      <c r="H22" s="3072"/>
      <c r="I22" s="3072"/>
      <c r="J22" s="3072"/>
      <c r="K22" s="3072"/>
      <c r="L22" s="3072"/>
      <c r="M22" s="3072"/>
      <c r="N22" s="3072"/>
      <c r="O22" s="3072"/>
      <c r="P22" s="3072"/>
      <c r="Q22" s="3291"/>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27355</v>
      </c>
      <c r="C2" s="2" t="s">
        <v>133</v>
      </c>
      <c r="D2" s="243"/>
      <c r="E2" s="243"/>
      <c r="F2" s="243"/>
      <c r="G2" s="243"/>
    </row>
    <row r="3" spans="1:7" s="244" customFormat="1" ht="18" customHeight="1" thickBot="1">
      <c r="A3" s="247" t="s">
        <v>85</v>
      </c>
      <c r="B3" s="248">
        <f ca="1">ROUND(B2*10000/'数据-汇总表'!E3,0)</f>
        <v>114539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45</v>
      </c>
      <c r="D10" s="1032">
        <f>'数据-汇总表'!E6</f>
        <v>2388.2600000000002</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48</v>
      </c>
      <c r="D19" s="1036">
        <f>'数据-汇总表'!E3</f>
        <v>2388.2600000000002</v>
      </c>
      <c r="E19" s="255">
        <f>'数据-取费表'!B31</f>
        <v>200</v>
      </c>
      <c r="F19" s="275"/>
      <c r="G19" s="1" t="s">
        <v>1070</v>
      </c>
    </row>
    <row r="20" spans="1:7" s="258" customFormat="1" ht="13.5" customHeight="1">
      <c r="A20" s="948" t="s">
        <v>1053</v>
      </c>
      <c r="B20" s="254" t="s">
        <v>104</v>
      </c>
      <c r="C20" s="276">
        <f>ROUND((C5+C19)*F20,0)</f>
        <v>620</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912</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13</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2128</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2128</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597</v>
      </c>
      <c r="D34" s="261"/>
      <c r="E34" s="264"/>
      <c r="F34" s="301">
        <f>IF('数据-取费表'!B24=0,1,'数据-取费表'!N16)</f>
        <v>1</v>
      </c>
      <c r="G34" s="263" t="s">
        <v>116</v>
      </c>
    </row>
    <row r="35" spans="1:7" ht="13.5" customHeight="1">
      <c r="A35" s="951" t="s">
        <v>796</v>
      </c>
      <c r="B35" s="259" t="s">
        <v>60</v>
      </c>
      <c r="C35" s="264">
        <f>ROUND(C34*F35,0)</f>
        <v>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48</v>
      </c>
      <c r="D37" s="261">
        <f>'数据-汇总表'!E3</f>
        <v>2388.2600000000002</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20</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15</v>
      </c>
      <c r="D42" s="282"/>
      <c r="E42" s="282"/>
      <c r="F42" s="283"/>
      <c r="G42" s="3156" t="s">
        <v>121</v>
      </c>
    </row>
    <row r="43" spans="1:7" ht="13.5" customHeight="1">
      <c r="A43" s="951" t="s">
        <v>792</v>
      </c>
      <c r="B43" s="259" t="s">
        <v>1060</v>
      </c>
      <c r="C43" s="282">
        <f ca="1">ROUND(IF('数据-取费表'!B22&lt;=1,C39*F22*'数据-取费表'!B21/2,C39*(POWER((1+F22),'数据-取费表'!B21/2)-1)),0)</f>
        <v>0</v>
      </c>
      <c r="D43" s="282"/>
      <c r="E43" s="282"/>
      <c r="F43" s="283"/>
      <c r="G43" s="3157"/>
    </row>
    <row r="44" spans="1:7" ht="13.5" customHeight="1">
      <c r="A44" s="951" t="s">
        <v>793</v>
      </c>
      <c r="B44" s="259" t="s">
        <v>1062</v>
      </c>
      <c r="C44" s="282">
        <f ca="1">ROUND(IF('数据-取费表'!B22&lt;=1,C40*F22*'数据-取费表'!B21/2,C40*(POWER((1+F22),'数据-取费表'!B21/2)-1)),4)</f>
        <v>6.9999999999999999E-4</v>
      </c>
      <c r="D44" s="282"/>
      <c r="E44" s="282"/>
      <c r="F44" s="283"/>
      <c r="G44" s="3158"/>
    </row>
    <row r="45" spans="1:7" s="258" customFormat="1" ht="13.5" customHeight="1">
      <c r="A45" s="948" t="s">
        <v>786</v>
      </c>
      <c r="B45" s="288" t="s">
        <v>112</v>
      </c>
      <c r="C45" s="289">
        <f>C46</f>
        <v>69</v>
      </c>
      <c r="D45" s="279">
        <f>C47</f>
        <v>3.0000000000000001E-3</v>
      </c>
      <c r="E45" s="280" t="s">
        <v>129</v>
      </c>
      <c r="F45" s="290"/>
      <c r="G45" s="291" t="s">
        <v>1068</v>
      </c>
    </row>
    <row r="46" spans="1:7" s="258" customFormat="1" ht="13.5" customHeight="1">
      <c r="A46" s="951" t="s">
        <v>794</v>
      </c>
      <c r="B46" s="292" t="s">
        <v>1061</v>
      </c>
      <c r="C46" s="293">
        <f>ROUND((C33+C39)*F27,0)</f>
        <v>69</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849</v>
      </c>
      <c r="D49" s="276"/>
      <c r="E49" s="276"/>
      <c r="F49" s="308"/>
      <c r="G49" s="278" t="s">
        <v>1069</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747</v>
      </c>
      <c r="D51" s="276"/>
      <c r="E51" s="276"/>
      <c r="F51" s="308"/>
      <c r="G51" s="278" t="s">
        <v>64</v>
      </c>
    </row>
    <row r="52" spans="1:7" s="252" customFormat="1" ht="16.5" thickBot="1">
      <c r="A52" s="309" t="s">
        <v>65</v>
      </c>
      <c r="B52" s="310"/>
      <c r="C52" s="311">
        <f ca="1">C31+C51</f>
        <v>27355</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867</v>
      </c>
      <c r="B1" s="329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43889</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A22" workbookViewId="0">
      <selection activeCell="P46" sqref="P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估价结果一览表</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房地产市场价值</v>
      </c>
      <c r="I2" s="2982"/>
    </row>
    <row r="3" spans="1:9" ht="15">
      <c r="A3" s="2983"/>
      <c r="B3" s="2983"/>
      <c r="C3" s="2983"/>
      <c r="D3" s="1044" t="s">
        <v>1632</v>
      </c>
      <c r="E3" s="1044" t="s">
        <v>1638</v>
      </c>
      <c r="F3" s="1044" t="s">
        <v>1632</v>
      </c>
      <c r="G3" s="1044" t="s">
        <v>1633</v>
      </c>
      <c r="H3" s="1044" t="s">
        <v>1632</v>
      </c>
      <c r="I3" s="1044" t="s">
        <v>1633</v>
      </c>
    </row>
    <row r="4" spans="1:9" ht="45">
      <c r="A4" s="1972" t="str">
        <f>项目基本情况!S2</f>
        <v>北京市北京经济技术开发区经海三路109号院22号楼-1至5层101房地产</v>
      </c>
      <c r="B4" s="1044">
        <f>项目基本情况!C17</f>
        <v>2388.2600000000002</v>
      </c>
      <c r="C4" s="1044">
        <f>项目基本情况!C18</f>
        <v>0</v>
      </c>
      <c r="D4" s="1044" t="e">
        <f ca="1">结果表!D118</f>
        <v>#REF!</v>
      </c>
      <c r="E4" s="1044" t="e">
        <f ca="1">结果表!E118</f>
        <v>#REF!</v>
      </c>
      <c r="F4" s="1044" t="e">
        <f ca="1">结果表!F118</f>
        <v>#REF!</v>
      </c>
      <c r="G4" s="1044" t="e">
        <f ca="1">结果表!G118</f>
        <v>#REF!</v>
      </c>
      <c r="H4" s="1044">
        <f ca="1">结果表!H118</f>
        <v>2856</v>
      </c>
      <c r="I4" s="1044">
        <f ca="1">结果表!I118</f>
        <v>11958</v>
      </c>
    </row>
    <row r="5" spans="1:9" ht="30" customHeight="1">
      <c r="A5" s="2983" t="s">
        <v>1634</v>
      </c>
      <c r="B5" s="2983"/>
      <c r="C5" s="2983"/>
      <c r="D5" s="2984" t="e">
        <f ca="1">结果表!D119</f>
        <v>#REF!</v>
      </c>
      <c r="E5" s="2984"/>
      <c r="F5" s="2984" t="e">
        <f ca="1">结果表!F119</f>
        <v>#REF!</v>
      </c>
      <c r="G5" s="2984"/>
      <c r="H5" s="2984" t="str">
        <f ca="1">结果表!H119</f>
        <v>贰仟捌佰伍拾陆万元整</v>
      </c>
      <c r="I5" s="2984"/>
    </row>
    <row r="6" spans="1:9" ht="15.75">
      <c r="A6" s="2985" t="str">
        <f>结果表!A120</f>
        <v/>
      </c>
      <c r="B6" s="2985"/>
      <c r="C6" s="2985"/>
      <c r="D6" s="2985">
        <f>结果表!D120</f>
        <v>0</v>
      </c>
      <c r="E6" s="2985"/>
      <c r="F6" s="2985"/>
      <c r="G6" s="2985"/>
      <c r="H6" s="2985"/>
      <c r="I6" s="2985"/>
    </row>
    <row r="7" spans="1:9" ht="15">
      <c r="A7" s="2983" t="s">
        <v>1634</v>
      </c>
      <c r="B7" s="2983"/>
      <c r="C7" s="2983"/>
      <c r="D7" s="2986" t="str">
        <f>结果表!D121</f>
        <v>零元整</v>
      </c>
      <c r="E7" s="2987"/>
      <c r="F7" s="2987"/>
      <c r="G7" s="2987"/>
      <c r="H7" s="2987"/>
      <c r="I7" s="2988"/>
    </row>
    <row r="8" spans="1:9" ht="15.75">
      <c r="A8" s="2985" t="str">
        <f>结果表!A122</f>
        <v/>
      </c>
      <c r="B8" s="2985"/>
      <c r="C8" s="2985"/>
      <c r="D8" s="2985">
        <f ca="1">结果表!D122</f>
        <v>2856</v>
      </c>
      <c r="E8" s="2985"/>
      <c r="F8" s="2985"/>
      <c r="G8" s="2985"/>
      <c r="H8" s="2985"/>
      <c r="I8" s="2985"/>
    </row>
    <row r="9" spans="1:9" ht="15">
      <c r="A9" s="2983" t="s">
        <v>1634</v>
      </c>
      <c r="B9" s="2983"/>
      <c r="C9" s="2983"/>
      <c r="D9" s="2984" t="str">
        <f ca="1">结果表!D123</f>
        <v>贰仟捌佰伍拾陆万元整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1634</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1634</v>
      </c>
      <c r="B13" s="2989"/>
      <c r="C13" s="2989"/>
      <c r="D13" s="2990" t="e">
        <f>结果表!D127</f>
        <v>#VALUE!</v>
      </c>
      <c r="E13" s="2990"/>
      <c r="F13" s="2990"/>
      <c r="G13" s="2990"/>
      <c r="H13" s="2990"/>
      <c r="I13" s="2990"/>
    </row>
    <row r="14" spans="1:9" ht="15" thickTop="1">
      <c r="A14" s="2991" t="s">
        <v>1639</v>
      </c>
      <c r="B14" s="2991"/>
      <c r="C14" s="2991"/>
      <c r="D14" s="2991"/>
      <c r="E14" s="2991"/>
      <c r="F14" s="2991"/>
      <c r="G14" s="2991"/>
      <c r="H14" s="2991"/>
      <c r="I14" s="299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2" t="s">
        <v>1656</v>
      </c>
      <c r="B1" s="2992"/>
      <c r="C1" s="2992"/>
      <c r="D1" s="2992"/>
    </row>
    <row r="2" spans="1:4" ht="18">
      <c r="A2" s="2993" t="s">
        <v>1640</v>
      </c>
      <c r="B2" s="2993"/>
      <c r="C2" s="2993"/>
      <c r="D2" s="2993"/>
    </row>
    <row r="3" spans="1:4" ht="18.75">
      <c r="A3" s="1976" t="s">
        <v>1641</v>
      </c>
      <c r="B3" s="1976" t="s">
        <v>1642</v>
      </c>
      <c r="C3" s="1976" t="s">
        <v>1643</v>
      </c>
      <c r="D3" s="1976" t="s">
        <v>1644</v>
      </c>
    </row>
    <row r="4" spans="1:4" ht="56.25" customHeight="1">
      <c r="A4" s="1977" t="str">
        <f>项目基本情况!B4</f>
        <v>崔锴</v>
      </c>
      <c r="B4" s="1978">
        <f ca="1">项目基本情况!C4</f>
        <v>1120100036</v>
      </c>
      <c r="C4" s="1979"/>
      <c r="D4" s="1980" t="s">
        <v>1645</v>
      </c>
    </row>
    <row r="5" spans="1:4" ht="56.25" customHeight="1">
      <c r="A5" s="1977" t="str">
        <f>项目基本情况!D4</f>
        <v>郑燚</v>
      </c>
      <c r="B5" s="1978">
        <f ca="1">项目基本情况!E4</f>
        <v>1120070131</v>
      </c>
      <c r="C5" s="1981"/>
      <c r="D5" s="1980" t="s">
        <v>1645</v>
      </c>
    </row>
    <row r="6" spans="1:4" ht="18">
      <c r="A6" s="2993" t="s">
        <v>1646</v>
      </c>
      <c r="B6" s="2993"/>
      <c r="C6" s="2993"/>
      <c r="D6" s="2993"/>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4" t="s">
        <v>1649</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5" t="str">
        <f>IF(项目基本情况!B8="抵押","3.抵押双方在办理抵押登记手续时，应使用本公司出具的正式《房地产评估报告》，特提醒报告使用者注意。","——")</f>
        <v>——</v>
      </c>
      <c r="B13" s="2996"/>
      <c r="C13" s="2996"/>
      <c r="D13" s="2996"/>
    </row>
    <row r="14" spans="1:4" ht="15.75" customHeight="1">
      <c r="A14" s="2995" t="str">
        <f>IF(项目基本情况!B8="抵押","4.本次评估估价师所知悉的法定优先受偿款情况说明如下：","——")</f>
        <v>——</v>
      </c>
      <c r="B14" s="2996"/>
      <c r="C14" s="2996"/>
      <c r="D14" s="2996"/>
    </row>
    <row r="15" spans="1:4" ht="42" customHeight="1">
      <c r="A15" s="2995" t="str">
        <f>IF(项目基本情况!B8="抵押","（1）"&amp;CONCATENATE(项目基本情况!L20,项目基本情况!L21,项目基本情况!L22),"——")</f>
        <v>——</v>
      </c>
      <c r="B15" s="2995"/>
      <c r="C15" s="2995"/>
      <c r="D15" s="2995"/>
    </row>
    <row r="16" spans="1:4" ht="30" customHeight="1">
      <c r="A16" s="2998" t="s">
        <v>1650</v>
      </c>
      <c r="B16" s="2998"/>
      <c r="C16" s="2998"/>
      <c r="D16" s="2998"/>
    </row>
    <row r="17" spans="1:4" ht="144" customHeight="1">
      <c r="A17" s="2998" t="s">
        <v>1651</v>
      </c>
      <c r="B17" s="2998"/>
      <c r="C17" s="2998"/>
      <c r="D17" s="2998"/>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1652</v>
      </c>
      <c r="B22" s="3000"/>
      <c r="C22" s="3000"/>
      <c r="D22" s="300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6" t="s">
        <v>1663</v>
      </c>
      <c r="B15" s="3001" t="s">
        <v>136</v>
      </c>
      <c r="C15" s="3002"/>
    </row>
    <row r="16" spans="1:7" ht="13.5">
      <c r="A16" s="3007"/>
      <c r="B16" s="3001" t="s">
        <v>69</v>
      </c>
      <c r="C16" s="3002"/>
    </row>
    <row r="17" spans="1:3" ht="13.5">
      <c r="A17" s="3007"/>
      <c r="B17" s="3004" t="s">
        <v>1664</v>
      </c>
      <c r="C17" s="1999" t="s">
        <v>1663</v>
      </c>
    </row>
    <row r="18" spans="1:3" ht="13.5">
      <c r="A18" s="3007"/>
      <c r="B18" s="3004"/>
      <c r="C18" s="1999" t="s">
        <v>1665</v>
      </c>
    </row>
    <row r="19" spans="1:3" ht="13.5">
      <c r="A19" s="3007"/>
      <c r="B19" s="3004"/>
      <c r="C19" s="1999" t="s">
        <v>1666</v>
      </c>
    </row>
    <row r="20" spans="1:3" ht="13.5">
      <c r="A20" s="3008"/>
      <c r="B20" s="3003" t="s">
        <v>1667</v>
      </c>
      <c r="C20" s="3002"/>
    </row>
    <row r="21" spans="1:3" ht="13.5">
      <c r="A21" s="2000" t="s">
        <v>1668</v>
      </c>
      <c r="B21" s="2001"/>
      <c r="C21" s="2002"/>
    </row>
    <row r="22" spans="1:3" ht="13.5">
      <c r="A22" s="3005" t="s">
        <v>1669</v>
      </c>
      <c r="B22" s="3003" t="s">
        <v>1670</v>
      </c>
      <c r="C22" s="3002"/>
    </row>
    <row r="23" spans="1:3" ht="13.5">
      <c r="A23" s="3005"/>
      <c r="B23" s="3003" t="s">
        <v>1671</v>
      </c>
      <c r="C23" s="3002"/>
    </row>
    <row r="24" spans="1:3" ht="13.5">
      <c r="A24" s="3005"/>
      <c r="B24" s="3003" t="s">
        <v>1672</v>
      </c>
      <c r="C24" s="3002"/>
    </row>
    <row r="25" spans="1:3" ht="13.5">
      <c r="A25" s="3005"/>
      <c r="B25" s="3004" t="s">
        <v>1673</v>
      </c>
      <c r="C25" s="1999" t="s">
        <v>1674</v>
      </c>
    </row>
    <row r="26" spans="1:3" ht="13.5">
      <c r="A26" s="3005"/>
      <c r="B26" s="3004"/>
      <c r="C26" s="1999" t="s">
        <v>1675</v>
      </c>
    </row>
    <row r="27" spans="1:3" ht="13.5">
      <c r="A27" s="3005"/>
      <c r="B27" s="3004"/>
      <c r="C27" s="1999" t="s">
        <v>1676</v>
      </c>
    </row>
    <row r="28" spans="1:3" ht="13.5">
      <c r="A28" s="3005"/>
      <c r="B28" s="3004"/>
      <c r="C28" s="1999" t="s">
        <v>1677</v>
      </c>
    </row>
    <row r="29" spans="1:3" ht="13.5">
      <c r="A29" s="3005"/>
      <c r="B29" s="3004"/>
      <c r="C29" s="1999" t="s">
        <v>1678</v>
      </c>
    </row>
    <row r="30" spans="1:3" ht="13.5">
      <c r="A30" s="3005"/>
      <c r="B30" s="3004"/>
      <c r="C30" s="1999" t="s">
        <v>1679</v>
      </c>
    </row>
    <row r="31" spans="1:3" ht="13.5">
      <c r="A31" s="3005"/>
      <c r="B31" s="3004"/>
      <c r="C31" s="1999" t="s">
        <v>1680</v>
      </c>
    </row>
    <row r="32" spans="1:3" ht="13.5">
      <c r="A32" s="3005"/>
      <c r="B32" s="3004"/>
      <c r="C32" s="1999" t="s">
        <v>1681</v>
      </c>
    </row>
    <row r="33" spans="1:3" ht="13.5">
      <c r="A33" s="3005"/>
      <c r="B33" s="3004"/>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927">
        <v>44876</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f ca="1">IF(C7&lt;B2,"已过期",1120050019)</f>
        <v>1120050019</v>
      </c>
      <c r="C7" s="2345">
        <v>44395</v>
      </c>
      <c r="D7" s="2348" t="s">
        <v>834</v>
      </c>
      <c r="E7" s="1022">
        <f ca="1">IF(F7&lt;B2,"已过期",2002110030)</f>
        <v>2002110030</v>
      </c>
      <c r="F7" s="1030">
        <v>46387</v>
      </c>
    </row>
    <row r="8" spans="1:6" ht="24" customHeight="1">
      <c r="A8" s="1702" t="s">
        <v>835</v>
      </c>
      <c r="B8" s="1022">
        <f ca="1">IF(C8&lt;B2,"已过期",1120000080)</f>
        <v>1120000080</v>
      </c>
      <c r="C8" s="2927">
        <v>44876</v>
      </c>
      <c r="D8" s="2348" t="s">
        <v>835</v>
      </c>
      <c r="E8" s="1022">
        <f ca="1">IF(F8&lt;B2,"已过期",2000110082)</f>
        <v>2000110082</v>
      </c>
      <c r="F8" s="1030">
        <v>46387</v>
      </c>
    </row>
    <row r="9" spans="1:6" ht="24" customHeight="1">
      <c r="A9" s="1702" t="s">
        <v>836</v>
      </c>
      <c r="B9" s="1022">
        <f ca="1">IF(C9&lt;B2,"已过期",1419970001)</f>
        <v>1419970001</v>
      </c>
      <c r="C9" s="2927">
        <v>44899</v>
      </c>
      <c r="D9" s="2348" t="s">
        <v>836</v>
      </c>
      <c r="E9" s="1022">
        <f ca="1">IF(F9&lt;B2,"已过期",2002110125)</f>
        <v>2002110125</v>
      </c>
      <c r="F9" s="1030">
        <v>47118</v>
      </c>
    </row>
    <row r="10" spans="1:6" ht="24" customHeight="1">
      <c r="A10" s="1702" t="s">
        <v>837</v>
      </c>
      <c r="B10" s="1022">
        <f ca="1">IF(C10&lt;B2,"已过期",1120060040)</f>
        <v>1120060040</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3042</v>
      </c>
      <c r="B14" s="1022">
        <f ca="1">IF(C14&lt;B2,"已过期",1120040230)</f>
        <v>1120040230</v>
      </c>
      <c r="C14" s="2345">
        <v>44864</v>
      </c>
      <c r="D14" s="2348" t="s">
        <v>3042</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3049</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f ca="1">IF(C22&lt;B2,"已过期",1120020033)</f>
        <v>1120020033</v>
      </c>
      <c r="C22" s="2927">
        <v>44339</v>
      </c>
      <c r="D22" s="2348" t="s">
        <v>841</v>
      </c>
      <c r="E22" s="1022">
        <f ca="1">IF(F22&lt;B2,"已过期",2000110137)</f>
        <v>2000110137</v>
      </c>
      <c r="F22" s="1030">
        <v>46387</v>
      </c>
    </row>
    <row r="23" spans="1:7" ht="24" customHeight="1">
      <c r="A23" s="1702" t="s">
        <v>3051</v>
      </c>
      <c r="B23" s="1022">
        <v>1119980106</v>
      </c>
      <c r="C23" s="2345">
        <v>43916</v>
      </c>
      <c r="D23" s="1702" t="s">
        <v>3054</v>
      </c>
      <c r="E23" s="1022">
        <v>96010063</v>
      </c>
      <c r="F23" s="1030">
        <v>47118</v>
      </c>
    </row>
    <row r="24" spans="1:7" s="1024" customFormat="1" ht="24" customHeight="1">
      <c r="A24" s="1703" t="s">
        <v>1328</v>
      </c>
      <c r="B24" s="1703" t="s">
        <v>1328</v>
      </c>
      <c r="C24" s="2346" t="s">
        <v>1328</v>
      </c>
      <c r="D24" s="2349" t="s">
        <v>1328</v>
      </c>
      <c r="E24" s="1703" t="s">
        <v>1328</v>
      </c>
      <c r="F24" s="1703" t="s">
        <v>1328</v>
      </c>
    </row>
    <row r="25" spans="1:7" ht="24" customHeight="1">
      <c r="A25" s="3009" t="s">
        <v>842</v>
      </c>
      <c r="B25" s="3009"/>
      <c r="C25" s="3009"/>
      <c r="D25" s="3009"/>
      <c r="E25" s="3009"/>
      <c r="F25" s="3009"/>
      <c r="G25" s="3009"/>
    </row>
    <row r="26" spans="1:7" s="1025" customFormat="1" ht="24" customHeight="1">
      <c r="A26" s="3010" t="s">
        <v>843</v>
      </c>
      <c r="B26" s="3010"/>
      <c r="C26" s="3011"/>
      <c r="D26" s="3012" t="s">
        <v>844</v>
      </c>
      <c r="E26" s="3010"/>
      <c r="F26" s="3010"/>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2020-03-03T03:52:40Z</dcterms:modified>
</cp:coreProperties>
</file>