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8" i="74" l="1"/>
  <c r="D14" i="74"/>
  <c r="L14" i="74" s="1"/>
  <c r="H10" i="74" l="1"/>
  <c r="H8" i="74"/>
  <c r="AB28" i="79"/>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E6"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A4" i="51"/>
  <c r="B6" i="72" s="1"/>
  <c r="L20" i="6"/>
  <c r="B6" i="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67"/>
  <c r="F43" i="15"/>
  <c r="C19" i="9"/>
  <c r="E2" i="69"/>
  <c r="F13" i="67"/>
  <c r="F7" i="73"/>
  <c r="B9" i="76"/>
  <c r="F37" i="15"/>
  <c r="F42" i="67"/>
  <c r="M9" i="15"/>
  <c r="B12" i="76"/>
  <c r="E12" i="76"/>
  <c r="M6" i="15"/>
  <c r="F4" i="73"/>
  <c r="F38" i="15"/>
  <c r="C20" i="9"/>
  <c r="E13" i="76"/>
  <c r="L47" i="67"/>
  <c r="D19" i="9"/>
  <c r="F6" i="67"/>
  <c r="F16" i="15"/>
  <c r="F26" i="15"/>
  <c r="M26" i="67"/>
  <c r="M8" i="67"/>
  <c r="F36" i="67"/>
  <c r="F38" i="67"/>
  <c r="B7" i="76"/>
  <c r="E9" i="76"/>
  <c r="B8" i="76"/>
  <c r="D34" i="9"/>
  <c r="E7" i="76"/>
  <c r="M6" i="67"/>
  <c r="F40" i="67"/>
  <c r="F36" i="15"/>
  <c r="F43" i="67"/>
  <c r="J15" i="15"/>
  <c r="E11" i="76"/>
  <c r="J15" i="67"/>
  <c r="F40" i="15"/>
  <c r="L47" i="15"/>
  <c r="F6" i="73"/>
  <c r="D35" i="9"/>
  <c r="F5" i="73"/>
  <c r="E8" i="76"/>
  <c r="F20" i="31"/>
  <c r="M28" i="15"/>
  <c r="M26" i="15"/>
  <c r="F8" i="67"/>
  <c r="C76" i="67"/>
  <c r="F6" i="15"/>
  <c r="M8" i="15"/>
  <c r="F16" i="67"/>
  <c r="F9" i="15"/>
  <c r="F3" i="73"/>
  <c r="F37" i="67"/>
  <c r="F7" i="67"/>
  <c r="F13" i="15"/>
  <c r="M9" i="67"/>
  <c r="B10" i="76"/>
  <c r="F9" i="67"/>
  <c r="C76" i="15"/>
  <c r="M22" i="67"/>
  <c r="M24" i="67"/>
  <c r="L48" i="15"/>
  <c r="M22" i="15"/>
  <c r="M28" i="67"/>
  <c r="L48" i="67"/>
  <c r="D20" i="9"/>
  <c r="M23" i="67"/>
  <c r="M23" i="15"/>
  <c r="M24" i="15"/>
  <c r="F8" i="15"/>
  <c r="B13" i="76"/>
  <c r="B11" i="76"/>
  <c r="AO13" i="1"/>
  <c r="F7" i="15"/>
  <c r="M29" i="15"/>
  <c r="F42" i="15"/>
  <c r="F26" i="67"/>
  <c r="E2" i="68"/>
  <c r="E10" i="76"/>
  <c r="G23" i="43" l="1"/>
  <c r="C23" i="43" s="1"/>
  <c r="C7" i="37"/>
  <c r="C52" i="37" s="1"/>
  <c r="D52" i="37" s="1"/>
  <c r="J1" i="73"/>
  <c r="C7" i="33"/>
  <c r="D19" i="53"/>
  <c r="B38" i="72" s="1"/>
  <c r="M47" i="9"/>
  <c r="C7" i="35"/>
  <c r="C48" i="35" s="1"/>
  <c r="D48" i="35" s="1"/>
  <c r="E48" i="35" s="1"/>
  <c r="C7" i="40"/>
  <c r="C63" i="40" s="1"/>
  <c r="C7" i="39"/>
  <c r="C67" i="39" s="1"/>
  <c r="C69" i="39" s="1"/>
  <c r="C42" i="1"/>
  <c r="C24" i="12" s="1"/>
  <c r="C7" i="36"/>
  <c r="C46" i="36" s="1"/>
  <c r="D46" i="36" s="1"/>
  <c r="E46" i="36" s="1"/>
  <c r="F46" i="36" s="1"/>
  <c r="G46" i="36" s="1"/>
  <c r="H46" i="36" s="1"/>
  <c r="I46" i="36" s="1"/>
  <c r="J46" i="36" s="1"/>
  <c r="C7" i="21"/>
  <c r="G6" i="1"/>
  <c r="G16" i="1" s="1"/>
  <c r="F10" i="39" s="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J7" i="37"/>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5" i="73"/>
  <c r="D7" i="73"/>
  <c r="C16" i="67"/>
  <c r="C16" i="15"/>
  <c r="D3" i="73"/>
  <c r="D6" i="73"/>
  <c r="K1" i="73" l="1"/>
  <c r="K46" i="36"/>
  <c r="L46" i="36" s="1"/>
  <c r="M46" i="36" s="1"/>
  <c r="N46" i="36" s="1"/>
  <c r="O46" i="36" s="1"/>
  <c r="J7" i="36"/>
  <c r="F7" i="36"/>
  <c r="H7" i="3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L36" i="43"/>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6"/>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8" i="1"/>
  <c r="AO6" i="1"/>
  <c r="AO11" i="1"/>
  <c r="AO12" i="1"/>
  <c r="L46" i="15" l="1"/>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B6" i="74" l="1"/>
  <c r="B2" i="74" l="1"/>
  <c r="D5" i="74" s="1"/>
  <c r="F14" i="74"/>
  <c r="D8" i="74" l="1"/>
  <c r="D7" i="74"/>
  <c r="D6" i="74"/>
  <c r="P57" i="9"/>
  <c r="N58" i="9"/>
  <c r="B49" i="72"/>
  <c r="D53" i="9"/>
  <c r="D52" i="9"/>
  <c r="B32" i="72"/>
  <c r="B20" i="72"/>
  <c r="C5" i="74"/>
  <c r="C6" i="74"/>
  <c r="D8" i="52"/>
  <c r="E81" i="9"/>
  <c r="M55" i="9"/>
  <c r="M54" i="9"/>
  <c r="M48" i="9"/>
  <c r="H4" i="52"/>
  <c r="C104" i="9"/>
  <c r="I4" i="52"/>
  <c r="C105" i="9"/>
  <c r="B48" i="72"/>
  <c r="N69" i="9"/>
  <c r="B52" i="72"/>
  <c r="E80" i="9"/>
  <c r="D59" i="9"/>
  <c r="N61" i="9"/>
  <c r="N59" i="9"/>
  <c r="N60" i="9"/>
  <c r="D5" i="53"/>
  <c r="D6" i="53"/>
  <c r="B22" i="72"/>
  <c r="L65" i="9"/>
  <c r="M65" i="9"/>
  <c r="F119" i="9"/>
  <c r="F5" i="52"/>
  <c r="B53" i="72"/>
  <c r="L64" i="9"/>
  <c r="M64" i="9"/>
  <c r="C81" i="9"/>
  <c r="C80" i="9"/>
  <c r="L67" i="9"/>
  <c r="M67" i="9"/>
  <c r="C93" i="9"/>
  <c r="C86" i="9"/>
  <c r="L66" i="9"/>
  <c r="M66" i="9"/>
  <c r="D4" i="52"/>
  <c r="B47" i="72"/>
  <c r="G4" i="52"/>
  <c r="C72" i="9"/>
  <c r="C79" i="9"/>
  <c r="E4" i="52"/>
  <c r="H102" i="9"/>
  <c r="D7" i="53"/>
  <c r="B21" i="72"/>
  <c r="G118" i="9"/>
  <c r="F118" i="9"/>
  <c r="F4" i="52"/>
  <c r="B51" i="72"/>
  <c r="C97" i="9"/>
  <c r="D58" i="9"/>
  <c r="D56" i="9"/>
  <c r="C85" i="9"/>
  <c r="C95" i="9"/>
  <c r="C96" i="9"/>
  <c r="E96" i="9"/>
  <c r="E97" i="9"/>
  <c r="B30" i="72"/>
  <c r="D13" i="53"/>
  <c r="D14" i="53"/>
  <c r="C78" i="9"/>
  <c r="C73" i="9"/>
  <c r="H119" i="9"/>
  <c r="H5" i="52"/>
  <c r="L63" i="9"/>
  <c r="M63" i="9"/>
  <c r="M69" i="9"/>
  <c r="C67" i="9"/>
  <c r="C68" i="9"/>
  <c r="D54" i="9"/>
  <c r="M49" i="9"/>
  <c r="L68" i="9"/>
  <c r="M68" i="9"/>
  <c r="C64" i="9"/>
  <c r="C63" i="9"/>
  <c r="D122" i="9"/>
  <c r="D123" i="9"/>
  <c r="D9" i="52"/>
  <c r="H107" i="9"/>
  <c r="H108" i="9"/>
  <c r="D15" i="53"/>
  <c r="B31" i="72"/>
  <c r="E118" i="9"/>
  <c r="D118" i="9"/>
  <c r="D119" i="9"/>
  <c r="D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<sst xmlns="http://schemas.openxmlformats.org/spreadsheetml/2006/main" count="7778" uniqueCount="3393">
  <si>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</si>
  <si>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</si>
  <si>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</si>
  <si>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</si>
  <si>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</si>
  <si>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</si>
  <si>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</si>
  <si>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</si>
  <si>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</si>
  <si>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</si>
  <si>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</si>
  <si>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</si>
  <si>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</si>
  <si>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</si>
  <si>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</si>
  <si>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</si>
  <si>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</si>
  <si>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</si>
  <si>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</si>
  <si>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</si>
  <si>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</si>
  <si>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</si>
  <si>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</si>
  <si>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</si>
  <si>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</si>
  <si>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</si>
  <si>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</si>
  <si>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</si>
  <si>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</si>
  <si>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</si>
  <si>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</si>
  <si>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</si>
  <si>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</si>
  <si>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</si>
  <si>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</si>
  <si>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</si>
  <si>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</si>
  <si>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</si>
  <si>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</si>
  <si>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</si>
  <si>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</si>
  <si>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</si>
  <si>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</si>
  <si>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</si>
  <si>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</si>
  <si>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</si>
  <si>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</si>
  <si>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</si>
  <si>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</si>
  <si>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</si>
  <si>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</si>
  <si>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</si>
  <si>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</si>
  <si>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</si>
  <si>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</si>
  <si>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</si>
  <si>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</si>
  <si>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</si>
  <si>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</si>
  <si>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</si>
  <si>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</si>
  <si>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</si>
  <si>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</si>
  <si>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</si>
  <si>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</si>
  <si>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</si>
  <si>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</si>
  <si>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</si>
  <si>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</si>
  <si>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</si>
  <si>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</si>
  <si>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</si>
  <si>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</si>
  <si>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</si>
  <si>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</si>
  <si>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</si>
  <si>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</si>
  <si>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</si>
  <si>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</si>
  <si>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</si>
  <si>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</si>
  <si>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</si>
  <si>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</si>
  <si>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</si>
  <si>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</si>
  <si>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</si>
  <si>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</si>
  <si>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</si>
  <si>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</si>
  <si>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</si>
  <si>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</si>
  <si>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</si>
  <si>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</si>
  <si>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</si>
  <si>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</si>
  <si>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</si>
  <si>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</si>
  <si>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</si>
  <si>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</si>
  <si>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</si>
  <si>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</si>
  <si>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</si>
  <si>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</si>
  <si>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</si>
  <si>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</si>
  <si>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</si>
  <si>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</si>
  <si>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</si>
  <si>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</si>
  <si>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</si>
  <si>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</si>
  <si>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</si>
  <si>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</si>
  <si>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</si>
  <si>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</si>
  <si>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</si>
  <si>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</si>
  <si>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</si>
  <si>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</si>
  <si>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</si>
  <si>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</si>
  <si>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</si>
  <si>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</si>
  <si>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</si>
  <si>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</si>
  <si>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</si>
  <si>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</si>
  <si>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</si>
  <si>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</si>
  <si>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</si>
  <si>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</si>
  <si>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</si>
  <si>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</si>
  <si>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</si>
  <si>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</si>
  <si>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</si>
  <si>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</si>
  <si>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</si>
  <si>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</si>
  <si>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</si>
  <si>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</si>
  <si>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</si>
  <si>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</si>
  <si>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</si>
  <si>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</si>
  <si>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</si>
  <si>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</si>
  <si>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</si>
  <si>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</si>
  <si>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</si>
  <si>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</si>
  <si>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</si>
  <si>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</si>
  <si>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</si>
  <si>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</si>
  <si>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</si>
  <si>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</si>
  <si>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</si>
  <si>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</si>
  <si>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</si>
  <si>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</si>
  <si>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</si>
  <si>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</si>
  <si>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</si>
  <si>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</si>
  <si>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</si>
  <si>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</si>
  <si>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</si>
  <si>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</si>
  <si>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</si>
  <si>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</si>
  <si>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</si>
  <si>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</si>
  <si>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</si>
  <si>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</si>
  <si>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</si>
  <si>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</si>
  <si>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</si>
  <si>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</si>
  <si>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</si>
  <si>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</si>
  <si>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</si>
  <si>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</si>
  <si>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</si>
  <si>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</si>
  <si>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</si>
  <si>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</si>
  <si>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</si>
  <si>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</si>
  <si>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</si>
  <si>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</si>
  <si>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</si>
  <si>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</si>
  <si>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</si>
  <si>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</si>
  <si>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</si>
  <si>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</si>
  <si>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</si>
  <si>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</si>
  <si>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</si>
  <si>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</si>
  <si>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</si>
  <si>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</si>
  <si>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</si>
  <si>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</si>
  <si>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</si>
  <si>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</si>
  <si>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</si>
  <si>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</si>
  <si>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</si>
  <si>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</si>
  <si>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</si>
  <si>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</si>
  <si>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</si>
  <si>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</si>
  <si>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</si>
  <si>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</si>
  <si>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</si>
  <si>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</si>
  <si>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</si>
  <si>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</si>
  <si>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</si>
  <si>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</si>
  <si>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</si>
  <si>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</si>
  <si>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</si>
  <si>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</si>
  <si>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</si>
  <si>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</si>
  <si>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</si>
  <si>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</si>
  <si>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</si>
  <si>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</si>
  <si>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</si>
  <si>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</si>
  <si>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</si>
  <si>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</si>
  <si>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</si>
  <si>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</si>
  <si>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</si>
  <si>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</si>
  <si>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</si>
  <si>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</si>
  <si>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</si>
  <si>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</si>
  <si>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</si>
  <si>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</si>
  <si>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</si>
  <si>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</si>
  <si>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</si>
  <si>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</si>
  <si>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</si>
  <si>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</si>
  <si>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</si>
  <si>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</si>
  <si>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</si>
  <si>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</si>
  <si>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</si>
  <si>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</si>
  <si>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</si>
  <si>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</si>
  <si>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</si>
  <si>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</si>
  <si>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</si>
  <si>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</si>
  <si>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</si>
  <si>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</si>
  <si>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</si>
  <si>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</si>
  <si>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</si>
  <si>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</si>
  <si>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</si>
  <si>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</si>
  <si>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</si>
  <si>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</si>
  <si>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</si>
  <si>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</si>
  <si>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</si>
  <si>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</si>
  <si>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</si>
  <si>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</si>
  <si>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</si>
  <si>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</si>
  <si>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</si>
  <si>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</si>
  <si>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</si>
  <si>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</si>
  <si>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</si>
  <si>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</si>
  <si>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</si>
  <si>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</si>
  <si>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</si>
  <si>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</si>
  <si>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</si>
  <si>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</si>
  <si>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</si>
  <si>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</si>
  <si>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</si>
  <si>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</si>
  <si>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</si>
  <si>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</si>
  <si>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</si>
  <si>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</si>
  <si>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</si>
  <si>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</si>
  <si>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</si>
  <si>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</si>
  <si>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</si>
  <si>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</si>
  <si>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</si>
  <si>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</si>
  <si>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</si>
  <si>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</si>
  <si>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</si>
  <si>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</si>
  <si>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</si>
  <si>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</si>
  <si>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</si>
  <si>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</si>
  <si>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</si>
  <si>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</si>
  <si>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</si>
  <si>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</si>
  <si>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</si>
  <si>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</si>
  <si>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</si>
  <si>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</si>
  <si>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</si>
  <si>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</si>
  <si>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</si>
  <si>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</si>
  <si>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</si>
  <si>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</si>
  <si>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</si>
  <si>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</si>
  <si>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</si>
  <si>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</si>
  <si>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</si>
  <si>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</si>
  <si>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</si>
  <si>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</si>
  <si>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</si>
  <si>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</si>
  <si>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</si>
  <si>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</si>
  <si>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</si>
  <si>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</si>
  <si>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</si>
  <si>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</si>
  <si>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</si>
  <si>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</si>
  <si>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</si>
  <si>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</si>
  <si>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</si>
  <si>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</si>
  <si>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</si>
  <si>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</si>
  <si>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</si>
  <si>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</si>
  <si>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</si>
  <si>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</si>
  <si>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</si>
  <si>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</si>
  <si>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</si>
  <si>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</si>
  <si>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</si>
  <si>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</si>
  <si>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</si>
  <si>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</si>
  <si>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</si>
  <si>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</si>
  <si>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</si>
  <si>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</si>
  <si>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</si>
  <si>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</si>
  <si>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</si>
  <si>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</si>
  <si>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</si>
  <si>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</si>
  <si>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</si>
  <si>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</si>
  <si>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</si>
  <si>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</si>
  <si>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</si>
  <si>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</si>
  <si>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</si>
  <si>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</si>
  <si>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</si>
  <si>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</si>
  <si>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</si>
  <si>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</si>
  <si>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</si>
  <si>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</si>
  <si>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</si>
  <si>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</si>
  <si>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</si>
  <si>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</si>
  <si>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</si>
  <si>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</si>
  <si>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</si>
  <si>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</si>
  <si>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</si>
  <si>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</si>
  <si>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</si>
  <si>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</si>
  <si>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</si>
  <si>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</si>
  <si>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</si>
  <si>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</si>
  <si>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</si>
  <si>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</si>
  <si>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</si>
  <si>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</si>
  <si>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</si>
  <si>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</si>
  <si>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</si>
  <si>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</si>
  <si>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</si>
  <si>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</si>
  <si>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</si>
  <si>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</si>
  <si>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</si>
  <si>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</si>
  <si>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</si>
  <si>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</si>
  <si>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</si>
  <si>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</si>
  <si>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</si>
  <si>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</si>
  <si>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</si>
  <si>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</si>
  <si>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</si>
  <si>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</si>
  <si>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</si>
  <si>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</si>
  <si>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</si>
  <si>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</si>
  <si>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</si>
  <si>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</si>
  <si>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</si>
  <si>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</si>
  <si>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</si>
  <si>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</si>
  <si>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</si>
  <si>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</si>
  <si>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</si>
  <si>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</si>
  <si>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</si>
  <si>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</si>
  <si>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</si>
  <si>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</si>
  <si>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</si>
  <si>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</si>
  <si>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</si>
  <si>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</si>
  <si>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</si>
  <si>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</si>
  <si>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</si>
  <si>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</si>
  <si>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</si>
  <si>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</si>
  <si>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</si>
  <si>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</si>
  <si>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</si>
  <si>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</si>
  <si>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</si>
  <si>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</si>
  <si>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</si>
  <si>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</si>
  <si>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</si>
  <si>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</si>
  <si>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</si>
  <si>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</si>
  <si>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</si>
  <si>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</si>
  <si>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</si>
  <si>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</si>
  <si>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</si>
  <si>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</si>
  <si>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</si>
  <si>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</si>
  <si>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</si>
  <si>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</si>
  <si>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</si>
  <si>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</si>
  <si>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</si>
  <si>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</si>
  <si>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</si>
  <si>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</si>
  <si>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</si>
  <si>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</si>
  <si>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</si>
  <si>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</si>
  <si>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</si>
  <si>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</si>
  <si>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</si>
  <si>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</si>
  <si>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</si>
  <si>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</si>
  <si>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</si>
  <si>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</si>
  <si>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</si>
  <si>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</si>
  <si>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</si>
  <si>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</si>
  <si>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</si>
  <si>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</si>
  <si>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</si>
  <si>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</si>
  <si>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</si>
  <si>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</si>
  <si>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</si>
  <si>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</si>
  <si>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</si>
  <si>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</si>
  <si>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</si>
  <si>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</si>
  <si>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</si>
  <si>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</si>
  <si>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</si>
  <si>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</si>
  <si>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</si>
  <si>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</si>
  <si>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</si>
  <si>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</si>
  <si>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</si>
  <si>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</si>
  <si>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</si>
  <si>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</si>
  <si>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</si>
  <si>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</si>
  <si>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</si>
  <si>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</si>
  <si>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</si>
  <si>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</si>
  <si>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</si>
  <si>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</si>
  <si>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</si>
  <si>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</si>
  <si>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</si>
  <si>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</si>
  <si>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</si>
  <si>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</si>
  <si>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</si>
  <si>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</si>
  <si>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</si>
  <si>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</si>
  <si>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</si>
  <si>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</si>
  <si>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</si>
  <si>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</si>
  <si>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</si>
  <si>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</si>
  <si>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</si>
  <si>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</si>
  <si>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</si>
  <si>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</si>
  <si>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</si>
  <si>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</si>
  <si>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</si>
  <si>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</si>
  <si>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</si>
  <si>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</si>
  <si>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</si>
  <si>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</si>
  <si>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</si>
  <si>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</si>
  <si>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</si>
  <si>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</si>
  <si>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</si>
  <si>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</si>
  <si>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</si>
  <si>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</si>
  <si>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</si>
  <si>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</si>
  <si>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</si>
  <si>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</si>
  <si>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</si>
  <si>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</si>
  <si>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</si>
  <si>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</si>
  <si>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</si>
  <si>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</si>
  <si>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</si>
  <si>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</si>
  <si>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</si>
  <si>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</si>
  <si>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</si>
  <si>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</si>
  <si>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</si>
  <si>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</si>
  <si>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</si>
  <si>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</si>
  <si>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</si>
  <si>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</si>
  <si>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</si>
  <si>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</si>
  <si>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</si>
  <si>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</si>
  <si>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</si>
  <si>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</si>
  <si>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</si>
  <si>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</si>
  <si>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</si>
  <si>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</si>
  <si>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</si>
  <si>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</si>
  <si>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</si>
  <si>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</si>
  <si>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</si>
  <si>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</si>
  <si>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</si>
  <si>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</si>
  <si>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</si>
  <si>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</si>
  <si>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</si>
  <si>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</si>
  <si>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</si>
  <si>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</si>
  <si>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</si>
  <si>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</si>
  <si>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</si>
  <si>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</si>
  <si>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</si>
  <si>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</si>
  <si>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</si>
  <si>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</si>
  <si>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</si>
  <si>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</si>
  <si>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</si>
  <si>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</si>
  <si>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</si>
  <si>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</si>
  <si>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</si>
  <si>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</si>
  <si>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</si>
  <si>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</si>
  <si>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</si>
  <si>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</si>
  <si>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</si>
  <si>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</si>
  <si>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</si>
  <si>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</si>
  <si>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</si>
  <si>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</si>
  <si>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</si>
  <si>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</si>
  <si>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</si>
  <si>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</si>
  <si>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</si>
  <si>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</si>
  <si>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</si>
  <si>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</si>
  <si>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</si>
  <si>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</si>
  <si>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</si>
  <si>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</si>
  <si>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</si>
  <si>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</si>
  <si>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</si>
  <si>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</si>
  <si>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</si>
  <si>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</si>
  <si>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</si>
  <si>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</si>
  <si>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</si>
  <si>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</si>
  <si>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</si>
  <si>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</si>
  <si>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</si>
  <si>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</si>
  <si>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</si>
  <si>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</si>
  <si>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</si>
  <si>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</si>
  <si>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</si>
  <si>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</si>
  <si>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</si>
  <si>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</si>
  <si>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</si>
  <si>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</si>
  <si>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</si>
  <si>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</si>
  <si>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</si>
  <si>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</si>
  <si>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</si>
  <si>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</si>
  <si>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</si>
  <si>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</si>
  <si>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</si>
  <si>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</si>
  <si>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</si>
  <si>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</si>
  <si>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</si>
  <si>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</si>
  <si>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</si>
  <si>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</si>
  <si>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</si>
  <si>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</si>
  <si>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</si>
  <si>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</si>
  <si>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</si>
  <si>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</si>
  <si>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</si>
  <si>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</si>
  <si>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</si>
  <si>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</si>
  <si>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</si>
  <si>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</si>
  <si>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</si>
  <si>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</si>
  <si>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</si>
  <si>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</si>
  <si>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</si>
  <si>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</si>
  <si>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</si>
  <si>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</si>
  <si>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</si>
  <si>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</si>
  <si>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</si>
  <si>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</si>
  <si>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</si>
  <si>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</si>
  <si>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</si>
  <si>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</si>
  <si>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</si>
  <si>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</si>
  <si>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</si>
  <si>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</si>
  <si>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</si>
  <si>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</si>
  <si>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</si>
  <si>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</si>
  <si>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</si>
  <si>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</si>
  <si>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</si>
  <si>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</si>
  <si>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</si>
  <si>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</si>
  <si>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</si>
  <si>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</si>
  <si>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</si>
  <si>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</si>
  <si>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</si>
  <si>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</si>
  <si>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</si>
  <si>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</si>
  <si>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</si>
  <si>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</si>
  <si>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</si>
  <si>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</si>
  <si>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</si>
  <si>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</si>
  <si>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</si>
  <si>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</si>
  <si>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</si>
  <si>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</si>
  <si>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</si>
  <si>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</si>
  <si>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</si>
  <si>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</si>
  <si>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</si>
  <si>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</si>
  <si>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</si>
  <si>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</si>
  <si>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</si>
  <si>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</si>
  <si>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</si>
  <si>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</si>
  <si>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</si>
  <si>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</si>
  <si>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</si>
  <si>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</si>
  <si>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</si>
  <si>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</si>
  <si>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</si>
  <si>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</si>
  <si>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</si>
  <si>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</si>
  <si>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</si>
  <si>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</si>
  <si>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</si>
  <si>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</si>
  <si>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</si>
  <si>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</si>
  <si>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</si>
  <si>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</si>
  <si>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</si>
  <si>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</si>
  <si>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</si>
  <si>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</si>
  <si>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</si>
  <si>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</si>
  <si>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</si>
  <si>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</si>
  <si>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</si>
  <si>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</si>
  <si>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</si>
  <si>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</si>
  <si>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</si>
  <si>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</si>
  <si>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</si>
  <si>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</si>
  <si>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</si>
  <si>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</si>
  <si>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</si>
  <si>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</si>
  <si>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</si>
  <si>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</si>
  <si>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</si>
  <si>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</si>
  <si>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</si>
  <si>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</si>
  <si>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</si>
  <si>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</si>
  <si>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</si>
  <si>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</si>
  <si>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</si>
  <si>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</si>
  <si>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</si>
  <si>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</si>
  <si>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</si>
  <si>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</si>
  <si>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</si>
  <si>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</si>
  <si>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</si>
  <si>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</si>
  <si>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</si>
  <si>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</si>
  <si>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</si>
  <si>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</si>
  <si>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</si>
  <si>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</si>
  <si>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</si>
  <si>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</si>
  <si>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</si>
  <si>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</si>
  <si>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</si>
  <si>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</si>
  <si>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</si>
  <si>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</si>
  <si>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</si>
  <si>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</si>
  <si>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</si>
  <si>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</si>
  <si>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</si>
  <si>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</si>
  <si>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</si>
  <si>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</si>
  <si>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</si>
  <si>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</si>
  <si>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</si>
  <si>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</si>
  <si>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</si>
  <si>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</si>
  <si>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</si>
  <si>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</si>
  <si>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</si>
  <si>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</si>
  <si>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</si>
  <si>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</si>
  <si>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</si>
  <si>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</si>
  <si>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</si>
  <si>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</si>
  <si>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</si>
  <si>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</si>
  <si>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</si>
  <si>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</si>
  <si>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</si>
  <si>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</si>
  <si>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</si>
  <si>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</si>
  <si>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</si>
  <si>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</si>
  <si>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</si>
  <si>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</si>
  <si>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</si>
  <si>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</si>
  <si>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</si>
  <si>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</si>
  <si>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</si>
  <si>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</si>
  <si>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</si>
  <si>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</si>
  <si>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</si>
  <si>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</si>
  <si>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</si>
  <si>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</si>
  <si>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</si>
  <si>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</si>
  <si>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</si>
  <si>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</si>
  <si>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</si>
  <si>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</si>
  <si>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</si>
  <si>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</si>
  <si>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</si>
  <si>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</si>
  <si>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</si>
  <si>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</si>
  <si>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</si>
  <si>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</si>
  <si>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</si>
  <si>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</si>
  <si>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</si>
  <si>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</si>
  <si>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</si>
  <si>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</si>
  <si>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</si>
  <si>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</si>
  <si>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</si>
  <si>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</si>
  <si>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</si>
  <si>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</si>
  <si>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</si>
  <si>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</si>
  <si>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</si>
  <si>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</si>
  <si>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</si>
  <si>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</si>
  <si>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</si>
  <si>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</si>
  <si>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</si>
  <si>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</si>
  <si>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</si>
  <si>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</si>
  <si>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</si>
  <si>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</si>
  <si>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</si>
  <si>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</si>
  <si>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</si>
  <si>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</si>
  <si>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</si>
  <si>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</si>
  <si>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</si>
  <si>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</si>
  <si>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</si>
  <si>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</si>
  <si>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</si>
  <si>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</si>
  <si>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</si>
  <si>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</si>
  <si>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</si>
  <si>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</si>
  <si>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</si>
  <si>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</si>
  <si>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</si>
  <si>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</si>
  <si>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</si>
  <si>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</si>
  <si>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</si>
  <si>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</si>
  <si>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</si>
  <si>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</si>
  <si>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</si>
  <si>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</si>
  <si>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</si>
  <si>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</si>
  <si>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</si>
  <si>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</si>
  <si>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</si>
  <si>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</si>
  <si>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</si>
  <si>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</si>
  <si>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</si>
  <si>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</si>
  <si>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</si>
  <si>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</si>
  <si>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</si>
  <si>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</si>
  <si>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</si>
  <si>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</si>
  <si>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</si>
  <si>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</si>
  <si>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</si>
  <si>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</si>
  <si>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</si>
  <si>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</si>
  <si>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</si>
  <si>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</si>
  <si>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</si>
  <si>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</si>
  <si>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</si>
  <si>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</si>
  <si>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</si>
  <si>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</si>
  <si>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</si>
  <si>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</si>
  <si>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</si>
  <si>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</si>
  <si>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</si>
  <si>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</si>
  <si>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</si>
  <si>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</si>
  <si>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</si>
  <si>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</si>
  <si>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</si>
  <si>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</si>
  <si>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</si>
  <si>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</si>
  <si>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</si>
  <si>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</si>
  <si>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</si>
  <si>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</si>
  <si>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</si>
  <si>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</si>
  <si>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</si>
  <si>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</si>
  <si>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</si>
  <si>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</si>
  <si>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</si>
  <si>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</si>
  <si>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</si>
  <si>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</si>
  <si>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</si>
  <si>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</si>
  <si>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</si>
  <si>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</si>
  <si>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</si>
  <si>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</si>
  <si>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</si>
  <si>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</si>
  <si>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</si>
  <si>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</si>
  <si>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</si>
  <si>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</si>
  <si>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</si>
  <si>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</si>
  <si>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</si>
  <si>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</si>
  <si>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</si>
  <si>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</si>
  <si>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</si>
  <si>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</si>
  <si>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</si>
  <si>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</si>
  <si>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</si>
  <si>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</si>
  <si>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</si>
  <si>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</si>
  <si>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</si>
  <si>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</si>
  <si>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</si>
  <si>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</si>
  <si>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</si>
  <si>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</si>
  <si>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</si>
  <si>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</si>
  <si>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</si>
  <si>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</si>
  <si>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</si>
  <si>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</si>
  <si>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</si>
  <si>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</si>
  <si>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</si>
  <si>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</si>
  <si>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</si>
  <si>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</si>
  <si>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</si>
  <si>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</si>
  <si>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</si>
  <si>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</si>
  <si>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</si>
  <si>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</si>
  <si>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</si>
  <si>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</si>
  <si>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</si>
  <si>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</si>
  <si>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</si>
  <si>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</si>
  <si>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</si>
  <si>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</si>
  <si>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</si>
  <si>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</si>
  <si>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</si>
  <si>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</si>
  <si>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</si>
  <si>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</si>
  <si>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</si>
  <si>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</si>
  <si>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</si>
  <si>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</si>
  <si>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</si>
  <si>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</si>
  <si>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</si>
  <si>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</si>
  <si>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</si>
  <si>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</si>
  <si>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</si>
  <si>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</si>
  <si>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</si>
  <si>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</si>
  <si>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</si>
  <si>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</si>
  <si>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</si>
  <si>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</si>
  <si>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</si>
  <si>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</si>
  <si>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</si>
  <si>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</si>
  <si>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</si>
  <si>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</si>
  <si>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</si>
  <si>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</si>
  <si>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</si>
  <si>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</si>
  <si>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</si>
  <si>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</si>
  <si>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</si>
  <si>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</si>
  <si>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</si>
  <si>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</si>
  <si>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</si>
  <si>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</si>
  <si>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</si>
  <si>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</si>
  <si>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</si>
  <si>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</si>
  <si>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</si>
  <si>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</si>
  <si>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</si>
  <si>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</si>
  <si>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</si>
  <si>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</si>
  <si>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</si>
  <si>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</si>
  <si>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</si>
  <si>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</si>
  <si>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</si>
  <si>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</si>
  <si>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</si>
  <si>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</si>
  <si>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</si>
  <si>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</si>
  <si>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</si>
  <si>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</si>
  <si>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</si>
  <si>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</si>
  <si>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</si>
  <si>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</si>
  <si>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</si>
  <si>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</si>
  <si>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</si>
  <si>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</si>
  <si>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</si>
  <si>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</si>
  <si>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</si>
  <si>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</si>
  <si>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</si>
  <si>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</si>
  <si>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</si>
  <si>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</si>
  <si>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</si>
  <si>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</si>
  <si>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</si>
  <si>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</si>
  <si>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</si>
  <si>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</si>
  <si>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</si>
  <si>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</si>
  <si>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</si>
  <si>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</si>
  <si>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</si>
  <si>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</si>
  <si>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</si>
  <si>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</si>
  <si>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</si>
  <si>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</si>
  <si>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</si>
  <si>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</si>
  <si>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</si>
  <si>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</si>
  <si>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</si>
  <si>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</si>
  <si>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</si>
  <si>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</si>
  <si>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</si>
  <si>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</si>
  <si>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</si>
  <si>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</si>
  <si>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</si>
  <si>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</si>
  <si>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</si>
  <si>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</si>
  <si>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</si>
  <si>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</si>
  <si>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</si>
  <si>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</si>
  <si>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</si>
  <si>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</si>
  <si>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</si>
  <si>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</si>
  <si>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</si>
  <si>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</si>
  <si>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</si>
  <si>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</si>
  <si>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</si>
  <si>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</si>
  <si>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</si>
  <si>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</si>
  <si>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</si>
  <si>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</si>
  <si>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</si>
  <si>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</si>
  <si>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</si>
  <si>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</si>
  <si>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</si>
  <si>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</si>
  <si>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</si>
  <si>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</si>
  <si>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</si>
  <si>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</si>
  <si>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</si>
  <si>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</si>
  <si>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</si>
  <si>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</si>
  <si>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</si>
  <si>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</si>
  <si>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</si>
  <si>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</si>
  <si>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</si>
  <si>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</si>
  <si>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</si>
  <si>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</si>
  <si>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</si>
  <si>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</si>
  <si>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</si>
  <si>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</si>
  <si>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</si>
  <si>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</si>
  <si>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</si>
  <si>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</si>
  <si>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</si>
  <si>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</si>
  <si>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</si>
  <si>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</si>
  <si>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</si>
  <si>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</si>
  <si>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</si>
  <si>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</si>
  <si>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</si>
  <si>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</si>
  <si>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</si>
  <si>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</si>
  <si>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</si>
  <si>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</si>
  <si>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</si>
  <si>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</si>
  <si>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</si>
  <si>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</si>
  <si>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</si>
  <si>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</si>
  <si>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</si>
  <si>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</si>
  <si>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</si>
  <si>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</si>
  <si>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</si>
  <si>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</si>
  <si>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</si>
  <si>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</si>
  <si>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</si>
  <si>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</si>
  <si>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</si>
  <si>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</si>
  <si>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</si>
  <si>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</si>
  <si>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</si>
  <si>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</si>
  <si>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</si>
  <si>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</si>
  <si>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</si>
  <si>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</si>
  <si>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</si>
  <si>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</si>
  <si>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</si>
  <si>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</si>
  <si>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</si>
  <si>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</si>
  <si>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</si>
  <si>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</si>
  <si>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</si>
  <si>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</si>
  <si>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</si>
  <si>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</si>
  <si>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</si>
  <si>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</si>
  <si>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</si>
  <si>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</si>
  <si>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</si>
  <si>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</si>
  <si>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</si>
  <si>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</si>
  <si>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</si>
  <si>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</si>
  <si>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</si>
  <si>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</si>
  <si>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</si>
  <si>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</si>
  <si>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</si>
  <si>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</si>
  <si>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</si>
  <si>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</si>
  <si>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</si>
  <si>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</si>
  <si>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</si>
  <si>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</si>
  <si>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</si>
  <si>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</si>
  <si>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</si>
  <si>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</si>
  <si>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</si>
  <si>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</si>
  <si>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</si>
  <si>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</si>
  <si>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</si>
  <si>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</si>
  <si>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</si>
  <si>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</si>
  <si>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</si>
  <si>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</si>
  <si>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</si>
  <si>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</si>
  <si>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</si>
  <si>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</si>
  <si>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</si>
  <si>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</si>
  <si>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</si>
  <si>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</si>
  <si>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</si>
  <si>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</si>
  <si>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</si>
  <si>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</si>
  <si>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</si>
  <si>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</si>
  <si>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</si>
  <si>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</si>
  <si>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</si>
  <si>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</si>
  <si>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</si>
  <si>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</si>
  <si>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</si>
  <si>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</si>
  <si>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</si>
  <si>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</si>
  <si>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</si>
  <si>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</si>
  <si>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</si>
  <si>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</si>
  <si>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</si>
  <si>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</si>
  <si>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</si>
  <si>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</si>
  <si>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</si>
  <si>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</si>
  <si>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</si>
  <si>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</si>
  <si>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</si>
  <si>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</si>
  <si>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</si>
  <si>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</si>
  <si>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</si>
  <si>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</si>
  <si>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</si>
  <si>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</si>
  <si>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</si>
  <si>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</si>
  <si>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</si>
  <si>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</si>
  <si>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</si>
  <si>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</si>
  <si>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</si>
  <si>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</si>
  <si>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</si>
  <si>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</si>
  <si>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</si>
  <si>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</si>
  <si>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</si>
  <si>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</si>
  <si>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</si>
  <si>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</si>
  <si>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</si>
  <si>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</si>
  <si>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</si>
  <si>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</si>
  <si>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</si>
  <si>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</si>
  <si>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</si>
  <si>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</si>
  <si>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</si>
  <si>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</si>
  <si>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</si>
  <si>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</si>
  <si>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</si>
  <si>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</si>
  <si>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</si>
  <si>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</si>
  <si>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</si>
  <si>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</si>
  <si>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</si>
  <si>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</si>
  <si>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</si>
  <si>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</si>
  <si>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</si>
  <si>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</si>
  <si>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</si>
  <si>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</si>
  <si>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</si>
  <si>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</si>
  <si>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</si>
  <si>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</si>
  <si>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</si>
  <si>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</si>
  <si>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</si>
  <si>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</si>
  <si>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</si>
  <si>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</si>
  <si>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</si>
  <si>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</si>
  <si>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</si>
  <si>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</si>
  <si>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</si>
  <si>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</si>
  <si>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</si>
  <si>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</si>
  <si>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</si>
  <si>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</si>
  <si>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</si>
  <si>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</si>
  <si>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</si>
  <si>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</si>
  <si>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</si>
  <si>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</si>
  <si>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</si>
  <si>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</si>
  <si>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</si>
  <si>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</si>
  <si>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</si>
  <si>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</si>
  <si>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</si>
  <si>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</si>
  <si>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</si>
  <si>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</si>
  <si>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</si>
  <si>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</si>
  <si>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</si>
  <si>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</si>
  <si>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</si>
  <si>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</si>
  <si>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</si>
  <si>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</si>
  <si>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</si>
  <si>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</si>
  <si>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</si>
  <si>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</si>
  <si>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</si>
  <si>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</si>
  <si>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</si>
  <si>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</si>
  <si>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</si>
  <si>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</si>
  <si>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</si>
  <si>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</si>
  <si>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</si>
  <si>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</si>
  <si>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</si>
  <si>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</si>
  <si>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</si>
  <si>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</si>
  <si>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</si>
  <si>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</si>
  <si>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</si>
  <si>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</si>
  <si>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</si>
  <si>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</si>
  <si>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</si>
  <si>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</si>
  <si>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</si>
  <si>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</si>
  <si>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</si>
  <si>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</si>
  <si>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</si>
  <si>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</si>
  <si>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</si>
  <si>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</si>
  <si>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</si>
  <si>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</si>
  <si>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</si>
  <si>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</si>
  <si>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</si>
  <si>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</si>
  <si>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</si>
  <si>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</si>
  <si>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</si>
  <si>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</si>
  <si>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</si>
  <si>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</si>
  <si>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</si>
  <si>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</si>
  <si>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</si>
  <si>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</si>
  <si>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</si>
  <si>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</si>
  <si>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</si>
  <si>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</si>
  <si>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</si>
  <si>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</si>
  <si>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</si>
  <si>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</si>
  <si>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</si>
  <si>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</si>
  <si>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</si>
  <si>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</si>
  <si>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</si>
  <si>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</si>
  <si>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</si>
  <si>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</si>
  <si>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</si>
  <si>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</si>
  <si>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</si>
  <si>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</si>
  <si>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</si>
  <si>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</si>
  <si>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</si>
  <si>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</si>
  <si>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</si>
  <si>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</si>
  <si>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</si>
  <si>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</si>
  <si>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</si>
  <si>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</si>
  <si>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</si>
  <si>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</si>
  <si>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</si>
  <si>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</si>
  <si>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</si>
  <si>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</si>
  <si>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</si>
  <si>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</si>
  <si>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</si>
  <si>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</si>
  <si>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</si>
  <si>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</si>
  <si>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</si>
  <si>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</si>
  <si>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</si>
  <si>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</si>
  <si>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</si>
  <si>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</si>
  <si>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</si>
  <si>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</si>
  <si>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</si>
  <si>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</si>
  <si>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</si>
  <si>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</si>
  <si>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</si>
  <si>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</si>
  <si>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</si>
  <si>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</si>
  <si>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</si>
  <si>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</si>
  <si>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</si>
  <si>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</si>
  <si>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</si>
  <si>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</si>
  <si>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</si>
  <si>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</si>
  <si>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</si>
  <si>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</si>
  <si>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</si>
  <si>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</si>
  <si>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</si>
  <si>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</si>
  <si>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</si>
  <si>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</si>
  <si>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</si>
  <si>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</si>
  <si>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</si>
  <si>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</si>
  <si>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</si>
  <si>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</si>
  <si>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</si>
  <si>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</si>
  <si>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</si>
  <si>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</si>
  <si>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</si>
  <si>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</si>
  <si>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</si>
  <si>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</si>
  <si>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</si>
  <si>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</si>
  <si>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</si>
  <si>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</si>
  <si>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</si>
  <si>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</si>
  <si>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</si>
  <si>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</si>
  <si>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</si>
  <si>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</si>
  <si>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</si>
  <si>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</si>
  <si>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</si>
  <si>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</si>
  <si>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</si>
  <si>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</si>
  <si>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</si>
  <si>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</si>
  <si>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</si>
  <si>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</si>
  <si>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</si>
  <si>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</si>
  <si>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</si>
  <si>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</si>
  <si>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</si>
  <si>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</si>
  <si>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</si>
  <si>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</si>
  <si>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</si>
  <si>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</si>
  <si>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</si>
  <si>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</si>
  <si>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</si>
  <si>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</si>
  <si>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</si>
  <si>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</si>
  <si>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</si>
  <si>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</si>
  <si>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</si>
  <si>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</si>
  <si>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</si>
  <si>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</si>
  <si>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</si>
  <si>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</si>
  <si>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</si>
  <si>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</si>
  <si>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</si>
  <si>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</si>
  <si>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</si>
  <si>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</si>
  <si>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</si>
  <si>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</si>
  <si>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</si>
  <si>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</si>
  <si>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</si>
  <si>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</si>
  <si>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</si>
  <si>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</si>
  <si>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</si>
  <si>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</si>
  <si>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</si>
  <si>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</si>
  <si>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</si>
  <si>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</si>
  <si>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</si>
  <si>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</si>
  <si>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</si>
  <si>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</si>
  <si>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</si>
  <si>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</si>
  <si>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</si>
  <si>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</si>
  <si>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</si>
  <si>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</si>
  <si>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</si>
  <si>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</si>
  <si>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</si>
  <si>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</si>
  <si>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</si>
  <si>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</si>
  <si>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</si>
  <si>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</si>
  <si>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</si>
  <si>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</si>
  <si>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</si>
  <si>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</si>
  <si>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</si>
  <si>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</si>
  <si>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</si>
  <si>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</si>
  <si>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</si>
  <si>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</si>
  <si>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</si>
  <si>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</si>
  <si>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</si>
  <si>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</si>
  <si>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</si>
  <si>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</si>
  <si>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</si>
  <si>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</si>
  <si>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</si>
  <si>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</si>
  <si>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</si>
  <si>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</si>
  <si>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</si>
  <si>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</si>
  <si>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</si>
  <si>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</si>
  <si>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</si>
  <si>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</si>
  <si>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</si>
  <si>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</si>
  <si>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</si>
  <si>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</si>
  <si>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</si>
  <si>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</si>
  <si>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</si>
  <si>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</si>
  <si>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</si>
  <si>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</si>
  <si>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</si>
  <si>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</si>
  <si>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</si>
  <si>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</si>
  <si>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</si>
  <si>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</si>
  <si>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</si>
  <si>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</si>
  <si>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</si>
  <si>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</si>
  <si>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</si>
  <si>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</si>
  <si>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</si>
  <si>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</si>
  <si>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</si>
  <si>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</si>
  <si>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</si>
  <si>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</si>
  <si>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</si>
  <si>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</si>
  <si>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</si>
  <si>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</si>
  <si>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</si>
  <si>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</si>
  <si>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</si>
  <si>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</si>
  <si>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</si>
  <si>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</si>
  <si>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</si>
  <si>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</si>
  <si>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</si>
  <si>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</si>
  <si>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</si>
  <si>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</si>
  <si>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</si>
  <si>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</si>
  <si>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</si>
  <si>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</si>
  <si>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</si>
  <si>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</si>
  <si>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</si>
  <si>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</si>
  <si>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</si>
  <si>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</si>
  <si>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</si>
  <si>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</si>
  <si>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</si>
  <si>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</si>
  <si>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</si>
  <si>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</si>
  <si>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</si>
  <si>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</si>
  <si>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</si>
  <si>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</si>
  <si>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</si>
  <si>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</si>
  <si>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</si>
  <si>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</si>
  <si>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</si>
  <si>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</si>
  <si>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</si>
  <si>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</si>
  <si>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</si>
  <si>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</si>
  <si>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</si>
  <si>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</si>
  <si>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</si>
  <si>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</si>
  <si>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</si>
  <si>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</si>
  <si>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</si>
  <si>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</si>
  <si>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</si>
  <si>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</si>
  <si>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</si>
  <si>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</si>
  <si>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</si>
  <si>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</si>
  <si>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</si>
  <si>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</si>
  <si>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</si>
  <si>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</si>
  <si>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</si>
  <si>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</si>
  <si>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</si>
  <si>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</si>
  <si>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</si>
  <si>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</si>
  <si>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</si>
  <si>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</si>
  <si>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</si>
  <si>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</si>
  <si>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</si>
  <si>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</si>
  <si>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</si>
  <si>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</si>
  <si>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</si>
  <si>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</si>
  <si>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</si>
  <si>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</si>
  <si>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</si>
  <si>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</si>
  <si>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</si>
  <si>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</si>
  <si>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</si>
  <si>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</si>
  <si>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</si>
  <si>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</si>
  <si>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</si>
  <si>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</si>
  <si>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</si>
  <si>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</si>
  <si>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</si>
  <si>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</si>
  <si>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</si>
  <si>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</si>
  <si>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</si>
  <si>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</si>
  <si>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</si>
  <si>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</si>
  <si>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</si>
  <si>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</si>
  <si>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</si>
  <si>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</si>
  <si>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</si>
  <si>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</si>
  <si>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</si>
  <si>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</si>
  <si>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</si>
  <si>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</si>
  <si>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</si>
  <si>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</si>
  <si>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</si>
  <si>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</si>
  <si>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</si>
  <si>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</si>
  <si>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</si>
  <si>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</si>
  <si>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</si>
  <si>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</si>
  <si>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</si>
  <si>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</si>
  <si>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</si>
  <si>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</si>
  <si>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</si>
  <si>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</si>
  <si>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</si>
  <si>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</si>
  <si>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</si>
  <si>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</si>
  <si>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</si>
  <si>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</si>
  <si>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</si>
  <si>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</si>
  <si>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</si>
  <si>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</si>
  <si>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</si>
  <si>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</si>
  <si>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</si>
  <si>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</si>
  <si>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</si>
  <si>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</si>
  <si>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</si>
  <si>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</si>
  <si>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</si>
  <si>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</si>
  <si>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</si>
  <si>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</si>
  <si>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</si>
  <si>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</si>
  <si>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</si>
  <si>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</si>
  <si>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</si>
  <si>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</si>
  <si>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</si>
  <si>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</si>
  <si>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</si>
  <si>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</si>
  <si>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</si>
  <si>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</si>
  <si>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</si>
  <si>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</si>
  <si>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</si>
  <si>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</si>
  <si>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</si>
  <si>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</si>
  <si>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</si>
  <si>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</si>
  <si>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</si>
  <si>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</si>
  <si>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</si>
  <si>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</si>
  <si>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</si>
  <si>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</si>
  <si>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</si>
  <si>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</si>
  <si>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</si>
  <si>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</si>
  <si>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</si>
  <si>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</si>
  <si>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</si>
  <si>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</si>
  <si>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</si>
  <si>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</si>
  <si>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</si>
  <si>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</si>
  <si>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</si>
  <si>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</si>
  <si>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</si>
  <si>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</si>
  <si>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</si>
  <si>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</si>
  <si>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</si>
  <si>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</si>
  <si>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</si>
  <si>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</si>
  <si>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</si>
  <si>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</si>
  <si>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</si>
  <si>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</si>
  <si>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</si>
  <si>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</si>
  <si>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</si>
  <si>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</si>
  <si>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</si>
  <si>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</si>
  <si>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</si>
  <si>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</si>
  <si>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</si>
  <si>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</si>
  <si>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</si>
  <si>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</si>
  <si>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</si>
  <si>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</si>
  <si>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</si>
  <si>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</si>
  <si>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</si>
  <si>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</si>
  <si>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</si>
  <si>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</si>
  <si>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</si>
  <si>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</si>
  <si>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</si>
  <si>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</si>
  <si>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</si>
  <si>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</si>
  <si>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</si>
  <si>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</si>
  <si>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</si>
  <si>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</si>
  <si>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</si>
  <si>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</si>
  <si>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</si>
  <si>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</si>
  <si>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</si>
  <si>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</si>
  <si>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</si>
  <si>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</si>
  <si>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</si>
  <si>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</si>
  <si>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</si>
  <si>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</si>
  <si>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</si>
  <si>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</si>
  <si>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</si>
  <si>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</si>
  <si>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</si>
  <si>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</si>
  <si>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</si>
  <si>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</si>
  <si>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</si>
  <si>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</si>
  <si>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</si>
  <si>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</si>
  <si>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</si>
  <si>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</si>
  <si>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</si>
  <si>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</si>
  <si>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</si>
  <si>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</si>
  <si>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</si>
  <si>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</si>
  <si>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</si>
  <si>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</si>
  <si>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</si>
  <si>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</si>
  <si>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</si>
  <si>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</si>
  <si>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</si>
  <si>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</si>
  <si>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</si>
  <si>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</si>
  <si>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</si>
  <si>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</si>
  <si>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</si>
  <si>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</si>
  <si>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</si>
  <si>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</si>
  <si>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</si>
  <si>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</si>
  <si>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</si>
  <si>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</si>
  <si>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</si>
  <si>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</si>
  <si>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</si>
  <si>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</si>
  <si>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</si>
  <si>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</si>
  <si>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</si>
  <si>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</si>
  <si>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</si>
  <si>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</si>
  <si>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</si>
  <si>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</si>
  <si>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</si>
  <si>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</si>
  <si>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</si>
  <si>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</si>
  <si>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</si>
  <si>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</si>
  <si>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</si>
  <si>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</si>
  <si>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</si>
  <si>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</si>
  <si>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</si>
  <si>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</si>
  <si>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</si>
  <si>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</si>
  <si>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</si>
  <si>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</si>
  <si>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</si>
  <si>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</si>
  <si>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</si>
  <si>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</si>
  <si>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</si>
  <si>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</si>
  <si>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</si>
  <si>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</si>
  <si>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</si>
  <si>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</si>
  <si>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</si>
  <si>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</si>
  <si>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</si>
  <si>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</si>
  <si>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</si>
  <si>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</si>
  <si>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</si>
  <si>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</si>
  <si>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</si>
  <si>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</si>
  <si>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</si>
  <si>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</si>
  <si>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</si>
  <si>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</si>
  <si>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</si>
  <si>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</si>
  <si>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</si>
  <si>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</si>
  <si>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</si>
  <si>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</si>
  <si>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</si>
  <si>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</si>
  <si>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</si>
  <si>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</si>
  <si>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</si>
  <si>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</si>
  <si>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</si>
  <si>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</si>
  <si>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</si>
  <si>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</si>
  <si>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</si>
  <si>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</si>
  <si>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</si>
  <si>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</si>
  <si>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</si>
  <si>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</si>
  <si>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</si>
  <si>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</si>
  <si>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</si>
  <si>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</si>
  <si>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</si>
  <si>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</si>
  <si>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</si>
  <si>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</si>
  <si>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</si>
  <si>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</si>
  <si>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</si>
  <si>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</si>
  <si>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</si>
  <si>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</si>
  <si>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</si>
  <si>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</si>
  <si>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</si>
  <si>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</si>
  <si>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</si>
  <si>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</si>
  <si>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</si>
  <si>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</si>
  <si>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</si>
  <si>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</si>
  <si>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</si>
  <si>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</si>
  <si>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</si>
  <si>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</si>
  <si>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</si>
  <si>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</si>
  <si>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</si>
  <si>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</si>
  <si>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</si>
  <si>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</si>
  <si>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</si>
  <si>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</si>
  <si>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</si>
  <si>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</si>
  <si>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</si>
  <si>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</si>
  <si>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</si>
  <si>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</si>
  <si>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</si>
  <si>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</si>
  <si>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</si>
  <si>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</si>
  <si>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</si>
  <si>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</si>
  <si>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</si>
  <si>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</si>
  <si>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</si>
  <si>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</si>
  <si>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</si>
  <si>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</si>
  <si>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</si>
  <si>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</si>
  <si>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</si>
  <si>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</si>
  <si>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</si>
  <si>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</si>
  <si>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</si>
  <si>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</si>
  <si>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</si>
  <si>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</si>
  <si>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</si>
  <si>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</si>
  <si>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</si>
  <si>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</si>
  <si>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</si>
  <si>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</si>
  <si>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</si>
  <si>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</si>
  <si>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</si>
  <si>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</si>
  <si>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</si>
  <si>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</si>
  <si>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</si>
  <si>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</si>
  <si>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</si>
  <si>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</si>
  <si>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</si>
  <si>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</si>
  <si>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</si>
  <si>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</si>
  <si>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</si>
  <si>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</si>
  <si>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</si>
  <si>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</si>
  <si>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</si>
  <si>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</si>
  <si>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</si>
  <si>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</si>
  <si>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</si>
  <si>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</si>
  <si>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</si>
  <si>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</si>
  <si>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</si>
  <si>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</si>
  <si>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</si>
  <si>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</si>
  <si>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</si>
  <si>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</si>
  <si>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</si>
  <si>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</si>
  <si>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</si>
  <si>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</si>
  <si>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</si>
  <si>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</si>
  <si>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</si>
  <si>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</si>
  <si>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</si>
  <si>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</si>
  <si>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</si>
  <si>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</si>
  <si>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</si>
  <si>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</si>
  <si>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</si>
  <si>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</si>
  <si>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</si>
  <si>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</si>
  <si>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</si>
  <si>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</si>
  <si>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</si>
  <si>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</si>
  <si>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</si>
  <si>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</si>
  <si>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</si>
  <si>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</si>
  <si>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</si>
  <si>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</si>
  <si>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</si>
  <si>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</si>
  <si>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</si>
  <si>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</si>
  <si>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</si>
  <si>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</si>
  <si>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</si>
  <si>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</si>
  <si>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</si>
  <si>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</si>
  <si>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</si>
  <si>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</si>
  <si>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</si>
  <si>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</si>
  <si>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</si>
  <si>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</si>
  <si>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</si>
  <si>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</si>
  <si>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</si>
  <si>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</si>
  <si>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</si>
  <si>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</si>
  <si>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</si>
  <si>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</si>
  <si>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</si>
  <si>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</si>
  <si>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</si>
  <si>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</si>
  <si>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</si>
  <si>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</si>
  <si>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</si>
  <si>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</si>
  <si>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</si>
  <si>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</si>
  <si>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</si>
  <si>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</si>
  <si>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</si>
  <si>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</si>
  <si>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</si>
  <si>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</si>
  <si>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</si>
  <si>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</si>
  <si>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</si>
  <si>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</si>
  <si>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</si>
  <si>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</si>
  <si>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</si>
  <si>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</si>
  <si>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</si>
  <si>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</si>
  <si>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</si>
  <si>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</si>
  <si>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</si>
  <si>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</si>
  <si>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</si>
  <si>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</si>
  <si>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</si>
  <si>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</si>
  <si>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</si>
  <si>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</si>
  <si>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</si>
  <si>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</si>
  <si>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</si>
  <si>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</si>
  <si>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</si>
  <si>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</si>
  <si>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</si>
  <si>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</si>
  <si>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</si>
  <si>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</si>
  <si>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</si>
  <si>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</si>
  <si>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</si>
  <si>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</si>
  <si>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</si>
  <si>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</si>
  <si>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</si>
  <si>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</si>
  <si>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</si>
  <si>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</si>
  <si>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</si>
  <si>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</si>
  <si>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</si>
  <si>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</si>
  <si>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</si>
  <si>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</si>
  <si>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</si>
  <si>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</si>
  <si>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</si>
  <si>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</si>
  <si>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</si>
  <si>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</si>
  <si>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</si>
  <si>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</si>
  <si>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</si>
  <si>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</si>
  <si>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</si>
  <si>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</si>
  <si>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</si>
  <si>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</si>
  <si>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</si>
  <si>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</si>
  <si>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</si>
  <si>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</si>
  <si>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</si>
  <si>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</si>
  <si>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</si>
  <si>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</si>
  <si>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</si>
  <si>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</si>
  <si>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</si>
  <si>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</si>
  <si>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</si>
  <si>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</si>
  <si>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</si>
  <si>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</si>
  <si>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</si>
  <si>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</si>
  <si>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</si>
  <si>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</si>
  <si>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</si>
  <si>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</si>
  <si>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</si>
  <si>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</si>
  <si>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</si>
  <si>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</si>
  <si>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</si>
  <si>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</si>
  <si>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</si>
  <si>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</si>
  <si>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</si>
  <si>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</si>
  <si>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</si>
  <si>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</si>
  <si>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</si>
  <si>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</si>
  <si>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</si>
  <si>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</si>
  <si>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</si>
  <si>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</si>
  <si>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</si>
  <si>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</si>
  <si>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</si>
  <si>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</si>
  <si>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</si>
  <si>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</si>
  <si>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</si>
  <si>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</si>
  <si>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</si>
  <si>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</si>
  <si>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</si>
  <si>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</si>
  <si>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</si>
  <si>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</si>
  <si>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</si>
  <si>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</si>
  <si>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</si>
  <si>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</si>
  <si>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</si>
  <si>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</si>
  <si>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</si>
  <si>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</si>
  <si>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</si>
  <si>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</si>
  <si>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</si>
  <si>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</si>
  <si>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</si>
  <si>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</si>
  <si>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</si>
  <si>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</si>
  <si>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</si>
  <si>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</si>
  <si>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</si>
  <si>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</si>
  <si>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</si>
  <si>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</si>
  <si>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</si>
  <si>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</si>
  <si>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</si>
  <si>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</si>
  <si>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</si>
  <si>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</si>
  <si>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</si>
  <si>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</si>
  <si>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</si>
  <si>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</si>
  <si>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</si>
  <si>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</si>
  <si>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</si>
  <si>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</si>
  <si>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</si>
  <si>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</si>
  <si>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</si>
  <si>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</si>
  <si>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</si>
  <si>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</si>
  <si>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</si>
  <si>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</si>
  <si>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</si>
  <si>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</si>
  <si>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</si>
  <si>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</si>
  <si>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</si>
  <si>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</si>
  <si>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</si>
  <si>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</si>
  <si>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</si>
  <si>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</si>
  <si>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</si>
  <si>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</si>
  <si>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</si>
  <si>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</si>
  <si>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</si>
  <si>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</si>
  <si>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</si>
  <si>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</si>
  <si>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</si>
  <si>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</si>
  <si>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</si>
  <si>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</si>
  <si>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</si>
  <si>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</si>
  <si>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</si>
  <si>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</si>
  <si>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</si>
  <si>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</si>
  <si>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</si>
  <si>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</si>
  <si>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</si>
  <si>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</si>
  <si>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</si>
  <si>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</si>
  <si>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</si>
  <si>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</si>
  <si>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</si>
  <si>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</si>
  <si>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</si>
  <si>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</si>
  <si>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</si>
  <si>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</si>
  <si>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</si>
  <si>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</si>
  <si>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</si>
  <si>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</si>
  <si>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</si>
  <si>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</si>
  <si>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</si>
  <si>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</si>
  <si>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</si>
  <si>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</si>
  <si>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</si>
  <si>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</si>
  <si>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</si>
  <si>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</si>
  <si>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</si>
  <si>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</si>
  <si>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</si>
  <si>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</si>
  <si>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</si>
  <si>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</si>
  <si>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</si>
  <si>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</si>
  <si>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</si>
  <si>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</si>
  <si>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</si>
  <si>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</si>
  <si>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</si>
  <si>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</si>
  <si>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</si>
  <si>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</si>
  <si>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</si>
  <si>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</si>
  <si>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</si>
  <si>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</si>
  <si>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</si>
  <si>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</si>
  <si>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</si>
  <si>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</si>
  <si>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</si>
  <si>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</si>
  <si>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</si>
  <si>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</si>
  <si>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</si>
  <si>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</si>
  <si>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</si>
  <si>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</si>
  <si>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</si>
  <si>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</si>
  <si>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</si>
  <si>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</si>
  <si>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</si>
  <si>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</si>
  <si>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</si>
  <si>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</si>
  <si>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</si>
  <si>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</si>
  <si>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</si>
  <si>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</si>
  <si>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</si>
  <si>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</si>
  <si>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</si>
  <si>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</si>
  <si>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</si>
  <si>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</si>
  <si>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</si>
  <si>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</si>
  <si>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</si>
  <si>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</si>
  <si>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</si>
  <si>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</si>
  <si>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</si>
  <si>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</si>
  <si>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</si>
  <si>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</si>
  <si>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</si>
  <si>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</si>
  <si>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</si>
  <si>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</si>
  <si>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</si>
  <si>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</si>
  <si>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</si>
  <si>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</si>
  <si>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</si>
  <si>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</si>
  <si>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</si>
  <si>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</si>
  <si>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</si>
  <si>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</si>
  <si>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</si>
  <si>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</si>
  <si>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</si>
  <si>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</si>
  <si>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</si>
  <si>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</si>
  <si>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</si>
  <si>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</si>
  <si>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</si>
  <si>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</si>
  <si>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</si>
  <si>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</si>
  <si>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</si>
  <si>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</si>
  <si>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</si>
  <si>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</si>
  <si>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</si>
  <si>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</si>
  <si>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</si>
  <si>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</si>
  <si>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</si>
  <si>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</si>
  <si>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</si>
  <si>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</si>
  <si>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</si>
  <si>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</si>
  <si>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</si>
  <si>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</si>
  <si>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</si>
  <si>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</si>
  <si>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</si>
  <si>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</si>
  <si>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</si>
  <si>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</si>
  <si>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</si>
  <si>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</si>
  <si>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</si>
  <si>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</si>
  <si>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</si>
  <si>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</si>
  <si>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</si>
  <si>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</si>
  <si>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</si>
  <si>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</si>
  <si>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</si>
  <si>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</si>
  <si>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</si>
  <si>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</si>
  <si>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</si>
  <si>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</si>
  <si>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</si>
  <si>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</si>
  <si>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</si>
  <si>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</si>
  <si>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</si>
  <si>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</si>
  <si>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</si>
  <si>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</si>
  <si>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</si>
  <si>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</si>
  <si>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</si>
  <si>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</si>
  <si>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</si>
  <si>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</si>
  <si>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</si>
  <si>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</si>
  <si>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</si>
  <si>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</si>
  <si>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</si>
  <si>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</si>
  <si>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</si>
  <si>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</si>
  <si>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</si>
  <si>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</si>
  <si>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</si>
  <si>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</si>
  <si>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</si>
  <si>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</si>
  <si>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</si>
  <si>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</si>
  <si>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</si>
  <si>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</si>
  <si>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</si>
  <si>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</si>
  <si>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</si>
  <si>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</si>
  <si>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</si>
  <si>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</si>
  <si>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</si>
  <si>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</si>
  <si>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</si>
  <si>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</si>
  <si>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</si>
  <si>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</si>
  <si>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</si>
  <si>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</si>
  <si>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</si>
  <si>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</si>
  <si>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</si>
  <si>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</si>
  <si>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</si>
  <si>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</si>
  <si>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</si>
  <si>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</si>
  <si>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</si>
  <si>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</si>
  <si>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</si>
  <si>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</si>
  <si>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</si>
  <si>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</si>
  <si>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</si>
  <si>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</si>
  <si>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</si>
  <si>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</si>
  <si>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</si>
  <si>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</si>
  <si>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</si>
  <si>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</si>
  <si>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</si>
  <si>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</si>
  <si>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</si>
  <si>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</si>
  <si>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</si>
  <si>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</si>
  <si>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</si>
  <si>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</si>
  <si>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</si>
  <si>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</si>
  <si>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</si>
  <si>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</si>
  <si>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</si>
  <si>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</si>
  <si>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</si>
  <si>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</si>
  <si>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</si>
  <si>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</si>
  <si>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</si>
  <si>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</si>
  <si>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</si>
  <si>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</si>
  <si>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</si>
  <si>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</si>
  <si>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</si>
  <si>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</si>
  <si>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</si>
  <si>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</si>
  <si>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</si>
  <si>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</si>
  <si>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</si>
  <si>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</si>
  <si>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</si>
  <si>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</si>
  <si>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</si>
  <si>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</si>
  <si>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</si>
  <si>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</si>
  <si>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</si>
  <si>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</si>
  <si>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</si>
  <si>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</si>
  <si>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</si>
  <si>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</si>
  <si>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</si>
  <si>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</si>
  <si>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</si>
  <si>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</si>
  <si>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</si>
  <si>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</si>
  <si>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</si>
  <si>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</si>
  <si>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</si>
  <si>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</si>
  <si>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</si>
  <si>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</si>
  <si>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</si>
  <si>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</si>
  <si>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</si>
  <si>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</si>
  <si>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</si>
  <si>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</si>
  <si>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</si>
  <si>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</si>
  <si>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</si>
  <si>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</si>
  <si>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</si>
  <si>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</si>
  <si>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</si>
  <si>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</si>
  <si>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</si>
  <si>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</si>
  <si>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</si>
  <si>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</si>
  <si>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</si>
  <si>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</si>
  <si>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</si>
  <si>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</si>
  <si>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</si>
  <si>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</si>
  <si>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</si>
  <si>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</si>
  <si>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</si>
  <si>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</si>
  <si>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</si>
  <si>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</si>
  <si>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</si>
  <si>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</si>
  <si>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</si>
  <si>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</si>
  <si>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</si>
  <si>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</si>
  <si>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</si>
  <si>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</si>
  <si>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</si>
  <si>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</si>
  <si>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</si>
  <si>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</si>
  <si>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</si>
  <si>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</si>
  <si>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</si>
  <si>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</si>
  <si>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</si>
  <si>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</si>
  <si>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</si>
  <si>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</si>
  <si>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</si>
  <si>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</si>
  <si>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</si>
  <si>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</si>
  <si>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</si>
  <si>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</si>
  <si>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</si>
  <si>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</si>
  <si>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</si>
  <si>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</si>
  <si>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</si>
  <si>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</si>
  <si>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</si>
  <si>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</si>
  <si>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</si>
  <si>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</si>
  <si>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</si>
  <si>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</si>
  <si>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</si>
  <si>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</si>
  <si>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</si>
  <si>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</si>
  <si>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</si>
  <si>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</si>
  <si>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</si>
  <si>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</si>
  <si>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</si>
  <si>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</si>
  <si>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</si>
  <si>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</si>
  <si>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</si>
  <si>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</si>
  <si>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</si>
  <si>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</si>
  <si>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</si>
  <si>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</si>
  <si>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</si>
  <si>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</si>
  <si>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</si>
  <si>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</si>
  <si>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</si>
  <si>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</si>
  <si>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</si>
  <si>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</si>
  <si>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</si>
  <si>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</si>
  <si>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</si>
  <si>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</si>
  <si>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</si>
  <si>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</si>
  <si>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</si>
  <si>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</si>
  <si>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</si>
  <si>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</si>
  <si>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</si>
  <si>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</si>
  <si>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</si>
  <si>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</si>
  <si>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</si>
  <si>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</si>
  <si>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</si>
  <si>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</si>
  <si>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</si>
  <si>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</si>
  <si>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</si>
  <si>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</si>
  <si>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</si>
  <si>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</si>
  <si>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</si>
  <si>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</si>
  <si>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</si>
  <si>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</si>
  <si>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</si>
  <si>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</si>
  <si>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</si>
  <si>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</si>
  <si>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</si>
  <si>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</si>
  <si>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</si>
  <si>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</si>
  <si>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</si>
  <si>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</si>
  <si>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</si>
  <si>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</si>
  <si>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</si>
  <si>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</si>
  <si>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</si>
  <si>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</si>
  <si>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</si>
  <si>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</si>
  <si>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</si>
  <si>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</si>
  <si>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</si>
  <si>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</si>
  <si>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</si>
  <si>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</si>
  <si>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</si>
  <si>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</si>
  <si>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</si>
  <si>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</si>
  <si>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</si>
  <si>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</si>
  <si>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</si>
  <si>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</si>
  <si>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</si>
  <si>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</si>
  <si>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</si>
  <si>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</si>
  <si>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</si>
  <si>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</si>
  <si>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</si>
  <si>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</si>
  <si>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</si>
  <si>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</si>
  <si>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</si>
  <si>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</si>
  <si>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</si>
  <si>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</si>
  <si>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</si>
  <si>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</si>
  <si>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</si>
  <si>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</si>
  <si>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</si>
  <si>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</si>
  <si>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</si>
  <si>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</si>
  <si>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</si>
  <si>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</si>
  <si>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</si>
  <si>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</si>
  <si>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</si>
  <si>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</si>
  <si>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</si>
  <si>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</si>
  <si>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</si>
  <si>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</si>
  <si>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</si>
  <si>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</si>
  <si>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</si>
  <si>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</si>
  <si>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</si>
  <si>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</si>
  <si>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</si>
  <si>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</si>
  <si>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</si>
  <si>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</si>
  <si>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</si>
  <si>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</si>
  <si>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</si>
  <si>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</si>
  <si>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</si>
  <si>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</si>
  <si>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</si>
  <si>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</si>
  <si>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</si>
  <si>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</si>
  <si>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</si>
  <si>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</si>
  <si>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</si>
  <si>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</si>
  <si>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</si>
  <si>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</si>
  <si>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</si>
  <si>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</si>
  <si>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</si>
  <si>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</si>
  <si>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</si>
  <si>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</si>
  <si>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</si>
  <si>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</si>
  <si>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</si>
  <si>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</si>
  <si>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</si>
  <si>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</si>
  <si>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</si>
  <si>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</si>
  <si>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</si>
  <si>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</si>
  <si>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</si>
  <si>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</si>
  <si>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</si>
  <si>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</si>
  <si>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</si>
  <si>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</si>
  <si>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</si>
  <si>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</si>
  <si>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</si>
  <si>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</si>
  <si>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</si>
  <si>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</si>
  <si>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</si>
  <si>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</si>
  <si>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</si>
  <si>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</si>
  <si>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</si>
  <si>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</si>
  <si>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</si>
  <si>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</si>
  <si>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</si>
  <si>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</si>
  <si>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</si>
  <si>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</si>
  <si>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</si>
  <si>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</si>
  <si>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</si>
  <si>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</si>
  <si>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</si>
  <si>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</si>
  <si>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</si>
  <si>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</si>
  <si>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</si>
  <si>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</si>
  <si>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</si>
  <si>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</si>
  <si>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</si>
  <si>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</si>
  <si>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</si>
  <si>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</si>
  <si>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</si>
  <si>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</si>
  <si>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</si>
  <si>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</si>
  <si>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</si>
  <si>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</si>
  <si>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</si>
  <si>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</si>
  <si>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</si>
  <si>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</si>
  <si>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</si>
  <si>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</si>
  <si>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</si>
  <si>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</si>
  <si>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</si>
  <si>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</si>
  <si>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</si>
  <si>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</si>
  <si>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</si>
  <si>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</si>
  <si>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</si>
  <si>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</si>
  <si>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</si>
  <si>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</si>
  <si>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</si>
  <si>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</si>
  <si>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</si>
  <si>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</si>
  <si>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</si>
  <si>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</si>
  <si>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</si>
  <si>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</si>
  <si>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</si>
  <si>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</si>
  <si>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</si>
  <si>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</si>
  <si>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</si>
  <si>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</si>
  <si>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</si>
  <si>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</si>
  <si>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</si>
  <si>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</si>
  <si>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</si>
  <si>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</si>
  <si>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</si>
  <si>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</si>
  <si>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</si>
  <si>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</si>
  <si>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</si>
  <si>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</si>
  <si>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</si>
  <si>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</si>
  <si>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</si>
  <si>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</si>
  <si>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</si>
  <si>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</si>
  <si>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</si>
  <si>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</si>
  <si>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</si>
  <si>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</si>
  <si>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</si>
  <si>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</si>
  <si>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</si>
  <si>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</si>
  <si>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</si>
  <si>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</si>
  <si>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</si>
  <si>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</si>
  <si>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</si>
  <si>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</si>
  <si>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</si>
  <si>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</si>
  <si>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</si>
  <si>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</si>
  <si>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</si>
  <si>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</si>
  <si>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</si>
  <si>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</si>
  <si>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</si>
  <si>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</si>
  <si>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</si>
  <si>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</si>
  <si>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</si>
  <si>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</si>
  <si>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</si>
  <si>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</si>
  <si>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</si>
  <si>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</si>
  <si>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</si>
  <si>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</si>
  <si>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</si>
  <si>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</si>
  <si>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</si>
  <si>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</si>
  <si>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</si>
  <si>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</si>
  <si>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</si>
  <si>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</si>
  <si>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</si>
  <si>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</si>
  <si>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</si>
  <si>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</si>
  <si>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</si>
  <si>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</si>
  <si>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</si>
  <si>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</si>
  <si>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</si>
  <si>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</si>
  <si>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</si>
  <si>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</si>
  <si>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</si>
  <si>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</si>
  <si>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</si>
  <si>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</si>
  <si>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</si>
  <si>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</si>
  <si>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</si>
  <si>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</si>
  <si>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</si>
  <si>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</si>
  <si>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</si>
  <si>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</si>
  <si>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</si>
  <si>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</si>
  <si>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</si>
  <si>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</si>
  <si>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</si>
  <si>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</si>
  <si>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</si>
  <si>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</si>
  <si>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</si>
  <si>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</si>
  <si>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</si>
  <si>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</si>
  <si>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</si>
  <si>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</si>
  <si>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</si>
  <si>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</si>
  <si>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</si>
  <si>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</si>
  <si>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</si>
  <si>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</si>
  <si>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</si>
  <si>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</si>
  <si>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</si>
  <si>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</si>
  <si>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</si>
  <si>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</si>
  <si>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</si>
  <si>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</si>
  <si>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</si>
  <si>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</si>
  <si>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</si>
  <si>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</si>
  <si>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</si>
  <si>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</si>
  <si>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</si>
  <si>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</si>
  <si>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</si>
  <si>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</si>
  <si>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</si>
  <si>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</si>
  <si>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</si>
  <si>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</si>
  <si>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</si>
  <si>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</si>
  <si>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</si>
  <si>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</si>
  <si>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</si>
  <si>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</si>
  <si>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</si>
  <si>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</si>
  <si>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</si>
  <si>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</si>
  <si>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</si>
  <si>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</si>
  <si>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</si>
  <si>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</si>
  <si>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</si>
  <si>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</si>
  <si>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</si>
  <si>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</si>
  <si>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</si>
  <si>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</si>
  <si>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</si>
  <si>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</si>
  <si>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</si>
  <si>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</si>
  <si>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</si>
  <si>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</si>
  <si>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</si>
  <si>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</si>
  <si>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</si>
  <si>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</si>
  <si>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</si>
  <si>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</si>
  <si>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</si>
  <si>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</si>
  <si>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</si>
  <si>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</si>
  <si>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</si>
  <si>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</si>
  <si>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</si>
  <si>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</si>
  <si>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</si>
  <si>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</si>
  <si>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</si>
  <si>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</si>
  <si>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</si>
  <si>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</si>
  <si>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</si>
  <si>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</si>
  <si>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</si>
  <si>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</si>
  <si>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</si>
  <si>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</si>
  <si>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</si>
  <si>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</si>
  <si>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</si>
  <si>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</si>
  <si>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</si>
  <si>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</si>
  <si>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</si>
  <si>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</si>
  <si>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</si>
  <si>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</si>
  <si>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</si>
  <si>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</si>
  <si>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</si>
  <si>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</si>
  <si>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</si>
  <si>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</si>
  <si>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</si>
  <si>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</si>
  <si>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</si>
  <si>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</si>
  <si>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</si>
  <si>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</si>
  <si>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</si>
  <si>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</si>
  <si>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</si>
  <si>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</si>
  <si>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</si>
  <si>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</si>
  <si>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</si>
  <si>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</si>
  <si>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</si>
  <si>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</si>
  <si>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</si>
  <si>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</si>
  <si>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</si>
  <si>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</si>
  <si>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</si>
  <si>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</si>
  <si>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</si>
  <si>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</si>
  <si>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</si>
  <si>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</si>
  <si>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</si>
  <si>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</si>
  <si>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</si>
  <si>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</si>
  <si>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</si>
  <si>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</si>
  <si>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</si>
  <si>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</si>
  <si>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</si>
  <si>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</si>
  <si>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</si>
  <si>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</si>
  <si>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</si>
  <si>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</si>
  <si>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</si>
  <si>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</si>
  <si>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</si>
  <si>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</si>
  <si>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</si>
  <si>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</si>
  <si>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</si>
  <si>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</si>
  <si>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</si>
  <si>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</si>
  <si>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</si>
  <si>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</si>
  <si>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</si>
  <si>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</si>
  <si>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</si>
  <si>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</si>
  <si>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</si>
  <si>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</si>
  <si>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</si>
  <si>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</si>
  <si>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</si>
  <si>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</si>
  <si>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</si>
  <si>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</si>
  <si>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</si>
  <si>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</si>
  <si>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</si>
  <si>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</si>
  <si>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</si>
  <si>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</si>
  <si>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</si>
  <si>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</si>
  <si>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</si>
  <si>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</si>
  <si>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</si>
  <si>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</si>
  <si>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</si>
  <si>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</si>
  <si>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</si>
  <si>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</si>
  <si>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</si>
  <si>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</si>
  <si>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</si>
  <si>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</si>
  <si>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</si>
  <si>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</si>
  <si>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</si>
  <si>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</si>
  <si>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</si>
  <si>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</si>
  <si>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</si>
  <si>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</si>
  <si>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</si>
  <si>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</si>
  <si>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</si>
  <si>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</si>
  <si>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</si>
  <si>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</si>
  <si>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</si>
  <si>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</si>
  <si>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</si>
  <si>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</si>
  <si>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</si>
  <si>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</si>
  <si>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</si>
  <si>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</si>
  <si>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</si>
  <si>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</si>
  <si>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</si>
  <si>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</si>
  <si>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</si>
  <si>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</si>
  <si>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</si>
  <si>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</si>
  <si>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</si>
  <si>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</si>
  <si>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</si>
  <si>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</si>
  <si>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</si>
  <si>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</si>
  <si>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</si>
  <si>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</si>
  <si>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</si>
  <si>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</si>
  <si>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</si>
  <si>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</si>
  <si>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</si>
  <si>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</si>
  <si>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</si>
  <si>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</si>
  <si>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</si>
  <si>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</si>
  <si>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</si>
  <si>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</si>
  <si>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</si>
  <si>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</si>
  <si>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</si>
  <si>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</si>
  <si>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</si>
  <si>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</si>
  <si>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</si>
  <si>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</si>
  <si>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</si>
  <si>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</si>
  <si>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</si>
  <si>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</si>
  <si>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</si>
  <si>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</si>
  <si>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</si>
  <si>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</si>
  <si>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</si>
  <si>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</si>
  <si>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</si>
  <si>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</si>
  <si>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</si>
  <si>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</si>
  <si>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</si>
  <si>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</si>
  <si>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</si>
  <si>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</si>
  <si>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</si>
  <si>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</si>
  <si>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</si>
  <si>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</si>
  <si>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</si>
  <si>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</si>
  <si>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</si>
  <si>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</si>
  <si>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</si>
  <si>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</si>
  <si>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</si>
  <si>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</si>
  <si>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</si>
  <si>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正评</t>
    <phoneticPr fontId="134" type="noConversion"/>
  </si>
  <si>
    <t>总价</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</si>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</sst>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3384</v>
      </c>
      <c r="C4" s="2376">
        <f ca="1">SUMIF(注册房地产估价师,B4,估价师及机构信息!B3:B24)</f>
        <v>1120070131</v>
      </c>
      <c r="D4" s="2375" t="s">
        <v>3385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494" t="s">
        <v>2177</v>
      </c>
      <c r="E8" s="2391" t="s">
        <v>3387</v>
      </c>
      <c r="F8" s="2392"/>
      <c r="G8" s="2663"/>
      <c r="H8" s="2663"/>
      <c r="I8" s="2663"/>
      <c r="J8" s="2439"/>
      <c r="K8" s="2614"/>
      <c r="L8" s="2613"/>
      <c r="M8" s="2613"/>
      <c r="N8" s="2439"/>
      <c r="O8" s="2450"/>
      <c r="P8" s="2439"/>
      <c r="Q8" s="2439"/>
      <c r="R8" s="2439"/>
    </row>
    <row r="9" spans="1:30" ht="13.5" thickBot="1">
      <c r="A9" s="2393" t="s">
        <v>2178</v>
      </c>
      <c r="B9" s="2394" t="s">
        <v>3387</v>
      </c>
      <c r="C9" s="2395"/>
      <c r="D9" s="3495"/>
      <c r="E9" s="2394"/>
      <c r="F9" s="2396"/>
      <c r="G9" s="2665"/>
      <c r="H9" s="2665"/>
      <c r="I9" s="2665"/>
      <c r="J9" s="2439"/>
      <c r="K9" s="2616"/>
      <c r="L9" s="2613"/>
      <c r="M9" s="2613"/>
      <c r="N9" s="2439"/>
      <c r="O9" s="2450"/>
      <c r="P9" s="2439"/>
      <c r="Q9" s="2439"/>
      <c r="R9" s="2439"/>
    </row>
    <row r="10" spans="1:30" ht="13.5" thickTop="1">
      <c r="A10" s="2397" t="s">
        <v>2179</v>
      </c>
      <c r="B10" s="2398" t="s">
        <v>3388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0</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41" sqref="B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topLeftCell="A4" zoomScale="80" zoomScaleNormal="80" zoomScaleSheetLayoutView="80" workbookViewId="0">
      <selection activeCell="N21" sqref="N21"/>
    </sheetView>
  </sheetViews>
  <sheetFormatPr defaultColWidth="9" defaultRowHeight="13.5"/>
  <cols>
    <col min="1" max="1" width="25" style="2513" customWidth="1"/>
    <col min="2" max="9" width="15.75" style="2513" customWidth="1"/>
    <col min="10" max="16384" width="9" style="2513"/>
  </cols>
  <sheetData>
    <row r="1" spans="1:12" ht="16.5">
      <c r="A1" s="2512" t="s">
        <v>665</v>
      </c>
      <c r="B1" s="2512">
        <f>SUM(B14:B23)</f>
        <v>1172.6099999999999</v>
      </c>
      <c r="C1" s="2686"/>
      <c r="D1" s="2686"/>
      <c r="E1" s="2686"/>
      <c r="F1" s="2686"/>
      <c r="G1" s="2687"/>
      <c r="H1" s="2688"/>
      <c r="I1" s="2688"/>
      <c r="J1" s="2688"/>
      <c r="K1" s="2688"/>
    </row>
    <row r="2" spans="1:12" ht="16.5">
      <c r="A2" s="2512" t="s">
        <v>653</v>
      </c>
      <c r="B2" s="2512">
        <f>SUM(C14:C23)</f>
        <v>0</v>
      </c>
      <c r="C2" s="2686"/>
      <c r="D2" s="2686"/>
      <c r="E2" s="2686"/>
      <c r="F2" s="2686"/>
      <c r="G2" s="2687"/>
      <c r="H2" s="2688"/>
      <c r="I2" s="2688"/>
      <c r="J2" s="2688"/>
      <c r="K2" s="2688"/>
    </row>
    <row r="3" spans="1:12" ht="16.5">
      <c r="A3" s="2512" t="s">
        <v>662</v>
      </c>
      <c r="B3" s="2514">
        <f>项目基本情况!D3</f>
        <v>0</v>
      </c>
      <c r="C3" s="2686"/>
      <c r="D3" s="2686"/>
      <c r="E3" s="2686"/>
      <c r="F3" s="2686"/>
      <c r="G3" s="2687"/>
      <c r="H3" s="2688"/>
      <c r="I3" s="2688"/>
      <c r="J3" s="2688"/>
      <c r="K3" s="2688"/>
    </row>
    <row r="4" spans="1:12" ht="33">
      <c r="A4" s="2512" t="s">
        <v>661</v>
      </c>
      <c r="B4" s="2512" t="s">
        <v>660</v>
      </c>
      <c r="C4" s="2512" t="s">
        <v>659</v>
      </c>
      <c r="D4" s="2512" t="s">
        <v>658</v>
      </c>
      <c r="E4" s="2686"/>
      <c r="F4" s="2687"/>
      <c r="G4" s="2687"/>
      <c r="H4" s="2688"/>
      <c r="I4" s="2688"/>
      <c r="J4" s="2688"/>
      <c r="K4" s="2688"/>
    </row>
    <row r="5" spans="1:12" ht="16.5">
      <c r="A5" s="2512" t="s">
        <v>657</v>
      </c>
      <c r="B5" s="2512">
        <f>SUM(D14:D23)</f>
        <v>2791</v>
      </c>
      <c r="C5" s="2512">
        <f ca="1">IF(B5=D14,结果表!H102,ROUND(B5*10000/$B$1,0))</f>
        <v>0</v>
      </c>
      <c r="D5" s="2512" t="e">
        <f>ROUND(B5*10000/$B$2,0)</f>
        <v>#DIV/0!</v>
      </c>
      <c r="E5" s="2686"/>
      <c r="F5" s="2687"/>
      <c r="G5" s="2687"/>
      <c r="H5" s="2688"/>
      <c r="I5" s="2688"/>
      <c r="J5" s="2688"/>
      <c r="K5" s="2688"/>
    </row>
    <row r="6" spans="1:12" ht="16.5">
      <c r="A6" s="2512" t="s">
        <v>656</v>
      </c>
      <c r="B6" s="2512">
        <f>SUM(G14:G23)</f>
        <v>0</v>
      </c>
      <c r="C6" s="2512">
        <f ca="1">IF(B6=G14,结果表!H108,ROUND(B6*10000/$B$1,0))</f>
        <v>0</v>
      </c>
      <c r="D6" s="2512" t="e">
        <f>ROUND(B6*10000/$B$2,0)</f>
        <v>#DIV/0!</v>
      </c>
      <c r="E6" s="2686"/>
      <c r="F6" s="2687"/>
      <c r="G6" s="2687"/>
      <c r="H6" s="2688" t="s">
        <v>3391</v>
      </c>
      <c r="I6" s="2688" t="s">
        <v>3392</v>
      </c>
      <c r="J6" s="2688"/>
      <c r="K6" s="2688"/>
    </row>
    <row r="7" spans="1:12" ht="16.5">
      <c r="A7" s="2512" t="s">
        <v>664</v>
      </c>
      <c r="B7" s="2512">
        <f>SUM(H14:H23)</f>
        <v>0</v>
      </c>
      <c r="C7" s="2512" t="str">
        <f>IF(B7=H14,结果表!H110,ROUND(B7*10000/$B$1,0))</f>
        <v>——</v>
      </c>
      <c r="D7" s="2512" t="e">
        <f>ROUND(B7*10000/$B$2,0)</f>
        <v>#DIV/0!</v>
      </c>
      <c r="E7" s="2686"/>
      <c r="F7" s="2687"/>
      <c r="G7" s="2687" t="s">
        <v>3390</v>
      </c>
      <c r="H7" s="2688">
        <v>3060.36</v>
      </c>
      <c r="I7" s="2688">
        <v>26099</v>
      </c>
      <c r="J7" s="2688"/>
      <c r="K7" s="2688"/>
    </row>
    <row r="8" spans="1:12" ht="16.5">
      <c r="A8" s="2512" t="s">
        <v>587</v>
      </c>
      <c r="B8" s="2512">
        <f>SUM(I14:I23)</f>
        <v>0</v>
      </c>
      <c r="C8" s="2512" t="str">
        <f>IF(B8=I14,结果表!H112,ROUND(B8*10000/$B$1,0))</f>
        <v>——</v>
      </c>
      <c r="D8" s="2512" t="e">
        <f>ROUND(B8*10000/$B$2,0)</f>
        <v>#DIV/0!</v>
      </c>
      <c r="E8" s="2686"/>
      <c r="F8" s="2687"/>
      <c r="G8" s="2687"/>
      <c r="H8" s="2688">
        <f>D14/H7</f>
        <v>0.91198421100785521</v>
      </c>
      <c r="I8" s="2688">
        <f>E14/I7</f>
        <v>0.91191233380589298</v>
      </c>
      <c r="J8" s="2688"/>
      <c r="K8" s="2688"/>
    </row>
    <row r="9" spans="1:12" ht="16.5">
      <c r="A9" s="2512" t="s">
        <v>655</v>
      </c>
      <c r="B9" s="2520"/>
      <c r="C9" s="2686"/>
      <c r="D9" s="2686"/>
      <c r="E9" s="2686"/>
      <c r="F9" s="2687"/>
      <c r="G9" s="2687"/>
      <c r="H9" s="2688"/>
      <c r="I9" s="2688"/>
      <c r="J9" s="2688"/>
      <c r="K9" s="2688"/>
    </row>
    <row r="10" spans="1:12" ht="16.5">
      <c r="A10" s="2512" t="s">
        <v>654</v>
      </c>
      <c r="B10" s="2512">
        <f>IF(E10="",0,ROUND(B1*(E10*365/G10)/10000,0))</f>
        <v>0</v>
      </c>
      <c r="C10" s="2512" t="s">
        <v>3360</v>
      </c>
      <c r="D10" s="2512" t="s">
        <v>3361</v>
      </c>
      <c r="E10" s="3441"/>
      <c r="F10" s="3445" t="s">
        <v>3362</v>
      </c>
      <c r="G10" s="3442"/>
      <c r="H10" s="2688">
        <f>H7/D14</f>
        <v>1.0965102113937657</v>
      </c>
      <c r="I10" s="2688"/>
      <c r="J10" s="2688"/>
      <c r="K10" s="2688"/>
    </row>
    <row r="11" spans="1:12" ht="16.5">
      <c r="A11" s="2512" t="s">
        <v>670</v>
      </c>
      <c r="B11" s="2520"/>
      <c r="C11" s="2686"/>
      <c r="D11" s="2686"/>
      <c r="E11" s="2686"/>
      <c r="F11" s="2687"/>
      <c r="G11" s="2687"/>
      <c r="H11" s="2688"/>
      <c r="I11" s="2688"/>
      <c r="J11" s="2688"/>
      <c r="K11" s="2688"/>
    </row>
    <row r="12" spans="1:12" ht="16.5">
      <c r="A12" s="2686"/>
      <c r="B12" s="2686"/>
      <c r="C12" s="2686"/>
      <c r="D12" s="2686"/>
      <c r="E12" s="2686"/>
      <c r="F12" s="2687"/>
      <c r="G12" s="2687"/>
      <c r="H12" s="2688"/>
      <c r="I12" s="2688"/>
      <c r="J12" s="2688"/>
      <c r="K12" s="2688"/>
    </row>
    <row r="13" spans="1:12" ht="33">
      <c r="A13" s="2515" t="s">
        <v>669</v>
      </c>
      <c r="B13" s="2516" t="s">
        <v>666</v>
      </c>
      <c r="C13" s="2516" t="s">
        <v>668</v>
      </c>
      <c r="D13" s="2516" t="s">
        <v>667</v>
      </c>
      <c r="E13" s="2512" t="s">
        <v>659</v>
      </c>
      <c r="F13" s="2512" t="s">
        <v>658</v>
      </c>
      <c r="G13" s="2516" t="s">
        <v>652</v>
      </c>
      <c r="H13" s="2516" t="s">
        <v>663</v>
      </c>
      <c r="I13" s="2516" t="s">
        <v>651</v>
      </c>
      <c r="J13" s="2687"/>
      <c r="K13" s="2688"/>
    </row>
    <row r="14" spans="1:12" ht="16.5">
      <c r="A14" s="2517" t="s">
        <v>650</v>
      </c>
      <c r="B14" s="2518">
        <v>1172.6099999999999</v>
      </c>
      <c r="C14" s="2518"/>
      <c r="D14" s="2518">
        <f>ROUND(E14*B14/10000,0)</f>
        <v>2791</v>
      </c>
      <c r="E14" s="2518">
        <v>23800</v>
      </c>
      <c r="F14" s="2518" t="e">
        <f>ROUND(D14*10000/C14,0)</f>
        <v>#DIV/0!</v>
      </c>
      <c r="G14" s="2518"/>
      <c r="H14" s="2518"/>
      <c r="I14" s="2518"/>
      <c r="J14" s="2687"/>
      <c r="K14" s="2688"/>
      <c r="L14" s="2513">
        <f>D14*1.1</f>
        <v>3070.1000000000004</v>
      </c>
    </row>
    <row r="15" spans="1:12"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2"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c r="D4" s="1756"/>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0" t="s">
        <v>2131</v>
      </c>
      <c r="F18" s="3631"/>
      <c r="G18" s="3631"/>
      <c r="H18" s="3631"/>
      <c r="I18" s="3631"/>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0</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t="str">
        <f ca="1">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0</v>
      </c>
      <c r="G52" s="2555"/>
      <c r="H52" s="2544"/>
      <c r="I52" s="1807"/>
      <c r="J52" s="2523">
        <v>1</v>
      </c>
      <c r="K52" s="3566" t="s">
        <v>1355</v>
      </c>
      <c r="L52" s="3566"/>
      <c r="M52" s="2525" t="b">
        <f>D48</f>
        <v>0</v>
      </c>
      <c r="N52" s="2523" t="str">
        <f>E48</f>
        <v>销售额×税（费）率</v>
      </c>
      <c r="O52" s="2526">
        <f>F48</f>
        <v>0</v>
      </c>
    </row>
    <row r="53" spans="1:35" ht="12" customHeight="1">
      <c r="A53" s="2335" t="s">
        <v>1356</v>
      </c>
      <c r="B53" s="3590" t="s">
        <v>2291</v>
      </c>
      <c r="C53" s="3591"/>
      <c r="D53" s="1087" t="e">
        <f ca="1">ROUND(D45*'数据-取费表'!B41/(1+'数据-取费表'!C42),0)</f>
        <v>#REF!</v>
      </c>
      <c r="E53" s="2334" t="s">
        <v>1354</v>
      </c>
      <c r="F53" s="2554">
        <f>'数据-取费表'!B41</f>
        <v>0</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0</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0</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4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f>C4</f>
        <v>0</v>
      </c>
      <c r="D101" s="2586">
        <f>D4</f>
        <v>0</v>
      </c>
      <c r="E101" s="3545" t="s">
        <v>1431</v>
      </c>
      <c r="F101" s="3546"/>
      <c r="G101" s="1827" t="s">
        <v>1432</v>
      </c>
      <c r="H101" s="2595" t="e">
        <f ca="1">H118</f>
        <v>#REF!</v>
      </c>
      <c r="I101" s="129"/>
    </row>
    <row r="102" spans="1:35" ht="18.75" customHeight="1">
      <c r="A102" s="3577" t="s">
        <v>1433</v>
      </c>
      <c r="B102" s="2584" t="s">
        <v>1432</v>
      </c>
      <c r="C102" s="2585" t="e">
        <f ca="1">IF(D32="楼面单价",ROUND(C19,0),C19)</f>
        <v>#REF!</v>
      </c>
      <c r="D102" s="2586" t="e">
        <f ca="1">IF(D32="楼面单价",ROUND(D19,0),D19)</f>
        <v>#REF!</v>
      </c>
      <c r="E102" s="3545"/>
      <c r="F102" s="3546"/>
      <c r="G102" s="1827" t="s">
        <v>1434</v>
      </c>
      <c r="H102" s="2555" t="e">
        <f ca="1">I118</f>
        <v>#REF!</v>
      </c>
      <c r="I102" s="129"/>
    </row>
    <row r="103" spans="1:35" ht="42.75" customHeight="1">
      <c r="A103" s="3577"/>
      <c r="B103" s="2584" t="s">
        <v>1434</v>
      </c>
      <c r="C103" s="2587" t="e">
        <f ca="1">C20</f>
        <v>#REF!</v>
      </c>
      <c r="D103" s="2588" t="e">
        <f ca="1">D20</f>
        <v>#REF!</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C26</f>
        <v>0</v>
      </c>
      <c r="E22" s="236" t="s">
        <v>1498</v>
      </c>
      <c r="F22" s="237">
        <f>'数据-取费表'!B40</f>
        <v>3.3500000000000002E-2</v>
      </c>
      <c r="G22" s="234" t="str">
        <f>IF('数据-取费表'!B22&lt;=1,"单利计息","复利计息")</f>
        <v>单利计息</v>
      </c>
    </row>
    <row r="23" spans="1:7" s="214" customFormat="1" ht="13.5" customHeight="1">
      <c r="A23" s="780" t="s">
        <v>1502</v>
      </c>
      <c r="B23" s="215" t="s">
        <v>1503</v>
      </c>
      <c r="C23" s="1105">
        <f>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C44</f>
        <v>0</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ROUND(IF('数据-取费表'!B22&lt;=1,C40*F22*'数据-取费表'!B21/2,C40*(POWER((1+F22),'数据-取费表'!B21/2)-1)),4)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C26</f>
        <v>0</v>
      </c>
      <c r="E22" s="236" t="s">
        <v>1579</v>
      </c>
      <c r="F22" s="237">
        <f>'数据-取费表'!B40</f>
        <v>3.3500000000000002E-2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ROUND(IF('数据-取费表'!B22&lt;=1,F21*F22*'数据-取费表'!B22/2,F21*(POWER((1+F22),'数据-取费表'!B22/2)-1)),4)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C44</f>
        <v>0</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32" t="s">
        <v>1591</v>
      </c>
    </row>
    <row r="43" spans="1:7" ht="13.5" customHeight="1">
      <c r="A43" s="780" t="s">
        <v>347</v>
      </c>
      <c r="B43" s="215" t="s">
        <v>1545</v>
      </c>
      <c r="C43" s="238">
        <f ca="1">ROUND(IF('数据-取费表'!B22&lt;=1,C39*F22*'数据-取费表'!B20/2,C39*(POWER((1+F22),'数据-取费表'!B20/2)-1)),0)</f>
        <v>0</v>
      </c>
      <c r="D43" s="238"/>
      <c r="E43" s="238"/>
      <c r="F43" s="239"/>
      <c r="G43" s="3633"/>
    </row>
    <row r="44" spans="1:7" ht="13.5" customHeight="1">
      <c r="A44" s="780" t="s">
        <v>348</v>
      </c>
      <c r="B44" s="215" t="s">
        <v>1546</v>
      </c>
      <c r="C44" s="238">
        <f>ROUND(IF('数据-取费表'!B22&lt;=1,C40*F22*'数据-取费表'!B20/2,C40*(POWER((1+F22),'数据-取费表'!B20/2)-1)),4)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C26</f>
        <v>0</v>
      </c>
      <c r="E25" s="282" t="s">
        <v>12</v>
      </c>
      <c r="F25" s="283">
        <f>'数据-取费表'!B40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ROUND(IF('数据-取费表'!B22&lt;=1,F21*F24*F23/2,F21*(POWER((1+F24),F23/2)-1)),4)</f>
        <v>0</v>
      </c>
      <c r="D24" s="329" t="str">
        <f>IF(F23&lt;=1,"销售费用×利率×(建设周期÷2)","销售费用×((1+利率)^(建设周期÷2)-1)")</f>
        <v>销售费用×利率×(建设周期÷2)</v>
      </c>
      <c r="E24" s="302" t="s">
        <v>747</v>
      </c>
      <c r="F24" s="331">
        <f>'数据-取费表'!B40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ROUND(IF('数据-取费表'!B22&lt;=1,F21*F24*F23/2,F21*(POWER((1+F24),F23/2)-1)),4)</f>
        <v>0</v>
      </c>
      <c r="D24" s="329" t="str">
        <f>IF(F23&lt;=1,"销售费用×利率×(建设周期÷2)","销售费用×((1+利率)^(建设周期÷2)-1)")</f>
        <v>销售费用×利率×(建设周期÷2)</v>
      </c>
      <c r="E24" s="302" t="s">
        <v>747</v>
      </c>
      <c r="F24" s="331">
        <f>'数据-取费表'!B40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664" t="s">
        <v>1680</v>
      </c>
      <c r="Q7" s="3692"/>
      <c r="R7" s="701" t="s">
        <v>20</v>
      </c>
      <c r="S7" s="702">
        <f t="shared" ref="S7:S15" si="0">F7</f>
        <v>100</v>
      </c>
      <c r="T7" s="701" t="s">
        <v>20</v>
      </c>
      <c r="U7" s="702">
        <f t="shared" ref="U7:U15" si="1">H7</f>
        <v>100</v>
      </c>
      <c r="V7" s="701" t="s">
        <v>20</v>
      </c>
      <c r="W7" s="702">
        <f t="shared" ref="W7:W15" si="2">J7</f>
        <v>100</v>
      </c>
      <c r="X7" s="703"/>
      <c r="Y7" s="3664" t="s">
        <v>1680</v>
      </c>
      <c r="Z7" s="3665"/>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696" t="str">
        <f>A48</f>
        <v>比较价值（元/平方米）</v>
      </c>
      <c r="Q48" s="3696"/>
      <c r="R48" s="3697" t="e">
        <f>IF(F1="售价",ROUND(PRODUCT(R47,AA7:AA46),0),ROUND(PRODUCT(R47,AA7:AA46),1))</f>
        <v>#N/A</v>
      </c>
      <c r="S48" s="3697"/>
      <c r="T48" s="3697" t="e">
        <f>IF(F1="售价",ROUND(PRODUCT(T47,AB7:AB46),0),ROUND(PRODUCT(T47,AB7:AB46),1))</f>
        <v>#N/A</v>
      </c>
      <c r="U48" s="3697"/>
      <c r="V48" s="3697" t="e">
        <f>IF(F1="售价",ROUND(PRODUCT(V47,AC7:AC46),0),ROUND(PRODUCT(V47,AC7:AC46),1))</f>
        <v>#N/A</v>
      </c>
      <c r="W48" s="3697"/>
      <c r="X48" s="690"/>
      <c r="Y48" s="690"/>
      <c r="Z48" s="690"/>
      <c r="AA48" s="690"/>
      <c r="AB48" s="690"/>
      <c r="AC48" s="690"/>
    </row>
    <row r="49" spans="1:29" ht="15.75" thickBot="1">
      <c r="A49" s="441" t="s">
        <v>1710</v>
      </c>
      <c r="B49" s="442"/>
      <c r="C49" s="1162" t="e">
        <f>R49</f>
        <v>#N/A</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#N/A</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696" t="str">
        <f>A48</f>
        <v>比较价值（元/平方米）</v>
      </c>
      <c r="Q48" s="3696"/>
      <c r="R48" s="3697" t="e">
        <f>IF(F1="售价",ROUND(PRODUCT(R47,AA7:AA46),0),ROUND(PRODUCT(R47,AA7:AA46),1))</f>
        <v>#N/A</v>
      </c>
      <c r="S48" s="3697"/>
      <c r="T48" s="3697" t="e">
        <f>IF(F1="售价",ROUND(PRODUCT(T47,AB7:AB46),0),ROUND(PRODUCT(T47,AB7:AB46),1))</f>
        <v>#N/A</v>
      </c>
      <c r="U48" s="3697"/>
      <c r="V48" s="3697" t="e">
        <f>IF(F1="售价",ROUND(PRODUCT(V47,AC7:AC46),0),ROUND(PRODUCT(V47,AC7:AC46),1))</f>
        <v>#N/A</v>
      </c>
      <c r="W48" s="3697"/>
      <c r="X48" s="690"/>
      <c r="Y48" s="690"/>
      <c r="Z48" s="690"/>
      <c r="AA48" s="690"/>
      <c r="AB48" s="690"/>
      <c r="AC48" s="690"/>
    </row>
    <row r="49" spans="1:29" ht="15.75" thickBot="1">
      <c r="A49" s="441" t="s">
        <v>1794</v>
      </c>
      <c r="B49" s="442"/>
      <c r="C49" s="1163" t="e">
        <f>R49</f>
        <v>#N/A</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#N/A</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18"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678" t="str">
        <f>A49</f>
        <v>比较价值（元/平方米）</v>
      </c>
      <c r="Q49" s="3696"/>
      <c r="R49" s="3697" t="e">
        <f>IF(F1="售价",ROUND(PRODUCT(R48,AA7:AA47),0),ROUND(PRODUCT(R48,AA7:AA47),1))</f>
        <v>#N/A</v>
      </c>
      <c r="S49" s="3697"/>
      <c r="T49" s="3697" t="e">
        <f>IF(F1="售价",ROUND(PRODUCT(T48,AB7:AB47),0),ROUND(PRODUCT(T48,AB7:AB47),1))</f>
        <v>#N/A</v>
      </c>
      <c r="U49" s="3697"/>
      <c r="V49" s="3697" t="e">
        <f>IF(F1="售价",ROUND(PRODUCT(V48,AC7:AC47),0),ROUND(PRODUCT(V48,AC7:AC47),1))</f>
        <v>#N/A</v>
      </c>
      <c r="W49" s="3697"/>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#N/A</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696" t="str">
        <f>A42</f>
        <v>比较价值（元/平方米）</v>
      </c>
      <c r="Q42" s="3696"/>
      <c r="R42" s="3697" t="e">
        <f>IF(F1="售价",ROUND(PRODUCT(R41,AA7:AA40),0),ROUND(PRODUCT(R41,AA7:AA40),1))</f>
        <v>#N/A</v>
      </c>
      <c r="S42" s="3697"/>
      <c r="T42" s="3697" t="e">
        <f>IF(F1="售价",ROUND(PRODUCT(T41,AB7:AB40),0),ROUND(PRODUCT(T41,AB7:AB40),1))</f>
        <v>#N/A</v>
      </c>
      <c r="U42" s="3697"/>
      <c r="V42" s="3697" t="e">
        <f>IF(F1="售价",ROUND(PRODUCT(V41,AC7:AC40),0),ROUND(PRODUCT(V41,AC7:AC40),1))</f>
        <v>#N/A</v>
      </c>
      <c r="W42" s="3697"/>
      <c r="X42" s="690"/>
      <c r="Y42" s="690"/>
      <c r="Z42" s="690"/>
      <c r="AA42" s="690"/>
      <c r="AB42" s="690"/>
      <c r="AC42" s="690"/>
    </row>
    <row r="43" spans="1:29" ht="15.75" thickBot="1">
      <c r="A43" s="441" t="s">
        <v>1794</v>
      </c>
      <c r="B43" s="442"/>
      <c r="C43" s="1163" t="e">
        <f>R43</f>
        <v>#N/A</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#N/A</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664" t="s">
        <v>1680</v>
      </c>
      <c r="Q7" s="3692"/>
      <c r="R7" s="701" t="s">
        <v>14</v>
      </c>
      <c r="S7" s="702">
        <f t="shared" ref="S7:S14" si="0">F7</f>
        <v>100</v>
      </c>
      <c r="T7" s="701" t="s">
        <v>14</v>
      </c>
      <c r="U7" s="702">
        <f t="shared" ref="U7:U14" si="1">H7</f>
        <v>100</v>
      </c>
      <c r="V7" s="701" t="s">
        <v>14</v>
      </c>
      <c r="W7" s="702">
        <f t="shared" ref="W7:W14"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664" t="s">
        <v>1680</v>
      </c>
      <c r="Q7" s="3692"/>
      <c r="R7" s="701" t="s">
        <v>14</v>
      </c>
      <c r="S7" s="702">
        <f t="shared" ref="S7:S14" si="0">F7</f>
        <v>100</v>
      </c>
      <c r="T7" s="701" t="s">
        <v>14</v>
      </c>
      <c r="U7" s="702">
        <f t="shared" ref="U7:U14" si="1">H7</f>
        <v>100</v>
      </c>
      <c r="V7" s="701" t="s">
        <v>14</v>
      </c>
      <c r="W7" s="702">
        <f t="shared" ref="W7:W14"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696" t="str">
        <f>A36</f>
        <v>比较价值（元/平方米）</v>
      </c>
      <c r="Q36" s="3696"/>
      <c r="R36" s="3697" t="e">
        <f>IF(F1="售价",ROUND(PRODUCT(R35,AA7:AA34),0),ROUND(PRODUCT(R35,AA7:AA34),1))</f>
        <v>#N/A</v>
      </c>
      <c r="S36" s="3697"/>
      <c r="T36" s="3697" t="e">
        <f>IF(F1="售价",ROUND(PRODUCT(T35,AB7:AB34),0),ROUND(PRODUCT(T35,AB7:AB34),1))</f>
        <v>#N/A</v>
      </c>
      <c r="U36" s="3697"/>
      <c r="V36" s="3697" t="e">
        <f>IF(F1="售价",ROUND(PRODUCT(V35,AC7:AC34),0),ROUND(PRODUCT(V35,AC7:AC34),1))</f>
        <v>#N/A</v>
      </c>
      <c r="W36" s="3697"/>
      <c r="X36" s="690"/>
      <c r="Y36" s="690"/>
      <c r="Z36" s="690"/>
      <c r="AA36" s="690"/>
      <c r="AB36" s="690"/>
      <c r="AC36" s="690"/>
    </row>
    <row r="37" spans="1:30" ht="15.75" thickBot="1">
      <c r="A37" s="441" t="s">
        <v>1794</v>
      </c>
      <c r="B37" s="442"/>
      <c r="C37" s="1163" t="e">
        <f>R37</f>
        <v>#N/A</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#N/A</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0</v>
      </c>
      <c r="H23" s="3343" t="s">
        <v>3260</v>
      </c>
      <c r="I23" s="3344" t="str">
        <f>IF(H23="季度增幅（自定义）",SUMIF(N25:N28,E2,O25:O28),"")</f>
        <v/>
      </c>
      <c r="J23" s="3446" t="s">
        <v>3259</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'数据-取费表'!B40</f>
        <v>3.3500000000000002E-2</v>
      </c>
      <c r="M36" s="3358">
        <f>ROUND($L$36*(1+M31),3)</f>
        <v>4.2000000000000003E-2</v>
      </c>
      <c r="N36" s="3358">
        <f>ROUND($L$36*(1+N31),3)</f>
        <v>0.04</v>
      </c>
      <c r="O36" s="3358">
        <f>ROUND($L$36*(1+O31),3)</f>
        <v>3.9E-2</v>
      </c>
      <c r="P36" s="3358">
        <f>ROUND($L$36*(1+P31),3)</f>
        <v>3.6999999999999998E-2</v>
      </c>
      <c r="Q36" s="3358">
        <f>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L36+K38</f>
        <v>3.85E-2</v>
      </c>
      <c r="M37" s="3358">
        <f>ROUND($L$37*(1+M31),3)</f>
        <v>4.8000000000000001E-2</v>
      </c>
      <c r="N37" s="3358">
        <f t="shared" ref="N37:Q37" si="3">ROUND($L$37*(1+N31),3)</f>
        <v>4.5999999999999999E-2</v>
      </c>
      <c r="O37" s="3358">
        <f t="shared" si="3"/>
        <v>4.3999999999999997E-2</v>
      </c>
      <c r="P37" s="3358">
        <f t="shared" si="3"/>
        <v>4.2000000000000003E-2</v>
      </c>
      <c r="Q37" s="3358">
        <f t="shared"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C52</f>
        <v>#DIV/0!</v>
      </c>
      <c r="C2" s="2" t="s">
        <v>106</v>
      </c>
      <c r="D2" s="199"/>
      <c r="E2" s="199"/>
      <c r="F2" s="199"/>
      <c r="G2" s="199"/>
    </row>
    <row r="3" spans="1:7" s="200" customFormat="1" ht="18" customHeight="1" thickBot="1">
      <c r="A3" s="203" t="s">
        <v>58</v>
      </c>
      <c r="B3" s="204" t="e">
        <f>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ROUND(SUM(C23:C25),0)</f>
        <v>0</v>
      </c>
      <c r="D22" s="235">
        <f>C26</f>
        <v>0</v>
      </c>
      <c r="E22" s="236" t="s">
        <v>99</v>
      </c>
      <c r="F22" s="237">
        <f>'数据-取费表'!B40</f>
        <v>3.3500000000000002E-2</v>
      </c>
      <c r="G22" s="1067" t="str">
        <f>IF('数据-取费表'!B22&lt;=1,"单利计息","复利计息")</f>
        <v>单利计息</v>
      </c>
    </row>
    <row r="23" spans="1:7" s="214" customFormat="1" ht="13.5" customHeight="1">
      <c r="A23" s="780" t="s">
        <v>349</v>
      </c>
      <c r="B23" s="215" t="s">
        <v>423</v>
      </c>
      <c r="C23" s="1105">
        <f>ROUND(IF('数据-取费表'!B22&lt;=1,C5*F22*'数据-取费表'!B23,C5*(POWER((1+F22),'数据-取费表'!B23)-1)),0)</f>
        <v>0</v>
      </c>
      <c r="D23" s="238"/>
      <c r="E23" s="238"/>
      <c r="F23" s="239"/>
      <c r="G23" s="240" t="s">
        <v>81</v>
      </c>
    </row>
    <row r="24" spans="1:7" s="214" customFormat="1" ht="13.5" customHeight="1">
      <c r="A24" s="780" t="s">
        <v>347</v>
      </c>
      <c r="B24" s="215" t="s">
        <v>418</v>
      </c>
      <c r="C24" s="1105">
        <f>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ROUND(IF('数据-取费表'!B22&lt;=1,C20*F22*'数据-取费表'!B23/2,C20*(POWER((1+F22),'数据-取费表'!B23/2)-1)),0)</f>
        <v>0</v>
      </c>
      <c r="D25" s="238"/>
      <c r="E25" s="241"/>
      <c r="F25" s="239"/>
      <c r="G25" s="242" t="s">
        <v>83</v>
      </c>
    </row>
    <row r="26" spans="1:7" s="214" customFormat="1">
      <c r="A26" s="780" t="s">
        <v>350</v>
      </c>
      <c r="B26" s="215" t="s">
        <v>422</v>
      </c>
      <c r="C26" s="238">
        <f>ROUND(IF('数据-取费表'!B22&lt;=1,F21*F22*'数据-取费表'!B23/2,F21*(POWER((1+F22),'数据-取费表'!B23/2)-1)),4)</f>
        <v>0</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ROUND(SUM(C42:C43),0)</f>
        <v>0</v>
      </c>
      <c r="D41" s="235">
        <f>C44</f>
        <v>0</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0</v>
      </c>
      <c r="D42" s="238"/>
      <c r="E42" s="238"/>
      <c r="F42" s="239"/>
      <c r="G42" s="3632" t="s">
        <v>94</v>
      </c>
    </row>
    <row r="43" spans="1:7" ht="13.5" customHeight="1">
      <c r="A43" s="780" t="s">
        <v>347</v>
      </c>
      <c r="B43" s="215" t="s">
        <v>426</v>
      </c>
      <c r="C43" s="238">
        <f>ROUND(IF('数据-取费表'!B22&lt;=1,C39*F22*'数据-取费表'!B21/2,C39*(POWER((1+F22),'数据-取费表'!B21/2)-1)),0)</f>
        <v>0</v>
      </c>
      <c r="D43" s="238"/>
      <c r="E43" s="238"/>
      <c r="F43" s="239"/>
      <c r="G43" s="3633"/>
    </row>
    <row r="44" spans="1:7" ht="13.5" customHeight="1">
      <c r="A44" s="780" t="s">
        <v>348</v>
      </c>
      <c r="B44" s="215" t="s">
        <v>428</v>
      </c>
      <c r="C44" s="238">
        <f>ROUND(IF('数据-取费表'!B22&lt;=1,C40*F22*'数据-取费表'!B21/2,C40*(POWER((1+F22),'数据-取费表'!B21/2)-1)),4)</f>
        <v>0</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ROUND(C49*F50,0)</f>
        <v>#DIV/0!</v>
      </c>
      <c r="D51" s="232"/>
      <c r="E51" s="232"/>
      <c r="F51" s="264"/>
      <c r="G51" s="234" t="s">
        <v>37</v>
      </c>
    </row>
    <row r="52" spans="1:7" s="208" customFormat="1" ht="16.5" thickBot="1">
      <c r="A52" s="265" t="s">
        <v>38</v>
      </c>
      <c r="B52" s="266"/>
      <c r="C52" s="267" t="e">
        <f>C31+C51</f>
        <v>#DIV/0!</v>
      </c>
      <c r="D52" s="266"/>
      <c r="E52" s="266"/>
      <c r="F52" s="266"/>
      <c r="G52" s="268"/>
    </row>
    <row r="55" spans="1:7" ht="15">
      <c r="B55" s="270" t="s">
        <v>39</v>
      </c>
      <c r="C55" s="271"/>
    </row>
    <row r="56" spans="1:7">
      <c r="B56" s="273" t="s">
        <v>40</v>
      </c>
      <c r="C56" s="274" t="e">
        <f>ROUND(C51/C52,3)</f>
        <v>#DIV/0!</v>
      </c>
    </row>
    <row r="57" spans="1:7">
      <c r="B57" s="273" t="s">
        <v>41</v>
      </c>
      <c r="C57" s="275" t="e">
        <f>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1">
        <f>基准地价修正!G23</f>
        <v>0</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3383</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3380</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3381</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3379</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75" t="s">
        <v>2831</v>
      </c>
      <c r="S24" s="3776"/>
      <c r="T24" s="3776"/>
      <c r="U24" s="3776"/>
      <c r="V24" s="3776"/>
      <c r="W24" s="3776"/>
      <c r="X24" s="3165"/>
      <c r="Y24" s="3775" t="s">
        <v>2832</v>
      </c>
      <c r="Z24" s="3776"/>
      <c r="AA24" s="3776"/>
      <c r="AB24" s="3776"/>
      <c r="AC24" s="3776"/>
      <c r="AD24" s="3776"/>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3383</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3380</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3382</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3379</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0</v>
      </c>
      <c r="D1" s="1302" t="s">
        <v>603</v>
      </c>
      <c r="E1" s="1297">
        <f>'数据-取费表'!B22</f>
        <v>0</v>
      </c>
      <c r="F1" s="1302" t="s">
        <v>604</v>
      </c>
      <c r="G1" s="1298">
        <f ca="1">INDIRECT("d"&amp;$K$1)/100</f>
        <v>0</v>
      </c>
      <c r="H1" s="1302" t="s">
        <v>634</v>
      </c>
      <c r="I1" s="1298">
        <f ca="1">F4/100</f>
        <v>0</v>
      </c>
      <c r="J1" s="1303">
        <f>IF(C1&gt;C13,0,MATCH(C1,C$13:C$111,-1))+IF(SUMIF(C13:C111,C1,D13:D111)=0,13,12)</f>
        <v>69</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45509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2024-08-05T05:41:09Z</dcterms:modified>
</cp:coreProperties>
</file>